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hD\Thesis Master\"/>
    </mc:Choice>
  </mc:AlternateContent>
  <bookViews>
    <workbookView xWindow="0" yWindow="0" windowWidth="38400" windowHeight="18285" activeTab="6"/>
  </bookViews>
  <sheets>
    <sheet name="Sheet1" sheetId="1" r:id="rId1"/>
    <sheet name="SymB1 2" sheetId="3" r:id="rId2"/>
    <sheet name="SymB1 3" sheetId="17" r:id="rId3"/>
    <sheet name="SGR" sheetId="2" r:id="rId4"/>
    <sheet name="SymB1 CLS" sheetId="16" r:id="rId5"/>
    <sheet name="SymB1 SG Test" sheetId="6" r:id="rId6"/>
    <sheet name="SymB1 CLS (2)" sheetId="11" r:id="rId7"/>
    <sheet name="SymB1 CLS Z5 R30" sheetId="14" r:id="rId8"/>
    <sheet name="SymB1 2Profiles " sheetId="15" r:id="rId9"/>
    <sheet name="SGR SymB1" sheetId="9" r:id="rId10"/>
    <sheet name="SGR Rising" sheetId="13" r:id="rId1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249" i="17" l="1"/>
  <c r="AB214" i="17"/>
  <c r="K201" i="17"/>
  <c r="K200" i="17"/>
  <c r="K199" i="17"/>
  <c r="K198" i="17"/>
  <c r="P197" i="17"/>
  <c r="N197" i="17"/>
  <c r="K197" i="17"/>
  <c r="P196" i="17"/>
  <c r="N196" i="17"/>
  <c r="K196" i="17"/>
  <c r="P195" i="17"/>
  <c r="N195" i="17"/>
  <c r="K195" i="17"/>
  <c r="P194" i="17"/>
  <c r="N194" i="17"/>
  <c r="K194" i="17"/>
  <c r="P193" i="17"/>
  <c r="N193" i="17"/>
  <c r="K193" i="17"/>
  <c r="P192" i="17"/>
  <c r="N192" i="17"/>
  <c r="K192" i="17"/>
  <c r="P191" i="17"/>
  <c r="N191" i="17"/>
  <c r="K191" i="17"/>
  <c r="P190" i="17"/>
  <c r="N190" i="17"/>
  <c r="K190" i="17"/>
  <c r="P189" i="17"/>
  <c r="N189" i="17"/>
  <c r="K189" i="17"/>
  <c r="P188" i="17"/>
  <c r="N188" i="17"/>
  <c r="K188" i="17"/>
  <c r="P187" i="17"/>
  <c r="N187" i="17"/>
  <c r="K187" i="17"/>
  <c r="P186" i="17"/>
  <c r="N186" i="17"/>
  <c r="K186" i="17"/>
  <c r="P185" i="17"/>
  <c r="N185" i="17"/>
  <c r="K185" i="17"/>
  <c r="P184" i="17"/>
  <c r="N184" i="17"/>
  <c r="K184" i="17"/>
  <c r="P183" i="17"/>
  <c r="N183" i="17"/>
  <c r="K183" i="17"/>
  <c r="P182" i="17"/>
  <c r="N182" i="17"/>
  <c r="K182" i="17"/>
  <c r="P181" i="17"/>
  <c r="N181" i="17"/>
  <c r="AB171" i="17"/>
  <c r="Z171" i="17"/>
  <c r="Z170" i="17"/>
  <c r="AB145" i="17"/>
  <c r="AB123" i="17"/>
  <c r="M82" i="17"/>
  <c r="M81" i="17"/>
  <c r="M80" i="17"/>
  <c r="M79" i="17"/>
  <c r="M78" i="17"/>
  <c r="M77" i="17"/>
  <c r="M76" i="17"/>
  <c r="M75" i="17"/>
  <c r="M74" i="17"/>
  <c r="M73" i="17"/>
  <c r="M72" i="17"/>
  <c r="M71" i="17"/>
  <c r="M70" i="17"/>
  <c r="M69" i="17"/>
  <c r="M68" i="17"/>
  <c r="M67" i="17"/>
  <c r="M66" i="17"/>
  <c r="M65" i="17"/>
  <c r="AB63" i="17"/>
  <c r="AB62" i="17"/>
  <c r="AB61" i="17"/>
  <c r="AB60" i="17"/>
  <c r="AB59" i="17"/>
  <c r="AB58" i="17"/>
  <c r="AB57" i="17"/>
  <c r="T39" i="17"/>
  <c r="T38" i="17"/>
  <c r="T37" i="17"/>
  <c r="T36" i="17"/>
  <c r="T35" i="17"/>
  <c r="T34" i="17"/>
  <c r="T33" i="17"/>
  <c r="T32" i="17"/>
  <c r="T31" i="17"/>
  <c r="T30" i="17"/>
  <c r="T29" i="17"/>
  <c r="T28" i="17"/>
  <c r="T27" i="17"/>
  <c r="T26" i="17"/>
  <c r="T25" i="17"/>
  <c r="T24" i="17"/>
  <c r="T23" i="17"/>
  <c r="T22" i="17"/>
  <c r="T21" i="17"/>
  <c r="T20" i="17"/>
  <c r="C50" i="16"/>
  <c r="D50" i="16"/>
  <c r="E50" i="16"/>
  <c r="F50" i="16"/>
  <c r="G50" i="16"/>
  <c r="H50" i="16"/>
  <c r="I50" i="16"/>
  <c r="J50" i="16"/>
  <c r="B50" i="16"/>
  <c r="C34" i="16" l="1"/>
  <c r="D34" i="16"/>
  <c r="E34" i="16"/>
  <c r="F34" i="16"/>
  <c r="G34" i="16"/>
  <c r="H34" i="16"/>
  <c r="I34" i="16"/>
  <c r="J34" i="16"/>
  <c r="B34" i="16"/>
  <c r="J43" i="16"/>
  <c r="I43" i="16"/>
  <c r="H43" i="16"/>
  <c r="G43" i="16"/>
  <c r="F43" i="16"/>
  <c r="E43" i="16"/>
  <c r="D43" i="16"/>
  <c r="C43" i="16"/>
  <c r="B43" i="16"/>
  <c r="B41" i="16"/>
  <c r="B42" i="16" s="1"/>
  <c r="G41" i="16"/>
  <c r="G42" i="16" s="1"/>
  <c r="H41" i="16"/>
  <c r="H42" i="16" s="1"/>
  <c r="I41" i="16"/>
  <c r="I42" i="16" s="1"/>
  <c r="F41" i="16" l="1"/>
  <c r="F42" i="16" s="1"/>
  <c r="D41" i="16"/>
  <c r="D42" i="16" s="1"/>
  <c r="E41" i="16"/>
  <c r="E42" i="16" s="1"/>
  <c r="C41" i="16"/>
  <c r="C42" i="16" s="1"/>
  <c r="J41" i="16"/>
  <c r="J42" i="16" s="1"/>
  <c r="M310" i="3" l="1"/>
  <c r="M311" i="3"/>
  <c r="M312" i="3"/>
  <c r="M313" i="3"/>
  <c r="M314" i="3"/>
  <c r="M315" i="3"/>
  <c r="M316" i="3"/>
  <c r="M317" i="3"/>
  <c r="M318" i="3"/>
  <c r="M319" i="3"/>
  <c r="M320" i="3"/>
  <c r="M321" i="3"/>
  <c r="M322" i="3"/>
  <c r="M309" i="3"/>
  <c r="G114" i="15" l="1"/>
  <c r="E114" i="15"/>
  <c r="G113" i="15"/>
  <c r="E113" i="15"/>
  <c r="K112" i="15"/>
  <c r="K114" i="15" s="1"/>
  <c r="J112" i="15"/>
  <c r="J114" i="15" s="1"/>
  <c r="I112" i="15"/>
  <c r="I114" i="15" s="1"/>
  <c r="H112" i="15"/>
  <c r="H114" i="15" s="1"/>
  <c r="G112" i="15"/>
  <c r="F112" i="15"/>
  <c r="F113" i="15" s="1"/>
  <c r="E112" i="15"/>
  <c r="D112" i="15"/>
  <c r="D113" i="15" s="1"/>
  <c r="C112" i="15"/>
  <c r="C114" i="15" s="1"/>
  <c r="B112" i="15"/>
  <c r="B114" i="15" s="1"/>
  <c r="M109" i="15"/>
  <c r="G106" i="15"/>
  <c r="E106" i="15"/>
  <c r="I105" i="15"/>
  <c r="G105" i="15"/>
  <c r="E105" i="15"/>
  <c r="K104" i="15"/>
  <c r="K106" i="15" s="1"/>
  <c r="J104" i="15"/>
  <c r="J106" i="15" s="1"/>
  <c r="I104" i="15"/>
  <c r="I106" i="15" s="1"/>
  <c r="H104" i="15"/>
  <c r="H106" i="15" s="1"/>
  <c r="G104" i="15"/>
  <c r="F104" i="15"/>
  <c r="F106" i="15" s="1"/>
  <c r="E104" i="15"/>
  <c r="D104" i="15"/>
  <c r="D105" i="15" s="1"/>
  <c r="C104" i="15"/>
  <c r="C106" i="15" s="1"/>
  <c r="B104" i="15"/>
  <c r="B106" i="15" s="1"/>
  <c r="M101" i="15"/>
  <c r="B96" i="15"/>
  <c r="B97" i="15" s="1"/>
  <c r="J98" i="15"/>
  <c r="I98" i="15"/>
  <c r="K97" i="15"/>
  <c r="F97" i="15"/>
  <c r="K96" i="15"/>
  <c r="K98" i="15" s="1"/>
  <c r="J96" i="15"/>
  <c r="J97" i="15" s="1"/>
  <c r="I96" i="15"/>
  <c r="I97" i="15" s="1"/>
  <c r="H96" i="15"/>
  <c r="H98" i="15" s="1"/>
  <c r="G96" i="15"/>
  <c r="G98" i="15" s="1"/>
  <c r="F96" i="15"/>
  <c r="F98" i="15" s="1"/>
  <c r="E96" i="15"/>
  <c r="E97" i="15" s="1"/>
  <c r="D96" i="15"/>
  <c r="D98" i="15" s="1"/>
  <c r="C96" i="15"/>
  <c r="C98" i="15" s="1"/>
  <c r="M93" i="15"/>
  <c r="M78" i="15"/>
  <c r="C88" i="15"/>
  <c r="D88" i="15"/>
  <c r="D90" i="15" s="1"/>
  <c r="E88" i="15"/>
  <c r="F88" i="15"/>
  <c r="G88" i="15"/>
  <c r="H88" i="15"/>
  <c r="H90" i="15" s="1"/>
  <c r="I88" i="15"/>
  <c r="I89" i="15" s="1"/>
  <c r="J88" i="15"/>
  <c r="J89" i="15" s="1"/>
  <c r="K88" i="15"/>
  <c r="M85" i="15"/>
  <c r="B88" i="15" s="1"/>
  <c r="B90" i="15" s="1"/>
  <c r="K90" i="15"/>
  <c r="K89" i="15"/>
  <c r="G90" i="15"/>
  <c r="F90" i="15"/>
  <c r="E90" i="15"/>
  <c r="C89" i="15"/>
  <c r="J83" i="15"/>
  <c r="B83" i="15"/>
  <c r="I82" i="15"/>
  <c r="F82" i="15"/>
  <c r="K81" i="15"/>
  <c r="K83" i="15" s="1"/>
  <c r="J81" i="15"/>
  <c r="J82" i="15" s="1"/>
  <c r="I81" i="15"/>
  <c r="I83" i="15" s="1"/>
  <c r="H81" i="15"/>
  <c r="H83" i="15" s="1"/>
  <c r="G81" i="15"/>
  <c r="G83" i="15" s="1"/>
  <c r="F81" i="15"/>
  <c r="F83" i="15" s="1"/>
  <c r="E81" i="15"/>
  <c r="E82" i="15" s="1"/>
  <c r="D81" i="15"/>
  <c r="D83" i="15" s="1"/>
  <c r="C81" i="15"/>
  <c r="C83" i="15" s="1"/>
  <c r="B81" i="15"/>
  <c r="B82" i="15" s="1"/>
  <c r="K74" i="15"/>
  <c r="K75" i="15" s="1"/>
  <c r="J74" i="15"/>
  <c r="J76" i="15" s="1"/>
  <c r="I74" i="15"/>
  <c r="I75" i="15" s="1"/>
  <c r="H74" i="15"/>
  <c r="H76" i="15" s="1"/>
  <c r="G74" i="15"/>
  <c r="G76" i="15" s="1"/>
  <c r="F74" i="15"/>
  <c r="F76" i="15" s="1"/>
  <c r="E74" i="15"/>
  <c r="E76" i="15" s="1"/>
  <c r="D74" i="15"/>
  <c r="D76" i="15" s="1"/>
  <c r="C74" i="15"/>
  <c r="C75" i="15" s="1"/>
  <c r="B74" i="15"/>
  <c r="B75" i="15" s="1"/>
  <c r="M72" i="15"/>
  <c r="C67" i="15"/>
  <c r="C68" i="15" s="1"/>
  <c r="D67" i="15"/>
  <c r="E67" i="15"/>
  <c r="E68" i="15" s="1"/>
  <c r="F67" i="15"/>
  <c r="G67" i="15"/>
  <c r="H67" i="15"/>
  <c r="I67" i="15"/>
  <c r="I69" i="15" s="1"/>
  <c r="J67" i="15"/>
  <c r="K67" i="15"/>
  <c r="K68" i="15" s="1"/>
  <c r="D68" i="15"/>
  <c r="F68" i="15"/>
  <c r="G68" i="15"/>
  <c r="H68" i="15"/>
  <c r="J68" i="15"/>
  <c r="B67" i="15"/>
  <c r="B69" i="15" s="1"/>
  <c r="H69" i="15"/>
  <c r="J69" i="15"/>
  <c r="G69" i="15"/>
  <c r="F69" i="15"/>
  <c r="E69" i="15"/>
  <c r="D69" i="15"/>
  <c r="M65" i="15"/>
  <c r="J47" i="16"/>
  <c r="I47" i="16"/>
  <c r="H47" i="16"/>
  <c r="G47" i="16"/>
  <c r="F47" i="16"/>
  <c r="E47" i="16"/>
  <c r="D47" i="16"/>
  <c r="C47" i="16"/>
  <c r="B47" i="16"/>
  <c r="F36" i="16"/>
  <c r="J35" i="16"/>
  <c r="I35" i="16"/>
  <c r="H35" i="16"/>
  <c r="G36" i="16"/>
  <c r="F35" i="16"/>
  <c r="E36" i="16"/>
  <c r="D36" i="16"/>
  <c r="C36" i="16"/>
  <c r="B35" i="16"/>
  <c r="H27" i="16"/>
  <c r="H29" i="16" s="1"/>
  <c r="H13" i="16"/>
  <c r="H15" i="16" s="1"/>
  <c r="G13" i="16"/>
  <c r="G15" i="16" s="1"/>
  <c r="F13" i="16"/>
  <c r="F15" i="16" s="1"/>
  <c r="E13" i="16"/>
  <c r="E15" i="16" s="1"/>
  <c r="P9" i="16"/>
  <c r="F27" i="16" s="1"/>
  <c r="I20" i="16"/>
  <c r="D13" i="16"/>
  <c r="D6" i="16"/>
  <c r="I6" i="16"/>
  <c r="I8" i="16" s="1"/>
  <c r="H6" i="16"/>
  <c r="H8" i="16" s="1"/>
  <c r="G6" i="16"/>
  <c r="G8" i="16" s="1"/>
  <c r="F6" i="16"/>
  <c r="F7" i="16" s="1"/>
  <c r="E6" i="16"/>
  <c r="E8" i="16" s="1"/>
  <c r="C6" i="16"/>
  <c r="C8" i="16" s="1"/>
  <c r="P164" i="6"/>
  <c r="P165" i="6"/>
  <c r="L165" i="6"/>
  <c r="L164" i="6"/>
  <c r="P163" i="6"/>
  <c r="L163" i="6"/>
  <c r="L158" i="6"/>
  <c r="L157" i="6"/>
  <c r="L156" i="6"/>
  <c r="P156" i="6"/>
  <c r="P155" i="6"/>
  <c r="O169" i="6"/>
  <c r="O168" i="6"/>
  <c r="O167" i="6"/>
  <c r="O166" i="6"/>
  <c r="O165" i="6"/>
  <c r="O164" i="6"/>
  <c r="O162" i="6"/>
  <c r="O160" i="6"/>
  <c r="O159" i="6"/>
  <c r="O158" i="6"/>
  <c r="O157" i="6"/>
  <c r="O156" i="6"/>
  <c r="O155" i="6"/>
  <c r="O154" i="6"/>
  <c r="O153" i="6"/>
  <c r="K169" i="6"/>
  <c r="K168" i="6"/>
  <c r="K167" i="6"/>
  <c r="K166" i="6"/>
  <c r="K165" i="6"/>
  <c r="K164" i="6"/>
  <c r="K161" i="6"/>
  <c r="K160" i="6"/>
  <c r="K159" i="6"/>
  <c r="K158" i="6"/>
  <c r="K157" i="6"/>
  <c r="K156" i="6"/>
  <c r="K155" i="6"/>
  <c r="K154" i="6"/>
  <c r="K153" i="6"/>
  <c r="P169" i="6"/>
  <c r="L169" i="6"/>
  <c r="P168" i="6"/>
  <c r="L168" i="6"/>
  <c r="P167" i="6"/>
  <c r="L167" i="6"/>
  <c r="P166" i="6"/>
  <c r="L166" i="6"/>
  <c r="P162" i="6"/>
  <c r="L161" i="6"/>
  <c r="P160" i="6"/>
  <c r="L160" i="6"/>
  <c r="P159" i="6"/>
  <c r="L159" i="6"/>
  <c r="P158" i="6"/>
  <c r="P157" i="6"/>
  <c r="L155" i="6"/>
  <c r="P154" i="6"/>
  <c r="L154" i="6"/>
  <c r="P153" i="6"/>
  <c r="L153" i="6"/>
  <c r="Y133" i="6"/>
  <c r="Y134" i="6" s="1"/>
  <c r="AL131" i="6"/>
  <c r="AL133" i="6" s="1"/>
  <c r="AL134" i="6" s="1"/>
  <c r="AK131" i="6"/>
  <c r="AK133" i="6" s="1"/>
  <c r="AK134" i="6" s="1"/>
  <c r="AJ131" i="6"/>
  <c r="AJ133" i="6" s="1"/>
  <c r="AJ134" i="6" s="1"/>
  <c r="AI131" i="6"/>
  <c r="AI133" i="6" s="1"/>
  <c r="AI134" i="6" s="1"/>
  <c r="AH131" i="6"/>
  <c r="AH133" i="6" s="1"/>
  <c r="AH134" i="6" s="1"/>
  <c r="AG131" i="6"/>
  <c r="AG133" i="6" s="1"/>
  <c r="AG134" i="6" s="1"/>
  <c r="AF131" i="6"/>
  <c r="AF133" i="6" s="1"/>
  <c r="AF134" i="6" s="1"/>
  <c r="AE131" i="6"/>
  <c r="AE133" i="6" s="1"/>
  <c r="AE134" i="6" s="1"/>
  <c r="AD131" i="6"/>
  <c r="AD133" i="6" s="1"/>
  <c r="AC131" i="6"/>
  <c r="AC133" i="6" s="1"/>
  <c r="AC134" i="6" s="1"/>
  <c r="AB131" i="6"/>
  <c r="AB133" i="6" s="1"/>
  <c r="AB134" i="6" s="1"/>
  <c r="AA131" i="6"/>
  <c r="AA133" i="6" s="1"/>
  <c r="AA134" i="6" s="1"/>
  <c r="Z131" i="6"/>
  <c r="Z133" i="6" s="1"/>
  <c r="Z134" i="6" s="1"/>
  <c r="Y131" i="6"/>
  <c r="X131" i="6"/>
  <c r="X133" i="6" s="1"/>
  <c r="X134" i="6" s="1"/>
  <c r="W131" i="6"/>
  <c r="W133" i="6" s="1"/>
  <c r="W134" i="6" s="1"/>
  <c r="V131" i="6"/>
  <c r="V133" i="6" s="1"/>
  <c r="V134" i="6" s="1"/>
  <c r="U131" i="6"/>
  <c r="U133" i="6" s="1"/>
  <c r="U134" i="6" s="1"/>
  <c r="S98" i="13"/>
  <c r="S97" i="13"/>
  <c r="S96" i="13"/>
  <c r="S109" i="13"/>
  <c r="S108" i="13"/>
  <c r="S107" i="13"/>
  <c r="S106" i="13"/>
  <c r="S105" i="13"/>
  <c r="S104" i="13"/>
  <c r="S102" i="13"/>
  <c r="S100" i="13"/>
  <c r="S99" i="13"/>
  <c r="S95" i="13"/>
  <c r="S94" i="13"/>
  <c r="S93" i="13"/>
  <c r="P99" i="13"/>
  <c r="P98" i="13"/>
  <c r="P97" i="13"/>
  <c r="P96" i="13"/>
  <c r="P109" i="13"/>
  <c r="P108" i="13"/>
  <c r="P107" i="13"/>
  <c r="P106" i="13"/>
  <c r="P105" i="13"/>
  <c r="P104" i="13"/>
  <c r="P101" i="13"/>
  <c r="P100" i="13"/>
  <c r="P95" i="13"/>
  <c r="P94" i="13"/>
  <c r="P93" i="13"/>
  <c r="K44" i="15"/>
  <c r="K46" i="15" s="1"/>
  <c r="J44" i="15"/>
  <c r="J45" i="15" s="1"/>
  <c r="I44" i="15"/>
  <c r="I45" i="15" s="1"/>
  <c r="H44" i="15"/>
  <c r="H46" i="15" s="1"/>
  <c r="G44" i="15"/>
  <c r="G46" i="15" s="1"/>
  <c r="F44" i="15"/>
  <c r="F46" i="15" s="1"/>
  <c r="E44" i="15"/>
  <c r="E46" i="15" s="1"/>
  <c r="D44" i="15"/>
  <c r="D46" i="15" s="1"/>
  <c r="C44" i="15"/>
  <c r="C46" i="15" s="1"/>
  <c r="B44" i="15"/>
  <c r="B45" i="15" s="1"/>
  <c r="M42" i="15"/>
  <c r="B36" i="15"/>
  <c r="D36" i="15"/>
  <c r="D38" i="15" s="1"/>
  <c r="E36" i="15"/>
  <c r="E38" i="15" s="1"/>
  <c r="F36" i="15"/>
  <c r="F38" i="15" s="1"/>
  <c r="H36" i="15"/>
  <c r="H38" i="15" s="1"/>
  <c r="I36" i="15"/>
  <c r="I37" i="15" s="1"/>
  <c r="M34" i="15"/>
  <c r="C36" i="15" s="1"/>
  <c r="C28" i="15"/>
  <c r="C30" i="15" s="1"/>
  <c r="D28" i="15"/>
  <c r="D29" i="15" s="1"/>
  <c r="E28" i="15"/>
  <c r="F28" i="15"/>
  <c r="F30" i="15" s="1"/>
  <c r="G28" i="15"/>
  <c r="G29" i="15" s="1"/>
  <c r="H28" i="15"/>
  <c r="H30" i="15" s="1"/>
  <c r="I28" i="15"/>
  <c r="I30" i="15" s="1"/>
  <c r="J28" i="15"/>
  <c r="J30" i="15" s="1"/>
  <c r="K28" i="15"/>
  <c r="K30" i="15" s="1"/>
  <c r="B28" i="15"/>
  <c r="B30" i="15" s="1"/>
  <c r="C20" i="15"/>
  <c r="C21" i="15" s="1"/>
  <c r="D20" i="15"/>
  <c r="D22" i="15" s="1"/>
  <c r="E20" i="15"/>
  <c r="F20" i="15"/>
  <c r="G20" i="15"/>
  <c r="H20" i="15"/>
  <c r="H22" i="15" s="1"/>
  <c r="I20" i="15"/>
  <c r="I22" i="15" s="1"/>
  <c r="J20" i="15"/>
  <c r="K20" i="15"/>
  <c r="B20" i="15"/>
  <c r="B21" i="15" s="1"/>
  <c r="E30" i="15"/>
  <c r="J29" i="15"/>
  <c r="E29" i="15"/>
  <c r="K22" i="15"/>
  <c r="J22" i="15"/>
  <c r="E22" i="15"/>
  <c r="C22" i="15"/>
  <c r="H21" i="15"/>
  <c r="E21" i="15"/>
  <c r="K21" i="15"/>
  <c r="J21" i="15"/>
  <c r="G22" i="15"/>
  <c r="F22" i="15"/>
  <c r="M18" i="15"/>
  <c r="K6" i="15"/>
  <c r="K5" i="15"/>
  <c r="K7" i="15" s="1"/>
  <c r="I5" i="15"/>
  <c r="I6" i="15" s="1"/>
  <c r="H5" i="15"/>
  <c r="H7" i="15" s="1"/>
  <c r="C5" i="15"/>
  <c r="C6" i="15" s="1"/>
  <c r="M3" i="15"/>
  <c r="J14" i="15"/>
  <c r="J12" i="15"/>
  <c r="J13" i="15" s="1"/>
  <c r="I12" i="15"/>
  <c r="I13" i="15" s="1"/>
  <c r="D12" i="15"/>
  <c r="D14" i="15" s="1"/>
  <c r="M10" i="15"/>
  <c r="M57" i="15"/>
  <c r="B59" i="15" s="1"/>
  <c r="H52" i="15"/>
  <c r="H54" i="15" s="1"/>
  <c r="M50" i="15"/>
  <c r="M26" i="15"/>
  <c r="R11" i="15"/>
  <c r="R10" i="15"/>
  <c r="O10" i="15"/>
  <c r="R9" i="15"/>
  <c r="R8" i="15"/>
  <c r="R7" i="15"/>
  <c r="R6" i="15"/>
  <c r="J68" i="14"/>
  <c r="I68" i="14"/>
  <c r="H68" i="14"/>
  <c r="K67" i="14"/>
  <c r="J67" i="14"/>
  <c r="K66" i="14"/>
  <c r="K68" i="14" s="1"/>
  <c r="J66" i="14"/>
  <c r="I66" i="14"/>
  <c r="I67" i="14" s="1"/>
  <c r="H66" i="14"/>
  <c r="H67" i="14" s="1"/>
  <c r="G66" i="14"/>
  <c r="G68" i="14" s="1"/>
  <c r="F66" i="14"/>
  <c r="F68" i="14" s="1"/>
  <c r="E66" i="14"/>
  <c r="E67" i="14" s="1"/>
  <c r="D66" i="14"/>
  <c r="D67" i="14" s="1"/>
  <c r="C66" i="14"/>
  <c r="C68" i="14" s="1"/>
  <c r="B66" i="14"/>
  <c r="B67" i="14" s="1"/>
  <c r="M64" i="14"/>
  <c r="P91" i="13"/>
  <c r="P90" i="13"/>
  <c r="P89" i="13"/>
  <c r="P88" i="13"/>
  <c r="P87" i="13"/>
  <c r="P86" i="13"/>
  <c r="P83" i="13"/>
  <c r="P82" i="13"/>
  <c r="P81" i="13"/>
  <c r="P80" i="13"/>
  <c r="P79" i="13"/>
  <c r="P78" i="13"/>
  <c r="P77" i="13"/>
  <c r="P76" i="13"/>
  <c r="P75" i="13"/>
  <c r="S91" i="13"/>
  <c r="S90" i="13"/>
  <c r="S89" i="13"/>
  <c r="S88" i="13"/>
  <c r="S87" i="13"/>
  <c r="S86" i="13"/>
  <c r="S84" i="13"/>
  <c r="S82" i="13"/>
  <c r="S81" i="13"/>
  <c r="S80" i="13"/>
  <c r="S79" i="13"/>
  <c r="S78" i="13"/>
  <c r="S77" i="13"/>
  <c r="S76" i="13"/>
  <c r="S75" i="13"/>
  <c r="L151" i="6"/>
  <c r="P151" i="6"/>
  <c r="L150" i="6"/>
  <c r="P150" i="6"/>
  <c r="L149" i="6"/>
  <c r="P149" i="6"/>
  <c r="P148" i="6"/>
  <c r="L148" i="6"/>
  <c r="P147" i="6"/>
  <c r="L147" i="6"/>
  <c r="P146" i="6"/>
  <c r="L146" i="6"/>
  <c r="P144" i="6"/>
  <c r="L143" i="6"/>
  <c r="P142" i="6"/>
  <c r="L142" i="6"/>
  <c r="P138" i="6"/>
  <c r="L138" i="6"/>
  <c r="L140" i="6"/>
  <c r="P136" i="6"/>
  <c r="L136" i="6"/>
  <c r="P141" i="6"/>
  <c r="L141" i="6"/>
  <c r="P140" i="6"/>
  <c r="L139" i="6"/>
  <c r="P139" i="6"/>
  <c r="P137" i="6"/>
  <c r="L137" i="6"/>
  <c r="L135" i="6"/>
  <c r="P135" i="6"/>
  <c r="AK124" i="6"/>
  <c r="O147" i="6"/>
  <c r="O146" i="6"/>
  <c r="M57" i="14"/>
  <c r="B59" i="14" s="1"/>
  <c r="B60" i="14" s="1"/>
  <c r="K59" i="14"/>
  <c r="K60" i="14" s="1"/>
  <c r="J59" i="14"/>
  <c r="J60" i="14" s="1"/>
  <c r="I59" i="14"/>
  <c r="I61" i="14" s="1"/>
  <c r="H59" i="14"/>
  <c r="H61" i="14" s="1"/>
  <c r="G59" i="14"/>
  <c r="G61" i="14" s="1"/>
  <c r="F59" i="14"/>
  <c r="F61" i="14" s="1"/>
  <c r="E59" i="14"/>
  <c r="E61" i="14" s="1"/>
  <c r="D59" i="14"/>
  <c r="D61" i="14" s="1"/>
  <c r="C59" i="14"/>
  <c r="C60" i="14" s="1"/>
  <c r="V122" i="6"/>
  <c r="V124" i="6" s="1"/>
  <c r="W122" i="6"/>
  <c r="W124" i="6" s="1"/>
  <c r="X122" i="6"/>
  <c r="X124" i="6" s="1"/>
  <c r="Y122" i="6"/>
  <c r="Y124" i="6" s="1"/>
  <c r="Z122" i="6"/>
  <c r="Z124" i="6" s="1"/>
  <c r="AA122" i="6"/>
  <c r="AA124" i="6" s="1"/>
  <c r="AB122" i="6"/>
  <c r="AB124" i="6" s="1"/>
  <c r="AC122" i="6"/>
  <c r="AC124" i="6" s="1"/>
  <c r="AD122" i="6"/>
  <c r="AD124" i="6" s="1"/>
  <c r="AE122" i="6"/>
  <c r="AE124" i="6" s="1"/>
  <c r="AF122" i="6"/>
  <c r="AF124" i="6" s="1"/>
  <c r="AG122" i="6"/>
  <c r="AG124" i="6" s="1"/>
  <c r="AH122" i="6"/>
  <c r="AH124" i="6" s="1"/>
  <c r="AI122" i="6"/>
  <c r="AI124" i="6" s="1"/>
  <c r="AJ122" i="6"/>
  <c r="AJ124" i="6" s="1"/>
  <c r="AK122" i="6"/>
  <c r="AL122" i="6"/>
  <c r="AL124" i="6" s="1"/>
  <c r="U122" i="6"/>
  <c r="U124" i="6" s="1"/>
  <c r="AD104" i="6"/>
  <c r="E7" i="16" l="1"/>
  <c r="E14" i="16"/>
  <c r="D35" i="16"/>
  <c r="E35" i="16"/>
  <c r="H113" i="15"/>
  <c r="F114" i="15"/>
  <c r="B113" i="15"/>
  <c r="D114" i="15"/>
  <c r="I113" i="15"/>
  <c r="C113" i="15"/>
  <c r="K113" i="15"/>
  <c r="J113" i="15"/>
  <c r="H105" i="15"/>
  <c r="F105" i="15"/>
  <c r="D106" i="15"/>
  <c r="B105" i="15"/>
  <c r="J105" i="15"/>
  <c r="C105" i="15"/>
  <c r="K105" i="15"/>
  <c r="G97" i="15"/>
  <c r="D97" i="15"/>
  <c r="C97" i="15"/>
  <c r="B98" i="15"/>
  <c r="E98" i="15"/>
  <c r="H97" i="15"/>
  <c r="J90" i="15"/>
  <c r="I90" i="15"/>
  <c r="H89" i="15"/>
  <c r="E89" i="15"/>
  <c r="D89" i="15"/>
  <c r="C90" i="15"/>
  <c r="B89" i="15"/>
  <c r="F89" i="15"/>
  <c r="G89" i="15"/>
  <c r="K82" i="15"/>
  <c r="D82" i="15"/>
  <c r="C82" i="15"/>
  <c r="G82" i="15"/>
  <c r="E83" i="15"/>
  <c r="H82" i="15"/>
  <c r="C76" i="15"/>
  <c r="K76" i="15"/>
  <c r="J75" i="15"/>
  <c r="I76" i="15"/>
  <c r="H75" i="15"/>
  <c r="E75" i="15"/>
  <c r="D75" i="15"/>
  <c r="B76" i="15"/>
  <c r="F75" i="15"/>
  <c r="G75" i="15"/>
  <c r="I68" i="15"/>
  <c r="K69" i="15"/>
  <c r="C69" i="15"/>
  <c r="B68" i="15"/>
  <c r="D15" i="16"/>
  <c r="D14" i="16"/>
  <c r="D8" i="16"/>
  <c r="D7" i="16"/>
  <c r="I22" i="16"/>
  <c r="I21" i="16"/>
  <c r="F29" i="16"/>
  <c r="F28" i="16"/>
  <c r="B20" i="16"/>
  <c r="J20" i="16"/>
  <c r="G27" i="16"/>
  <c r="H28" i="16"/>
  <c r="G35" i="16"/>
  <c r="G14" i="16"/>
  <c r="J27" i="16"/>
  <c r="J28" i="16" s="1"/>
  <c r="C20" i="16"/>
  <c r="F14" i="16"/>
  <c r="D20" i="16"/>
  <c r="G7" i="16"/>
  <c r="E20" i="16"/>
  <c r="B27" i="16"/>
  <c r="B28" i="16" s="1"/>
  <c r="B6" i="16"/>
  <c r="J6" i="16"/>
  <c r="H7" i="16"/>
  <c r="F8" i="16"/>
  <c r="I13" i="16"/>
  <c r="H14" i="16"/>
  <c r="F20" i="16"/>
  <c r="C27" i="16"/>
  <c r="I7" i="16"/>
  <c r="B13" i="16"/>
  <c r="J13" i="16"/>
  <c r="G20" i="16"/>
  <c r="D27" i="16"/>
  <c r="I27" i="16"/>
  <c r="C13" i="16"/>
  <c r="C48" i="16" s="1"/>
  <c r="C49" i="16" s="1"/>
  <c r="H20" i="16"/>
  <c r="E27" i="16"/>
  <c r="C35" i="16"/>
  <c r="C7" i="16"/>
  <c r="B12" i="15"/>
  <c r="C12" i="15"/>
  <c r="K12" i="15"/>
  <c r="B5" i="15"/>
  <c r="J5" i="15"/>
  <c r="C7" i="15"/>
  <c r="I7" i="15"/>
  <c r="I52" i="15"/>
  <c r="I54" i="15" s="1"/>
  <c r="D5" i="15"/>
  <c r="F12" i="15"/>
  <c r="F14" i="15" s="1"/>
  <c r="E5" i="15"/>
  <c r="E7" i="15" s="1"/>
  <c r="E12" i="15"/>
  <c r="E13" i="15" s="1"/>
  <c r="I59" i="15"/>
  <c r="I61" i="15" s="1"/>
  <c r="G12" i="15"/>
  <c r="G14" i="15" s="1"/>
  <c r="F5" i="15"/>
  <c r="F7" i="15" s="1"/>
  <c r="D13" i="15"/>
  <c r="H12" i="15"/>
  <c r="H14" i="15" s="1"/>
  <c r="I14" i="15"/>
  <c r="G5" i="15"/>
  <c r="H6" i="15"/>
  <c r="H45" i="15"/>
  <c r="G45" i="15"/>
  <c r="B46" i="15"/>
  <c r="K45" i="15"/>
  <c r="J46" i="15"/>
  <c r="I46" i="15"/>
  <c r="D45" i="15"/>
  <c r="C45" i="15"/>
  <c r="E45" i="15"/>
  <c r="F45" i="15"/>
  <c r="I38" i="15"/>
  <c r="C38" i="15"/>
  <c r="C37" i="15"/>
  <c r="J36" i="15"/>
  <c r="J38" i="15" s="1"/>
  <c r="G36" i="15"/>
  <c r="G38" i="15" s="1"/>
  <c r="B37" i="15"/>
  <c r="K36" i="15"/>
  <c r="H37" i="15"/>
  <c r="D37" i="15"/>
  <c r="E37" i="15"/>
  <c r="F37" i="15"/>
  <c r="G30" i="15"/>
  <c r="F29" i="15"/>
  <c r="I29" i="15"/>
  <c r="D21" i="15"/>
  <c r="I21" i="15"/>
  <c r="B22" i="15"/>
  <c r="D30" i="15"/>
  <c r="B29" i="15"/>
  <c r="H29" i="15"/>
  <c r="C29" i="15"/>
  <c r="K29" i="15"/>
  <c r="F21" i="15"/>
  <c r="G21" i="15"/>
  <c r="E6" i="15"/>
  <c r="F6" i="15"/>
  <c r="F13" i="15"/>
  <c r="E14" i="15"/>
  <c r="B61" i="15"/>
  <c r="B60" i="15"/>
  <c r="F52" i="15"/>
  <c r="G59" i="15"/>
  <c r="G52" i="15"/>
  <c r="H59" i="15"/>
  <c r="J59" i="15"/>
  <c r="J52" i="15"/>
  <c r="K59" i="15"/>
  <c r="C52" i="15"/>
  <c r="K52" i="15"/>
  <c r="D59" i="15"/>
  <c r="B52" i="15"/>
  <c r="H53" i="15"/>
  <c r="C59" i="15"/>
  <c r="D52" i="15"/>
  <c r="E59" i="15"/>
  <c r="E52" i="15"/>
  <c r="F59" i="15"/>
  <c r="C67" i="14"/>
  <c r="B68" i="14"/>
  <c r="D68" i="14"/>
  <c r="F67" i="14"/>
  <c r="G67" i="14"/>
  <c r="E68" i="14"/>
  <c r="B61" i="14"/>
  <c r="J61" i="14"/>
  <c r="H60" i="14"/>
  <c r="G60" i="14"/>
  <c r="E60" i="14"/>
  <c r="D60" i="14"/>
  <c r="C61" i="14"/>
  <c r="K61" i="14"/>
  <c r="F60" i="14"/>
  <c r="I60" i="14"/>
  <c r="X76" i="13"/>
  <c r="X77" i="13"/>
  <c r="X78" i="13"/>
  <c r="X79" i="13"/>
  <c r="X80" i="13"/>
  <c r="X81" i="13"/>
  <c r="X82" i="13"/>
  <c r="X83" i="13"/>
  <c r="X84" i="13"/>
  <c r="X85" i="13"/>
  <c r="X86" i="13"/>
  <c r="X87" i="13"/>
  <c r="X88" i="13"/>
  <c r="X89" i="13"/>
  <c r="X90" i="13"/>
  <c r="X91" i="13"/>
  <c r="X75" i="13"/>
  <c r="W76" i="13"/>
  <c r="W77" i="13"/>
  <c r="W78" i="13"/>
  <c r="W79" i="13"/>
  <c r="W80" i="13"/>
  <c r="W81" i="13"/>
  <c r="W82" i="13"/>
  <c r="W83" i="13"/>
  <c r="W84" i="13"/>
  <c r="W85" i="13"/>
  <c r="W86" i="13"/>
  <c r="W87" i="13"/>
  <c r="W88" i="13"/>
  <c r="W89" i="13"/>
  <c r="W90" i="13"/>
  <c r="W91" i="13"/>
  <c r="W75" i="13"/>
  <c r="U76" i="13"/>
  <c r="U77" i="13"/>
  <c r="U78" i="13"/>
  <c r="U79" i="13"/>
  <c r="U80" i="13"/>
  <c r="U81" i="13"/>
  <c r="U82" i="13"/>
  <c r="U83" i="13"/>
  <c r="U84" i="13"/>
  <c r="U85" i="13"/>
  <c r="U86" i="13"/>
  <c r="U87" i="13"/>
  <c r="U88" i="13"/>
  <c r="U89" i="13"/>
  <c r="U90" i="13"/>
  <c r="U91" i="13"/>
  <c r="U75" i="13"/>
  <c r="S69" i="13"/>
  <c r="S68" i="13"/>
  <c r="M70" i="13"/>
  <c r="M69" i="13"/>
  <c r="E54" i="14"/>
  <c r="E53" i="14"/>
  <c r="C53" i="14"/>
  <c r="D53" i="14"/>
  <c r="F53" i="14"/>
  <c r="G53" i="14"/>
  <c r="H53" i="14"/>
  <c r="I53" i="14"/>
  <c r="J53" i="14"/>
  <c r="K53" i="14"/>
  <c r="C52" i="14"/>
  <c r="D52" i="14"/>
  <c r="E52" i="14"/>
  <c r="F52" i="14"/>
  <c r="G52" i="14"/>
  <c r="H52" i="14"/>
  <c r="I52" i="14"/>
  <c r="J52" i="14"/>
  <c r="J54" i="14" s="1"/>
  <c r="K52" i="14"/>
  <c r="C54" i="14"/>
  <c r="K54" i="14"/>
  <c r="B52" i="14"/>
  <c r="B54" i="14" s="1"/>
  <c r="M50" i="14"/>
  <c r="D54" i="14" s="1"/>
  <c r="M42" i="14"/>
  <c r="E44" i="14" s="1"/>
  <c r="B36" i="14"/>
  <c r="B37" i="14" s="1"/>
  <c r="J36" i="14"/>
  <c r="J37" i="14" s="1"/>
  <c r="I36" i="14"/>
  <c r="I37" i="14" s="1"/>
  <c r="H36" i="14"/>
  <c r="H37" i="14" s="1"/>
  <c r="G36" i="14"/>
  <c r="G37" i="14" s="1"/>
  <c r="F36" i="14"/>
  <c r="F38" i="14" s="1"/>
  <c r="E36" i="14"/>
  <c r="E38" i="14" s="1"/>
  <c r="D36" i="14"/>
  <c r="D38" i="14" s="1"/>
  <c r="C36" i="14"/>
  <c r="C38" i="14" s="1"/>
  <c r="M34" i="14"/>
  <c r="C28" i="14"/>
  <c r="D28" i="14"/>
  <c r="E28" i="14"/>
  <c r="F28" i="14"/>
  <c r="G28" i="14"/>
  <c r="G30" i="14" s="1"/>
  <c r="H28" i="14"/>
  <c r="I28" i="14"/>
  <c r="J28" i="14"/>
  <c r="J29" i="14" s="1"/>
  <c r="B28" i="14"/>
  <c r="B29" i="14" s="1"/>
  <c r="M26" i="14"/>
  <c r="C20" i="14"/>
  <c r="D20" i="14"/>
  <c r="E20" i="14"/>
  <c r="F20" i="14"/>
  <c r="G20" i="14"/>
  <c r="H20" i="14"/>
  <c r="I20" i="14"/>
  <c r="J20" i="14"/>
  <c r="C29" i="14"/>
  <c r="D30" i="14"/>
  <c r="F30" i="14"/>
  <c r="H30" i="14"/>
  <c r="I29" i="14"/>
  <c r="E29" i="14"/>
  <c r="E30" i="14"/>
  <c r="M18" i="14"/>
  <c r="M10" i="14"/>
  <c r="I5" i="14"/>
  <c r="I7" i="14" s="1"/>
  <c r="H5" i="14"/>
  <c r="H6" i="14" s="1"/>
  <c r="P11" i="14"/>
  <c r="P10" i="14"/>
  <c r="P9" i="14"/>
  <c r="P8" i="14"/>
  <c r="P7" i="14"/>
  <c r="P6" i="14"/>
  <c r="H79" i="11"/>
  <c r="H81" i="11" s="1"/>
  <c r="B79" i="11"/>
  <c r="B81" i="11" s="1"/>
  <c r="C79" i="11"/>
  <c r="C80" i="11" s="1"/>
  <c r="M77" i="11"/>
  <c r="M69" i="11"/>
  <c r="D80" i="11"/>
  <c r="J79" i="11"/>
  <c r="J81" i="11" s="1"/>
  <c r="I79" i="11"/>
  <c r="I81" i="11" s="1"/>
  <c r="G79" i="11"/>
  <c r="G81" i="11" s="1"/>
  <c r="F79" i="11"/>
  <c r="F81" i="11" s="1"/>
  <c r="E79" i="11"/>
  <c r="E80" i="11" s="1"/>
  <c r="D79" i="11"/>
  <c r="D81" i="11" s="1"/>
  <c r="I73" i="11"/>
  <c r="I72" i="11"/>
  <c r="E72" i="11"/>
  <c r="J71" i="11"/>
  <c r="J73" i="11" s="1"/>
  <c r="I71" i="11"/>
  <c r="H71" i="11"/>
  <c r="H72" i="11" s="1"/>
  <c r="G71" i="11"/>
  <c r="G73" i="11" s="1"/>
  <c r="F71" i="11"/>
  <c r="F73" i="11" s="1"/>
  <c r="E71" i="11"/>
  <c r="E73" i="11" s="1"/>
  <c r="D71" i="11"/>
  <c r="D72" i="11" s="1"/>
  <c r="C71" i="11"/>
  <c r="C73" i="11" s="1"/>
  <c r="B71" i="11"/>
  <c r="B73" i="11" s="1"/>
  <c r="H153" i="6"/>
  <c r="H152" i="6"/>
  <c r="H151" i="6"/>
  <c r="H150" i="6"/>
  <c r="H149" i="6"/>
  <c r="H148" i="6"/>
  <c r="H147" i="6"/>
  <c r="H144" i="6"/>
  <c r="H142" i="6"/>
  <c r="H141" i="6"/>
  <c r="H140" i="6"/>
  <c r="H139" i="6"/>
  <c r="H138" i="6"/>
  <c r="H137" i="6"/>
  <c r="H136" i="6"/>
  <c r="V113" i="6"/>
  <c r="W113" i="6"/>
  <c r="W115" i="6" s="1"/>
  <c r="W116" i="6" s="1"/>
  <c r="X113" i="6"/>
  <c r="X115" i="6" s="1"/>
  <c r="X116" i="6" s="1"/>
  <c r="Y113" i="6"/>
  <c r="Y115" i="6" s="1"/>
  <c r="Y116" i="6" s="1"/>
  <c r="Z113" i="6"/>
  <c r="AA113" i="6"/>
  <c r="AA115" i="6" s="1"/>
  <c r="AA116" i="6" s="1"/>
  <c r="AB113" i="6"/>
  <c r="AB115" i="6" s="1"/>
  <c r="AB116" i="6" s="1"/>
  <c r="AC113" i="6"/>
  <c r="AC115" i="6" s="1"/>
  <c r="AC116" i="6" s="1"/>
  <c r="AD113" i="6"/>
  <c r="AE113" i="6"/>
  <c r="AE115" i="6" s="1"/>
  <c r="AE116" i="6" s="1"/>
  <c r="AF113" i="6"/>
  <c r="AG113" i="6"/>
  <c r="AG115" i="6" s="1"/>
  <c r="AG116" i="6" s="1"/>
  <c r="AH113" i="6"/>
  <c r="AH115" i="6" s="1"/>
  <c r="AH116" i="6" s="1"/>
  <c r="AI113" i="6"/>
  <c r="AI115" i="6" s="1"/>
  <c r="AI116" i="6" s="1"/>
  <c r="AJ113" i="6"/>
  <c r="AJ115" i="6" s="1"/>
  <c r="AJ116" i="6" s="1"/>
  <c r="AK113" i="6"/>
  <c r="AK115" i="6" s="1"/>
  <c r="AK116" i="6" s="1"/>
  <c r="AL113" i="6"/>
  <c r="AL115" i="6" s="1"/>
  <c r="AL116" i="6" s="1"/>
  <c r="U113" i="6"/>
  <c r="U115" i="6" s="1"/>
  <c r="U116" i="6" s="1"/>
  <c r="AD115" i="6"/>
  <c r="AF115" i="6"/>
  <c r="AF116" i="6" s="1"/>
  <c r="Z115" i="6"/>
  <c r="Z116" i="6" s="1"/>
  <c r="V115" i="6"/>
  <c r="V116" i="6" s="1"/>
  <c r="M40" i="13"/>
  <c r="M41" i="13"/>
  <c r="M42" i="13"/>
  <c r="M43" i="13"/>
  <c r="M44" i="13"/>
  <c r="M45" i="13"/>
  <c r="M46" i="13"/>
  <c r="M47" i="13"/>
  <c r="M48" i="13"/>
  <c r="M49" i="13"/>
  <c r="M50" i="13"/>
  <c r="M51" i="13"/>
  <c r="M52" i="13"/>
  <c r="M39" i="13"/>
  <c r="V25" i="13"/>
  <c r="V26" i="13"/>
  <c r="V27" i="13"/>
  <c r="V28" i="13"/>
  <c r="V29" i="13"/>
  <c r="V30" i="13"/>
  <c r="V31" i="13"/>
  <c r="V32" i="13"/>
  <c r="V33" i="13"/>
  <c r="V34" i="13"/>
  <c r="V35" i="13"/>
  <c r="V36" i="13"/>
  <c r="V37" i="13"/>
  <c r="V24" i="13"/>
  <c r="U25" i="13"/>
  <c r="U26" i="13"/>
  <c r="U27" i="13"/>
  <c r="U28" i="13"/>
  <c r="U29" i="13"/>
  <c r="U30" i="13"/>
  <c r="U31" i="13"/>
  <c r="U32" i="13"/>
  <c r="U33" i="13"/>
  <c r="U34" i="13"/>
  <c r="U35" i="13"/>
  <c r="U36" i="13"/>
  <c r="U37" i="13"/>
  <c r="U24" i="13"/>
  <c r="T25" i="13"/>
  <c r="T26" i="13"/>
  <c r="T27" i="13"/>
  <c r="T28" i="13"/>
  <c r="T29" i="13"/>
  <c r="T30" i="13"/>
  <c r="T31" i="13"/>
  <c r="T32" i="13"/>
  <c r="T33" i="13"/>
  <c r="T34" i="13"/>
  <c r="T35" i="13"/>
  <c r="T36" i="13"/>
  <c r="T37" i="13"/>
  <c r="T24" i="13"/>
  <c r="P6" i="11"/>
  <c r="F64" i="11" s="1"/>
  <c r="F66" i="11" s="1"/>
  <c r="I48" i="16" l="1"/>
  <c r="I49" i="16" s="1"/>
  <c r="G48" i="16"/>
  <c r="G49" i="16" s="1"/>
  <c r="D29" i="16"/>
  <c r="D28" i="16"/>
  <c r="E22" i="16"/>
  <c r="E21" i="16"/>
  <c r="E48" i="16"/>
  <c r="E49" i="16" s="1"/>
  <c r="J15" i="16"/>
  <c r="J14" i="16"/>
  <c r="I15" i="16"/>
  <c r="I14" i="16"/>
  <c r="D22" i="16"/>
  <c r="D21" i="16"/>
  <c r="D48" i="16"/>
  <c r="D49" i="16" s="1"/>
  <c r="E29" i="16"/>
  <c r="E28" i="16"/>
  <c r="B15" i="16"/>
  <c r="B14" i="16"/>
  <c r="G29" i="16"/>
  <c r="G28" i="16"/>
  <c r="H21" i="16"/>
  <c r="H22" i="16"/>
  <c r="C22" i="16"/>
  <c r="C21" i="16"/>
  <c r="J22" i="16"/>
  <c r="J21" i="16"/>
  <c r="H48" i="16"/>
  <c r="H49" i="16" s="1"/>
  <c r="B21" i="16"/>
  <c r="B22" i="16"/>
  <c r="C29" i="16"/>
  <c r="C28" i="16"/>
  <c r="F22" i="16"/>
  <c r="F21" i="16"/>
  <c r="F48" i="16"/>
  <c r="F49" i="16" s="1"/>
  <c r="G22" i="16"/>
  <c r="G21" i="16"/>
  <c r="C14" i="16"/>
  <c r="C15" i="16"/>
  <c r="J48" i="16"/>
  <c r="J49" i="16" s="1"/>
  <c r="J7" i="16"/>
  <c r="J8" i="16"/>
  <c r="I28" i="16"/>
  <c r="I29" i="16"/>
  <c r="B48" i="16"/>
  <c r="B49" i="16" s="1"/>
  <c r="B7" i="16"/>
  <c r="B8" i="16"/>
  <c r="I60" i="15"/>
  <c r="B13" i="15"/>
  <c r="B14" i="15"/>
  <c r="I53" i="15"/>
  <c r="D7" i="15"/>
  <c r="D6" i="15"/>
  <c r="J6" i="15"/>
  <c r="J7" i="15"/>
  <c r="H13" i="15"/>
  <c r="B6" i="15"/>
  <c r="B7" i="15"/>
  <c r="G7" i="15"/>
  <c r="G6" i="15"/>
  <c r="K14" i="15"/>
  <c r="K13" i="15"/>
  <c r="G13" i="15"/>
  <c r="C14" i="15"/>
  <c r="C13" i="15"/>
  <c r="G37" i="15"/>
  <c r="J37" i="15"/>
  <c r="K37" i="15"/>
  <c r="K38" i="15"/>
  <c r="B38" i="15"/>
  <c r="B53" i="15"/>
  <c r="B54" i="15"/>
  <c r="F54" i="15"/>
  <c r="F53" i="15"/>
  <c r="D60" i="15"/>
  <c r="D61" i="15"/>
  <c r="E61" i="15"/>
  <c r="E60" i="15"/>
  <c r="K53" i="15"/>
  <c r="K54" i="15"/>
  <c r="J53" i="15"/>
  <c r="J54" i="15"/>
  <c r="D54" i="15"/>
  <c r="D53" i="15"/>
  <c r="C53" i="15"/>
  <c r="C54" i="15"/>
  <c r="H61" i="15"/>
  <c r="H60" i="15"/>
  <c r="G53" i="15"/>
  <c r="G54" i="15"/>
  <c r="C60" i="15"/>
  <c r="C61" i="15"/>
  <c r="E54" i="15"/>
  <c r="E53" i="15"/>
  <c r="F61" i="15"/>
  <c r="F60" i="15"/>
  <c r="K60" i="15"/>
  <c r="K61" i="15"/>
  <c r="J61" i="15"/>
  <c r="J60" i="15"/>
  <c r="G61" i="15"/>
  <c r="G60" i="15"/>
  <c r="F54" i="14"/>
  <c r="H54" i="14"/>
  <c r="I54" i="14"/>
  <c r="B53" i="14"/>
  <c r="E46" i="14"/>
  <c r="E45" i="14"/>
  <c r="D44" i="14"/>
  <c r="D46" i="14" s="1"/>
  <c r="B44" i="14"/>
  <c r="B45" i="14" s="1"/>
  <c r="C44" i="14"/>
  <c r="C45" i="14" s="1"/>
  <c r="J44" i="14"/>
  <c r="I44" i="14"/>
  <c r="I46" i="14" s="1"/>
  <c r="H44" i="14"/>
  <c r="H46" i="14" s="1"/>
  <c r="G44" i="14"/>
  <c r="G45" i="14" s="1"/>
  <c r="F44" i="14"/>
  <c r="B46" i="14"/>
  <c r="C46" i="14"/>
  <c r="H45" i="14"/>
  <c r="G46" i="14"/>
  <c r="H38" i="14"/>
  <c r="G38" i="14"/>
  <c r="E37" i="14"/>
  <c r="I38" i="14"/>
  <c r="C37" i="14"/>
  <c r="B38" i="14"/>
  <c r="J38" i="14"/>
  <c r="D37" i="14"/>
  <c r="F37" i="14"/>
  <c r="H29" i="14"/>
  <c r="C30" i="14"/>
  <c r="I30" i="14"/>
  <c r="B30" i="14"/>
  <c r="J30" i="14"/>
  <c r="D29" i="14"/>
  <c r="F29" i="14"/>
  <c r="G29" i="14"/>
  <c r="E12" i="14"/>
  <c r="E14" i="14" s="1"/>
  <c r="D12" i="14"/>
  <c r="D13" i="14" s="1"/>
  <c r="H22" i="14"/>
  <c r="I22" i="14"/>
  <c r="C21" i="14"/>
  <c r="C22" i="14"/>
  <c r="D22" i="14"/>
  <c r="D21" i="14"/>
  <c r="E5" i="14"/>
  <c r="I12" i="14"/>
  <c r="F5" i="14"/>
  <c r="B12" i="14"/>
  <c r="J12" i="14"/>
  <c r="G5" i="14"/>
  <c r="C12" i="14"/>
  <c r="B5" i="14"/>
  <c r="J5" i="14"/>
  <c r="I6" i="14"/>
  <c r="H7" i="14"/>
  <c r="F12" i="14"/>
  <c r="E13" i="14"/>
  <c r="B20" i="14"/>
  <c r="C5" i="14"/>
  <c r="G12" i="14"/>
  <c r="D5" i="14"/>
  <c r="H12" i="14"/>
  <c r="C81" i="11"/>
  <c r="F80" i="11"/>
  <c r="E81" i="11"/>
  <c r="G80" i="11"/>
  <c r="H80" i="11"/>
  <c r="I80" i="11"/>
  <c r="B80" i="11"/>
  <c r="J80" i="11"/>
  <c r="H73" i="11"/>
  <c r="D73" i="11"/>
  <c r="B72" i="11"/>
  <c r="J72" i="11"/>
  <c r="C72" i="11"/>
  <c r="F72" i="11"/>
  <c r="G72" i="11"/>
  <c r="H64" i="11"/>
  <c r="H66" i="11" s="1"/>
  <c r="G64" i="11"/>
  <c r="G66" i="11" s="1"/>
  <c r="B13" i="11"/>
  <c r="B64" i="11"/>
  <c r="C64" i="11"/>
  <c r="E64" i="11"/>
  <c r="E65" i="11" s="1"/>
  <c r="I64" i="11"/>
  <c r="I66" i="11" s="1"/>
  <c r="J64" i="11"/>
  <c r="D64" i="11"/>
  <c r="F65" i="11"/>
  <c r="H65" i="11"/>
  <c r="L126" i="6"/>
  <c r="L125" i="6"/>
  <c r="V104" i="6"/>
  <c r="W104" i="6"/>
  <c r="W106" i="6" s="1"/>
  <c r="W107" i="6" s="1"/>
  <c r="X104" i="6"/>
  <c r="X106" i="6" s="1"/>
  <c r="X107" i="6" s="1"/>
  <c r="Y104" i="6"/>
  <c r="Y106" i="6" s="1"/>
  <c r="Y107" i="6" s="1"/>
  <c r="Z104" i="6"/>
  <c r="Z106" i="6" s="1"/>
  <c r="Z107" i="6" s="1"/>
  <c r="AA104" i="6"/>
  <c r="AA106" i="6" s="1"/>
  <c r="AA107" i="6" s="1"/>
  <c r="AB104" i="6"/>
  <c r="AC104" i="6"/>
  <c r="AD106" i="6"/>
  <c r="AE104" i="6"/>
  <c r="AE106" i="6" s="1"/>
  <c r="AE107" i="6" s="1"/>
  <c r="AF104" i="6"/>
  <c r="AF106" i="6" s="1"/>
  <c r="AF107" i="6" s="1"/>
  <c r="AG104" i="6"/>
  <c r="AG106" i="6" s="1"/>
  <c r="AG107" i="6" s="1"/>
  <c r="AH104" i="6"/>
  <c r="AH106" i="6" s="1"/>
  <c r="AH107" i="6" s="1"/>
  <c r="AI104" i="6"/>
  <c r="AI106" i="6" s="1"/>
  <c r="AI107" i="6" s="1"/>
  <c r="AJ104" i="6"/>
  <c r="AJ106" i="6" s="1"/>
  <c r="AJ107" i="6" s="1"/>
  <c r="AK104" i="6"/>
  <c r="AL104" i="6"/>
  <c r="AL106" i="6" s="1"/>
  <c r="AL107" i="6" s="1"/>
  <c r="U104" i="6"/>
  <c r="AK106" i="6"/>
  <c r="AK107" i="6" s="1"/>
  <c r="AC106" i="6"/>
  <c r="AC107" i="6" s="1"/>
  <c r="AB106" i="6"/>
  <c r="AB107" i="6" s="1"/>
  <c r="V106" i="6"/>
  <c r="V107" i="6" s="1"/>
  <c r="U106" i="6"/>
  <c r="U107" i="6" s="1"/>
  <c r="E150" i="6"/>
  <c r="E149" i="6"/>
  <c r="E148" i="6"/>
  <c r="E147" i="6"/>
  <c r="E146" i="6"/>
  <c r="E145" i="6"/>
  <c r="E144" i="6"/>
  <c r="E142" i="6"/>
  <c r="E141" i="6"/>
  <c r="E140" i="6"/>
  <c r="E139" i="6"/>
  <c r="E138" i="6"/>
  <c r="E136" i="6"/>
  <c r="E135" i="6"/>
  <c r="D57" i="11"/>
  <c r="D58" i="11" s="1"/>
  <c r="C57" i="11"/>
  <c r="C52" i="11"/>
  <c r="D52" i="11"/>
  <c r="E52" i="11"/>
  <c r="F52" i="11"/>
  <c r="G52" i="11"/>
  <c r="H52" i="11"/>
  <c r="I52" i="11"/>
  <c r="J52" i="11"/>
  <c r="B52" i="11"/>
  <c r="J57" i="11"/>
  <c r="J58" i="11" s="1"/>
  <c r="I57" i="11"/>
  <c r="H57" i="11"/>
  <c r="H58" i="11" s="1"/>
  <c r="G57" i="11"/>
  <c r="G59" i="11" s="1"/>
  <c r="F57" i="11"/>
  <c r="F58" i="11" s="1"/>
  <c r="E57" i="11"/>
  <c r="E58" i="11" s="1"/>
  <c r="B57" i="11"/>
  <c r="B59" i="11" s="1"/>
  <c r="J49" i="11"/>
  <c r="J51" i="11" s="1"/>
  <c r="I49" i="11"/>
  <c r="I51" i="11" s="1"/>
  <c r="H49" i="11"/>
  <c r="H51" i="11" s="1"/>
  <c r="G49" i="11"/>
  <c r="G51" i="11" s="1"/>
  <c r="F49" i="11"/>
  <c r="F51" i="11" s="1"/>
  <c r="E49" i="11"/>
  <c r="E50" i="11" s="1"/>
  <c r="D49" i="11"/>
  <c r="D51" i="11" s="1"/>
  <c r="C49" i="11"/>
  <c r="C50" i="11" s="1"/>
  <c r="B49" i="11"/>
  <c r="B51" i="11" s="1"/>
  <c r="J41" i="11"/>
  <c r="J43" i="11" s="1"/>
  <c r="I41" i="11"/>
  <c r="I43" i="11" s="1"/>
  <c r="H41" i="11"/>
  <c r="H43" i="11" s="1"/>
  <c r="G41" i="11"/>
  <c r="G43" i="11" s="1"/>
  <c r="F41" i="11"/>
  <c r="F42" i="11" s="1"/>
  <c r="E41" i="11"/>
  <c r="E43" i="11" s="1"/>
  <c r="D41" i="11"/>
  <c r="D43" i="11" s="1"/>
  <c r="C41" i="11"/>
  <c r="C42" i="11" s="1"/>
  <c r="B41" i="11"/>
  <c r="B43" i="11" s="1"/>
  <c r="J34" i="11"/>
  <c r="J35" i="11" s="1"/>
  <c r="I34" i="11"/>
  <c r="I35" i="11" s="1"/>
  <c r="H34" i="11"/>
  <c r="H36" i="11" s="1"/>
  <c r="G34" i="11"/>
  <c r="G36" i="11" s="1"/>
  <c r="F34" i="11"/>
  <c r="F36" i="11" s="1"/>
  <c r="E34" i="11"/>
  <c r="E36" i="11" s="1"/>
  <c r="D34" i="11"/>
  <c r="D36" i="11" s="1"/>
  <c r="C34" i="11"/>
  <c r="C35" i="11" s="1"/>
  <c r="B34" i="11"/>
  <c r="B35" i="11" s="1"/>
  <c r="E129" i="6"/>
  <c r="E127" i="6"/>
  <c r="E124" i="6"/>
  <c r="E126" i="6"/>
  <c r="E125" i="6"/>
  <c r="E123" i="6"/>
  <c r="E119" i="6"/>
  <c r="E118" i="6"/>
  <c r="E117" i="6"/>
  <c r="E114" i="6"/>
  <c r="E128" i="6"/>
  <c r="E121" i="6"/>
  <c r="E120" i="6"/>
  <c r="E115" i="6"/>
  <c r="V96" i="6"/>
  <c r="V98" i="6" s="1"/>
  <c r="V99" i="6" s="1"/>
  <c r="W96" i="6"/>
  <c r="X96" i="6"/>
  <c r="Y96" i="6"/>
  <c r="Y98" i="6" s="1"/>
  <c r="Y99" i="6" s="1"/>
  <c r="Z96" i="6"/>
  <c r="Z98" i="6" s="1"/>
  <c r="Z99" i="6" s="1"/>
  <c r="AA96" i="6"/>
  <c r="AA98" i="6" s="1"/>
  <c r="AA99" i="6" s="1"/>
  <c r="AB96" i="6"/>
  <c r="AB98" i="6" s="1"/>
  <c r="AB99" i="6" s="1"/>
  <c r="AC96" i="6"/>
  <c r="AC98" i="6" s="1"/>
  <c r="AC99" i="6" s="1"/>
  <c r="AD96" i="6"/>
  <c r="AE96" i="6"/>
  <c r="AE98" i="6" s="1"/>
  <c r="AE99" i="6" s="1"/>
  <c r="AF96" i="6"/>
  <c r="AF98" i="6" s="1"/>
  <c r="AF99" i="6" s="1"/>
  <c r="AG96" i="6"/>
  <c r="AG98" i="6" s="1"/>
  <c r="AG99" i="6" s="1"/>
  <c r="AH96" i="6"/>
  <c r="AH98" i="6" s="1"/>
  <c r="AH99" i="6" s="1"/>
  <c r="AI96" i="6"/>
  <c r="AI98" i="6" s="1"/>
  <c r="AI99" i="6" s="1"/>
  <c r="AJ96" i="6"/>
  <c r="AJ98" i="6" s="1"/>
  <c r="AJ99" i="6" s="1"/>
  <c r="AK96" i="6"/>
  <c r="AK98" i="6" s="1"/>
  <c r="AK99" i="6" s="1"/>
  <c r="AL96" i="6"/>
  <c r="AL98" i="6" s="1"/>
  <c r="AL99" i="6" s="1"/>
  <c r="U96" i="6"/>
  <c r="U98" i="6" s="1"/>
  <c r="U99" i="6" s="1"/>
  <c r="AD98" i="6"/>
  <c r="X98" i="6"/>
  <c r="X99" i="6" s="1"/>
  <c r="W98" i="6"/>
  <c r="W99" i="6" s="1"/>
  <c r="J27" i="11"/>
  <c r="J28" i="11" s="1"/>
  <c r="I27" i="11"/>
  <c r="I29" i="11" s="1"/>
  <c r="H27" i="11"/>
  <c r="H29" i="11" s="1"/>
  <c r="G27" i="11"/>
  <c r="G29" i="11" s="1"/>
  <c r="F27" i="11"/>
  <c r="F28" i="11" s="1"/>
  <c r="E27" i="11"/>
  <c r="E29" i="11" s="1"/>
  <c r="D27" i="11"/>
  <c r="D29" i="11" s="1"/>
  <c r="C27" i="11"/>
  <c r="C29" i="11" s="1"/>
  <c r="B27" i="11"/>
  <c r="B28" i="11" s="1"/>
  <c r="J20" i="11"/>
  <c r="J22" i="11" s="1"/>
  <c r="I20" i="11"/>
  <c r="I22" i="11" s="1"/>
  <c r="H20" i="11"/>
  <c r="H21" i="11" s="1"/>
  <c r="G20" i="11"/>
  <c r="G21" i="11" s="1"/>
  <c r="F20" i="11"/>
  <c r="F22" i="11" s="1"/>
  <c r="E20" i="11"/>
  <c r="E22" i="11" s="1"/>
  <c r="D20" i="11"/>
  <c r="D22" i="11" s="1"/>
  <c r="C20" i="11"/>
  <c r="C21" i="11" s="1"/>
  <c r="B20" i="11"/>
  <c r="B22" i="11" s="1"/>
  <c r="B14" i="11"/>
  <c r="J13" i="11"/>
  <c r="J15" i="11" s="1"/>
  <c r="I13" i="11"/>
  <c r="I15" i="11" s="1"/>
  <c r="H13" i="11"/>
  <c r="H15" i="11" s="1"/>
  <c r="G13" i="11"/>
  <c r="G15" i="11" s="1"/>
  <c r="F13" i="11"/>
  <c r="F15" i="11" s="1"/>
  <c r="E13" i="11"/>
  <c r="E15" i="11" s="1"/>
  <c r="D13" i="11"/>
  <c r="D15" i="11" s="1"/>
  <c r="C13" i="11"/>
  <c r="C14" i="11" s="1"/>
  <c r="B15" i="11"/>
  <c r="L103" i="6"/>
  <c r="L108" i="6"/>
  <c r="L106" i="6"/>
  <c r="L105" i="6"/>
  <c r="L101" i="6"/>
  <c r="L100" i="6"/>
  <c r="L98" i="6"/>
  <c r="L95" i="6"/>
  <c r="V87" i="6"/>
  <c r="V89" i="6" s="1"/>
  <c r="V90" i="6" s="1"/>
  <c r="W87" i="6"/>
  <c r="W89" i="6" s="1"/>
  <c r="W90" i="6" s="1"/>
  <c r="X87" i="6"/>
  <c r="X89" i="6" s="1"/>
  <c r="X90" i="6" s="1"/>
  <c r="Y87" i="6"/>
  <c r="Y89" i="6" s="1"/>
  <c r="Y90" i="6" s="1"/>
  <c r="Z87" i="6"/>
  <c r="Z89" i="6" s="1"/>
  <c r="Z90" i="6" s="1"/>
  <c r="AA87" i="6"/>
  <c r="AA89" i="6" s="1"/>
  <c r="AA90" i="6" s="1"/>
  <c r="AB87" i="6"/>
  <c r="AB89" i="6" s="1"/>
  <c r="AB90" i="6" s="1"/>
  <c r="AC87" i="6"/>
  <c r="AC89" i="6" s="1"/>
  <c r="AC90" i="6" s="1"/>
  <c r="AD87" i="6"/>
  <c r="AD89" i="6" s="1"/>
  <c r="AE87" i="6"/>
  <c r="AE89" i="6" s="1"/>
  <c r="AE90" i="6" s="1"/>
  <c r="AF87" i="6"/>
  <c r="AF89" i="6" s="1"/>
  <c r="AF90" i="6" s="1"/>
  <c r="AG87" i="6"/>
  <c r="AG89" i="6" s="1"/>
  <c r="AG90" i="6" s="1"/>
  <c r="AH87" i="6"/>
  <c r="AH89" i="6" s="1"/>
  <c r="AH90" i="6" s="1"/>
  <c r="AI87" i="6"/>
  <c r="AJ87" i="6"/>
  <c r="AJ89" i="6" s="1"/>
  <c r="AJ90" i="6" s="1"/>
  <c r="AK87" i="6"/>
  <c r="AK89" i="6" s="1"/>
  <c r="AK90" i="6" s="1"/>
  <c r="AL87" i="6"/>
  <c r="AL89" i="6" s="1"/>
  <c r="AL90" i="6" s="1"/>
  <c r="U87" i="6"/>
  <c r="U89" i="6" s="1"/>
  <c r="U90" i="6" s="1"/>
  <c r="AI89" i="6"/>
  <c r="AI90" i="6" s="1"/>
  <c r="P11" i="11"/>
  <c r="P10" i="11"/>
  <c r="P9" i="11"/>
  <c r="P8" i="11"/>
  <c r="P7" i="11"/>
  <c r="J6" i="11"/>
  <c r="J8" i="11" s="1"/>
  <c r="I6" i="11"/>
  <c r="I8" i="11" s="1"/>
  <c r="H6" i="11"/>
  <c r="H7" i="11" s="1"/>
  <c r="G6" i="11"/>
  <c r="G8" i="11" s="1"/>
  <c r="F6" i="11"/>
  <c r="F8" i="11" s="1"/>
  <c r="E6" i="11"/>
  <c r="E8" i="11" s="1"/>
  <c r="D6" i="11"/>
  <c r="D8" i="11" s="1"/>
  <c r="C6" i="11"/>
  <c r="C7" i="11" s="1"/>
  <c r="B6" i="11"/>
  <c r="B8" i="11" s="1"/>
  <c r="G54" i="14" l="1"/>
  <c r="D45" i="14"/>
  <c r="I45" i="14"/>
  <c r="J46" i="14"/>
  <c r="J45" i="14"/>
  <c r="F46" i="14"/>
  <c r="F45" i="14"/>
  <c r="H21" i="14"/>
  <c r="I21" i="14"/>
  <c r="D14" i="14"/>
  <c r="J14" i="14"/>
  <c r="J13" i="14"/>
  <c r="E22" i="14"/>
  <c r="E21" i="14"/>
  <c r="J7" i="14"/>
  <c r="J6" i="14"/>
  <c r="B14" i="14"/>
  <c r="B13" i="14"/>
  <c r="I14" i="14"/>
  <c r="I13" i="14"/>
  <c r="J22" i="14"/>
  <c r="J21" i="14"/>
  <c r="B7" i="14"/>
  <c r="B6" i="14"/>
  <c r="F7" i="14"/>
  <c r="F6" i="14"/>
  <c r="E7" i="14"/>
  <c r="E6" i="14"/>
  <c r="H14" i="14"/>
  <c r="H13" i="14"/>
  <c r="B22" i="14"/>
  <c r="B21" i="14"/>
  <c r="D7" i="14"/>
  <c r="D6" i="14"/>
  <c r="G22" i="14"/>
  <c r="G21" i="14"/>
  <c r="G13" i="14"/>
  <c r="G14" i="14"/>
  <c r="C14" i="14"/>
  <c r="C13" i="14"/>
  <c r="C6" i="14"/>
  <c r="C7" i="14"/>
  <c r="F14" i="14"/>
  <c r="F13" i="14"/>
  <c r="G7" i="14"/>
  <c r="G6" i="14"/>
  <c r="F22" i="14"/>
  <c r="F21" i="14"/>
  <c r="I65" i="11"/>
  <c r="G65" i="11"/>
  <c r="J65" i="11"/>
  <c r="J66" i="11"/>
  <c r="C66" i="11"/>
  <c r="C65" i="11"/>
  <c r="B65" i="11"/>
  <c r="B66" i="11"/>
  <c r="E66" i="11"/>
  <c r="D66" i="11"/>
  <c r="D65" i="11"/>
  <c r="H22" i="11"/>
  <c r="I59" i="11"/>
  <c r="I58" i="11"/>
  <c r="E51" i="11"/>
  <c r="B36" i="11"/>
  <c r="I36" i="11"/>
  <c r="J36" i="11"/>
  <c r="G22" i="11"/>
  <c r="F35" i="11"/>
  <c r="D28" i="11"/>
  <c r="G28" i="11"/>
  <c r="F29" i="11"/>
  <c r="I42" i="11"/>
  <c r="J29" i="11"/>
  <c r="C58" i="11"/>
  <c r="C59" i="11"/>
  <c r="D59" i="11"/>
  <c r="B58" i="11"/>
  <c r="E59" i="11"/>
  <c r="F59" i="11"/>
  <c r="J59" i="11"/>
  <c r="G58" i="11"/>
  <c r="H59" i="11"/>
  <c r="B50" i="11"/>
  <c r="J50" i="11"/>
  <c r="F50" i="11"/>
  <c r="D50" i="11"/>
  <c r="C51" i="11"/>
  <c r="G50" i="11"/>
  <c r="H50" i="11"/>
  <c r="I50" i="11"/>
  <c r="G42" i="11"/>
  <c r="F43" i="11"/>
  <c r="D42" i="11"/>
  <c r="C43" i="11"/>
  <c r="E42" i="11"/>
  <c r="H42" i="11"/>
  <c r="B42" i="11"/>
  <c r="J42" i="11"/>
  <c r="D35" i="11"/>
  <c r="C36" i="11"/>
  <c r="E35" i="11"/>
  <c r="G35" i="11"/>
  <c r="H35" i="11"/>
  <c r="C28" i="11"/>
  <c r="B29" i="11"/>
  <c r="E28" i="11"/>
  <c r="H28" i="11"/>
  <c r="I28" i="11"/>
  <c r="I21" i="11"/>
  <c r="D21" i="11"/>
  <c r="D14" i="11"/>
  <c r="E21" i="11"/>
  <c r="C22" i="11"/>
  <c r="F21" i="11"/>
  <c r="B21" i="11"/>
  <c r="J21" i="11"/>
  <c r="G14" i="11"/>
  <c r="C15" i="11"/>
  <c r="E14" i="11"/>
  <c r="F14" i="11"/>
  <c r="H14" i="11"/>
  <c r="I14" i="11"/>
  <c r="J14" i="11"/>
  <c r="J7" i="11"/>
  <c r="G7" i="11"/>
  <c r="F7" i="11"/>
  <c r="C8" i="11"/>
  <c r="B7" i="11"/>
  <c r="H8" i="11"/>
  <c r="D7" i="11"/>
  <c r="E7" i="11"/>
  <c r="I7" i="11"/>
  <c r="E101" i="6"/>
  <c r="V79" i="6"/>
  <c r="V81" i="6" s="1"/>
  <c r="V82" i="6" s="1"/>
  <c r="W79" i="6"/>
  <c r="W81" i="6" s="1"/>
  <c r="W82" i="6" s="1"/>
  <c r="X79" i="6"/>
  <c r="Y79" i="6"/>
  <c r="Y81" i="6" s="1"/>
  <c r="Y82" i="6" s="1"/>
  <c r="Z79" i="6"/>
  <c r="Z81" i="6" s="1"/>
  <c r="Z82" i="6" s="1"/>
  <c r="AA79" i="6"/>
  <c r="AA81" i="6" s="1"/>
  <c r="AA82" i="6" s="1"/>
  <c r="AB79" i="6"/>
  <c r="AB81" i="6" s="1"/>
  <c r="AB82" i="6" s="1"/>
  <c r="AC79" i="6"/>
  <c r="AC81" i="6" s="1"/>
  <c r="AC82" i="6" s="1"/>
  <c r="AD79" i="6"/>
  <c r="AD81" i="6" s="1"/>
  <c r="AE79" i="6"/>
  <c r="AE81" i="6" s="1"/>
  <c r="AE82" i="6" s="1"/>
  <c r="AF79" i="6"/>
  <c r="AF81" i="6" s="1"/>
  <c r="AF82" i="6" s="1"/>
  <c r="AG79" i="6"/>
  <c r="AG81" i="6" s="1"/>
  <c r="AG82" i="6" s="1"/>
  <c r="AH79" i="6"/>
  <c r="AH81" i="6" s="1"/>
  <c r="AH82" i="6" s="1"/>
  <c r="AI79" i="6"/>
  <c r="AI81" i="6" s="1"/>
  <c r="AI82" i="6" s="1"/>
  <c r="AJ79" i="6"/>
  <c r="AJ81" i="6" s="1"/>
  <c r="AJ82" i="6" s="1"/>
  <c r="AK79" i="6"/>
  <c r="AK81" i="6" s="1"/>
  <c r="AK82" i="6" s="1"/>
  <c r="AL79" i="6"/>
  <c r="AL81" i="6" s="1"/>
  <c r="AL82" i="6" s="1"/>
  <c r="U79" i="6"/>
  <c r="U81" i="6" s="1"/>
  <c r="U82" i="6" s="1"/>
  <c r="E110" i="6"/>
  <c r="E93" i="6"/>
  <c r="X81" i="6"/>
  <c r="X82" i="6" s="1"/>
  <c r="E108" i="6"/>
  <c r="E94" i="6"/>
  <c r="L88" i="6"/>
  <c r="V71" i="6"/>
  <c r="W71" i="6"/>
  <c r="X71" i="6"/>
  <c r="X73" i="6" s="1"/>
  <c r="X74" i="6" s="1"/>
  <c r="Y71" i="6"/>
  <c r="Y73" i="6" s="1"/>
  <c r="Y74" i="6" s="1"/>
  <c r="Z71" i="6"/>
  <c r="AA71" i="6"/>
  <c r="AA73" i="6" s="1"/>
  <c r="AA74" i="6" s="1"/>
  <c r="AB71" i="6"/>
  <c r="AB73" i="6" s="1"/>
  <c r="AB74" i="6" s="1"/>
  <c r="AC71" i="6"/>
  <c r="AC73" i="6" s="1"/>
  <c r="AC74" i="6" s="1"/>
  <c r="AD71" i="6"/>
  <c r="AD73" i="6" s="1"/>
  <c r="AE71" i="6"/>
  <c r="AE73" i="6" s="1"/>
  <c r="AE74" i="6" s="1"/>
  <c r="AF71" i="6"/>
  <c r="AF73" i="6" s="1"/>
  <c r="AF74" i="6" s="1"/>
  <c r="AG71" i="6"/>
  <c r="AG73" i="6" s="1"/>
  <c r="AG74" i="6" s="1"/>
  <c r="AH71" i="6"/>
  <c r="AH73" i="6" s="1"/>
  <c r="AH74" i="6" s="1"/>
  <c r="AI71" i="6"/>
  <c r="AI73" i="6" s="1"/>
  <c r="AI74" i="6" s="1"/>
  <c r="AJ71" i="6"/>
  <c r="AJ73" i="6" s="1"/>
  <c r="AK71" i="6"/>
  <c r="AK73" i="6" s="1"/>
  <c r="AK74" i="6" s="1"/>
  <c r="AL71" i="6"/>
  <c r="AL73" i="6" s="1"/>
  <c r="AL74" i="6" s="1"/>
  <c r="U71" i="6"/>
  <c r="U73" i="6" s="1"/>
  <c r="U74" i="6" s="1"/>
  <c r="U63" i="6"/>
  <c r="U65" i="6" s="1"/>
  <c r="U66" i="6" s="1"/>
  <c r="AD63" i="6"/>
  <c r="AD65" i="6" s="1"/>
  <c r="L74" i="6"/>
  <c r="Z73" i="6"/>
  <c r="Z74" i="6" s="1"/>
  <c r="W73" i="6"/>
  <c r="W74" i="6" s="1"/>
  <c r="V73" i="6"/>
  <c r="V74" i="6" s="1"/>
  <c r="Z66" i="6"/>
  <c r="E81" i="6"/>
  <c r="E78" i="6"/>
  <c r="AH65" i="6"/>
  <c r="AH66" i="6" s="1"/>
  <c r="AI65" i="6"/>
  <c r="AI66" i="6" s="1"/>
  <c r="V63" i="6"/>
  <c r="V65" i="6" s="1"/>
  <c r="V66" i="6" s="1"/>
  <c r="W63" i="6"/>
  <c r="W65" i="6" s="1"/>
  <c r="W66" i="6" s="1"/>
  <c r="X63" i="6"/>
  <c r="X65" i="6" s="1"/>
  <c r="X66" i="6" s="1"/>
  <c r="Y63" i="6"/>
  <c r="Y65" i="6" s="1"/>
  <c r="Y66" i="6" s="1"/>
  <c r="Z63" i="6"/>
  <c r="Z65" i="6" s="1"/>
  <c r="AA63" i="6"/>
  <c r="AA65" i="6" s="1"/>
  <c r="AA66" i="6" s="1"/>
  <c r="AB63" i="6"/>
  <c r="AB65" i="6" s="1"/>
  <c r="AB66" i="6" s="1"/>
  <c r="AC63" i="6"/>
  <c r="AC65" i="6" s="1"/>
  <c r="AC66" i="6" s="1"/>
  <c r="AE63" i="6"/>
  <c r="AE65" i="6" s="1"/>
  <c r="AE66" i="6" s="1"/>
  <c r="AF63" i="6"/>
  <c r="AF65" i="6" s="1"/>
  <c r="AF66" i="6" s="1"/>
  <c r="AG63" i="6"/>
  <c r="AG65" i="6" s="1"/>
  <c r="AG66" i="6" s="1"/>
  <c r="AH63" i="6"/>
  <c r="AI63" i="6"/>
  <c r="AJ63" i="6"/>
  <c r="AJ65" i="6" s="1"/>
  <c r="AJ66" i="6" s="1"/>
  <c r="AK63" i="6"/>
  <c r="AK65" i="6" s="1"/>
  <c r="AK66" i="6" s="1"/>
  <c r="AL63" i="6"/>
  <c r="AL65" i="6" s="1"/>
  <c r="AL66" i="6" s="1"/>
  <c r="V55" i="6"/>
  <c r="V57" i="6" s="1"/>
  <c r="V58" i="6" s="1"/>
  <c r="E74" i="6"/>
  <c r="W55" i="6"/>
  <c r="W57" i="6" s="1"/>
  <c r="W58" i="6" s="1"/>
  <c r="X55" i="6"/>
  <c r="X57" i="6" s="1"/>
  <c r="X58" i="6" s="1"/>
  <c r="Y55" i="6"/>
  <c r="Y57" i="6" s="1"/>
  <c r="Y58" i="6" s="1"/>
  <c r="Z55" i="6"/>
  <c r="Z57" i="6" s="1"/>
  <c r="Z58" i="6" s="1"/>
  <c r="AA55" i="6"/>
  <c r="AA57" i="6" s="1"/>
  <c r="AA58" i="6" s="1"/>
  <c r="AB55" i="6"/>
  <c r="AB57" i="6" s="1"/>
  <c r="AB58" i="6" s="1"/>
  <c r="AC55" i="6"/>
  <c r="AC57" i="6" s="1"/>
  <c r="AC58" i="6" s="1"/>
  <c r="AD55" i="6"/>
  <c r="AD57" i="6" s="1"/>
  <c r="AE55" i="6"/>
  <c r="AE57" i="6" s="1"/>
  <c r="AE58" i="6" s="1"/>
  <c r="AF55" i="6"/>
  <c r="AF57" i="6" s="1"/>
  <c r="AF58" i="6" s="1"/>
  <c r="AG55" i="6"/>
  <c r="AG57" i="6" s="1"/>
  <c r="AG58" i="6" s="1"/>
  <c r="AH55" i="6"/>
  <c r="AH57" i="6" s="1"/>
  <c r="AH58" i="6" s="1"/>
  <c r="AI55" i="6"/>
  <c r="AI57" i="6" s="1"/>
  <c r="AI58" i="6" s="1"/>
  <c r="AJ55" i="6"/>
  <c r="AJ57" i="6" s="1"/>
  <c r="AJ58" i="6" s="1"/>
  <c r="AK55" i="6"/>
  <c r="AK57" i="6" s="1"/>
  <c r="AK58" i="6" s="1"/>
  <c r="AL55" i="6"/>
  <c r="AL57" i="6" s="1"/>
  <c r="AL58" i="6" s="1"/>
  <c r="U55" i="6"/>
  <c r="U57" i="6" s="1"/>
  <c r="U58" i="6" s="1"/>
  <c r="J59" i="6"/>
  <c r="J60" i="6"/>
  <c r="L60" i="6" s="1"/>
  <c r="J61" i="6"/>
  <c r="L52" i="6"/>
  <c r="L66" i="6"/>
  <c r="L67" i="6"/>
  <c r="V49" i="6"/>
  <c r="W49" i="6"/>
  <c r="AI49" i="6"/>
  <c r="V48" i="6"/>
  <c r="W48" i="6"/>
  <c r="AA48" i="6"/>
  <c r="AI48" i="6"/>
  <c r="AL48" i="6"/>
  <c r="V46" i="6"/>
  <c r="W46" i="6"/>
  <c r="X46" i="6"/>
  <c r="X49" i="6" s="1"/>
  <c r="Y46" i="6"/>
  <c r="Y49" i="6" s="1"/>
  <c r="Z46" i="6"/>
  <c r="Z49" i="6" s="1"/>
  <c r="AA46" i="6"/>
  <c r="AA49" i="6" s="1"/>
  <c r="AB46" i="6"/>
  <c r="AB49" i="6" s="1"/>
  <c r="AC46" i="6"/>
  <c r="AC48" i="6" s="1"/>
  <c r="AD46" i="6"/>
  <c r="AD48" i="6" s="1"/>
  <c r="AE46" i="6"/>
  <c r="AE48" i="6" s="1"/>
  <c r="AF46" i="6"/>
  <c r="AF48" i="6" s="1"/>
  <c r="AG46" i="6"/>
  <c r="AG49" i="6" s="1"/>
  <c r="AH46" i="6"/>
  <c r="AH49" i="6" s="1"/>
  <c r="AI46" i="6"/>
  <c r="AJ46" i="6"/>
  <c r="AJ49" i="6" s="1"/>
  <c r="AK46" i="6"/>
  <c r="AK48" i="6" s="1"/>
  <c r="AL46" i="6"/>
  <c r="AL49" i="6" s="1"/>
  <c r="U46" i="6"/>
  <c r="U48" i="6" s="1"/>
  <c r="J53" i="6"/>
  <c r="J54" i="6"/>
  <c r="J55" i="6"/>
  <c r="J56" i="6"/>
  <c r="L56" i="6" s="1"/>
  <c r="J57" i="6"/>
  <c r="L57" i="6" s="1"/>
  <c r="J58" i="6"/>
  <c r="L58" i="6" s="1"/>
  <c r="J62" i="6"/>
  <c r="L62" i="6" s="1"/>
  <c r="J63" i="6"/>
  <c r="J64" i="6"/>
  <c r="L64" i="6" s="1"/>
  <c r="J65" i="6"/>
  <c r="L65" i="6" s="1"/>
  <c r="J66" i="6"/>
  <c r="J67" i="6"/>
  <c r="J68" i="6"/>
  <c r="L68" i="6" s="1"/>
  <c r="J69" i="6"/>
  <c r="L69" i="6" s="1"/>
  <c r="J52" i="6"/>
  <c r="C46" i="6"/>
  <c r="C48" i="6" s="1"/>
  <c r="C49" i="6" s="1"/>
  <c r="D46" i="6"/>
  <c r="D48" i="6" s="1"/>
  <c r="D49" i="6" s="1"/>
  <c r="E46" i="6"/>
  <c r="E48" i="6" s="1"/>
  <c r="E49" i="6" s="1"/>
  <c r="F46" i="6"/>
  <c r="F48" i="6" s="1"/>
  <c r="F49" i="6" s="1"/>
  <c r="G46" i="6"/>
  <c r="G48" i="6" s="1"/>
  <c r="G49" i="6" s="1"/>
  <c r="H46" i="6"/>
  <c r="H48" i="6" s="1"/>
  <c r="H49" i="6" s="1"/>
  <c r="I46" i="6"/>
  <c r="I48" i="6" s="1"/>
  <c r="I49" i="6" s="1"/>
  <c r="J46" i="6"/>
  <c r="J48" i="6" s="1"/>
  <c r="J49" i="6" s="1"/>
  <c r="K46" i="6"/>
  <c r="K48" i="6" s="1"/>
  <c r="L46" i="6"/>
  <c r="L48" i="6" s="1"/>
  <c r="L49" i="6" s="1"/>
  <c r="M46" i="6"/>
  <c r="M48" i="6" s="1"/>
  <c r="M49" i="6" s="1"/>
  <c r="N46" i="6"/>
  <c r="N48" i="6" s="1"/>
  <c r="N49" i="6" s="1"/>
  <c r="O46" i="6"/>
  <c r="O48" i="6" s="1"/>
  <c r="O49" i="6" s="1"/>
  <c r="P46" i="6"/>
  <c r="P48" i="6" s="1"/>
  <c r="P49" i="6" s="1"/>
  <c r="Q46" i="6"/>
  <c r="Q48" i="6" s="1"/>
  <c r="Q49" i="6" s="1"/>
  <c r="R46" i="6"/>
  <c r="R48" i="6" s="1"/>
  <c r="R49" i="6" s="1"/>
  <c r="S46" i="6"/>
  <c r="S48" i="6" s="1"/>
  <c r="S49" i="6" s="1"/>
  <c r="B46" i="6"/>
  <c r="B48" i="6" s="1"/>
  <c r="B49" i="6" s="1"/>
  <c r="K26" i="6"/>
  <c r="K27" i="6"/>
  <c r="K28" i="6"/>
  <c r="K29" i="6"/>
  <c r="K30" i="6"/>
  <c r="K31" i="6"/>
  <c r="K32" i="6"/>
  <c r="K33" i="6"/>
  <c r="K34" i="6"/>
  <c r="K35" i="6"/>
  <c r="K36" i="6"/>
  <c r="K37" i="6"/>
  <c r="K25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24" i="6"/>
  <c r="C13" i="6"/>
  <c r="D13" i="6"/>
  <c r="E13" i="6"/>
  <c r="F13" i="6"/>
  <c r="F15" i="6" s="1"/>
  <c r="F16" i="6" s="1"/>
  <c r="G13" i="6"/>
  <c r="G15" i="6" s="1"/>
  <c r="G16" i="6" s="1"/>
  <c r="H13" i="6"/>
  <c r="H15" i="6" s="1"/>
  <c r="H16" i="6" s="1"/>
  <c r="I13" i="6"/>
  <c r="I15" i="6" s="1"/>
  <c r="I16" i="6" s="1"/>
  <c r="J13" i="6"/>
  <c r="J15" i="6" s="1"/>
  <c r="J16" i="6" s="1"/>
  <c r="K13" i="6"/>
  <c r="L13" i="6"/>
  <c r="M13" i="6"/>
  <c r="M15" i="6" s="1"/>
  <c r="M16" i="6" s="1"/>
  <c r="N13" i="6"/>
  <c r="N15" i="6" s="1"/>
  <c r="N16" i="6" s="1"/>
  <c r="O13" i="6"/>
  <c r="O15" i="6" s="1"/>
  <c r="O16" i="6" s="1"/>
  <c r="P13" i="6"/>
  <c r="P15" i="6" s="1"/>
  <c r="P16" i="6" s="1"/>
  <c r="Q13" i="6"/>
  <c r="Q15" i="6" s="1"/>
  <c r="Q16" i="6" s="1"/>
  <c r="R13" i="6"/>
  <c r="R15" i="6" s="1"/>
  <c r="R16" i="6" s="1"/>
  <c r="B13" i="6"/>
  <c r="T76" i="9"/>
  <c r="T77" i="9"/>
  <c r="T78" i="9"/>
  <c r="T79" i="9"/>
  <c r="T80" i="9"/>
  <c r="T81" i="9"/>
  <c r="T82" i="9"/>
  <c r="T83" i="9"/>
  <c r="T75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AE49" i="6" l="1"/>
  <c r="U49" i="6"/>
  <c r="AF49" i="6"/>
  <c r="AJ48" i="6"/>
  <c r="AB48" i="6"/>
  <c r="AK49" i="6"/>
  <c r="AC49" i="6"/>
  <c r="AH48" i="6"/>
  <c r="Z48" i="6"/>
  <c r="AG48" i="6"/>
  <c r="Y48" i="6"/>
  <c r="X48" i="6"/>
  <c r="AJ74" i="6"/>
  <c r="E15" i="6"/>
  <c r="E16" i="6" s="1"/>
  <c r="L15" i="6"/>
  <c r="L16" i="6" s="1"/>
  <c r="B15" i="6"/>
  <c r="B16" i="6" s="1"/>
  <c r="K15" i="6"/>
  <c r="C15" i="6"/>
  <c r="C16" i="6" s="1"/>
  <c r="D15" i="6"/>
  <c r="D16" i="6" s="1"/>
  <c r="AA295" i="3"/>
  <c r="AA294" i="3"/>
  <c r="V295" i="3"/>
  <c r="V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294" i="3"/>
  <c r="M294" i="3"/>
  <c r="K295" i="3"/>
  <c r="K296" i="3"/>
  <c r="K297" i="3"/>
  <c r="K298" i="3"/>
  <c r="K299" i="3"/>
  <c r="K300" i="3"/>
  <c r="K294" i="3"/>
  <c r="Q112" i="2" l="1"/>
  <c r="O112" i="2"/>
  <c r="Q109" i="2"/>
  <c r="Q115" i="2" s="1"/>
  <c r="Q108" i="2"/>
  <c r="O107" i="2"/>
  <c r="O110" i="2" s="1"/>
  <c r="B7" i="6"/>
  <c r="C7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BF7" i="6"/>
  <c r="BG7" i="6"/>
  <c r="BH7" i="6"/>
  <c r="BI7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CI7" i="6"/>
  <c r="CJ7" i="6"/>
  <c r="CK7" i="6"/>
  <c r="CL7" i="6"/>
  <c r="CM7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DL7" i="6"/>
  <c r="DM7" i="6"/>
  <c r="DN7" i="6"/>
  <c r="DO7" i="6"/>
  <c r="DP7" i="6"/>
  <c r="DQ7" i="6"/>
  <c r="DR7" i="6"/>
  <c r="DS7" i="6"/>
  <c r="DT7" i="6"/>
  <c r="DU7" i="6"/>
  <c r="DV7" i="6"/>
  <c r="DW7" i="6"/>
  <c r="DX7" i="6"/>
  <c r="DY7" i="6"/>
  <c r="DZ7" i="6"/>
  <c r="EA7" i="6"/>
  <c r="EB7" i="6"/>
  <c r="EC7" i="6"/>
  <c r="ED7" i="6"/>
  <c r="EE7" i="6"/>
  <c r="EF7" i="6"/>
  <c r="EG7" i="6"/>
  <c r="EH7" i="6"/>
  <c r="EI7" i="6"/>
  <c r="EJ7" i="6"/>
  <c r="EK7" i="6"/>
  <c r="EL7" i="6"/>
  <c r="EM7" i="6"/>
  <c r="EN7" i="6"/>
  <c r="EO7" i="6"/>
  <c r="EP7" i="6"/>
  <c r="EQ7" i="6"/>
  <c r="ER7" i="6"/>
  <c r="ES7" i="6"/>
  <c r="ET7" i="6"/>
  <c r="EU7" i="6"/>
  <c r="EV7" i="6"/>
  <c r="EW7" i="6"/>
  <c r="EX7" i="6"/>
  <c r="EY7" i="6"/>
  <c r="EZ7" i="6"/>
  <c r="FA7" i="6"/>
  <c r="FB7" i="6"/>
  <c r="FC7" i="6"/>
  <c r="FD7" i="6"/>
  <c r="FE7" i="6"/>
  <c r="FF7" i="6"/>
  <c r="FG7" i="6"/>
  <c r="FH7" i="6"/>
  <c r="FI7" i="6"/>
  <c r="FJ7" i="6"/>
  <c r="FK7" i="6"/>
  <c r="FL7" i="6"/>
  <c r="FM7" i="6"/>
  <c r="FN7" i="6"/>
  <c r="FO7" i="6"/>
  <c r="FP7" i="6"/>
  <c r="FQ7" i="6"/>
  <c r="FR7" i="6"/>
  <c r="FS7" i="6"/>
  <c r="FT7" i="6"/>
  <c r="FU7" i="6"/>
  <c r="FV7" i="6"/>
  <c r="FW7" i="6"/>
  <c r="FX7" i="6"/>
  <c r="FY7" i="6"/>
  <c r="FZ7" i="6"/>
  <c r="GA7" i="6"/>
  <c r="GB7" i="6"/>
  <c r="GC7" i="6"/>
  <c r="GD7" i="6"/>
  <c r="GE7" i="6"/>
  <c r="GF7" i="6"/>
  <c r="GG7" i="6"/>
  <c r="GH7" i="6"/>
  <c r="GI7" i="6"/>
  <c r="GJ7" i="6"/>
  <c r="GK7" i="6"/>
  <c r="GL7" i="6"/>
  <c r="GM7" i="6"/>
  <c r="GN7" i="6"/>
  <c r="GO7" i="6"/>
  <c r="GP7" i="6"/>
  <c r="GQ7" i="6"/>
  <c r="GR7" i="6"/>
  <c r="GS7" i="6"/>
  <c r="GT7" i="6"/>
  <c r="GU7" i="6"/>
  <c r="GV7" i="6"/>
  <c r="GW7" i="6"/>
  <c r="GX7" i="6"/>
  <c r="GY7" i="6"/>
  <c r="GZ7" i="6"/>
  <c r="HA7" i="6"/>
  <c r="HB7" i="6"/>
  <c r="HC7" i="6"/>
  <c r="HD7" i="6"/>
  <c r="HE7" i="6"/>
  <c r="HF7" i="6"/>
  <c r="HG7" i="6"/>
  <c r="HH7" i="6"/>
  <c r="HI7" i="6"/>
  <c r="HJ7" i="6"/>
  <c r="HK7" i="6"/>
  <c r="HL7" i="6"/>
  <c r="HM7" i="6"/>
  <c r="HN7" i="6"/>
  <c r="HO7" i="6"/>
  <c r="HP7" i="6"/>
  <c r="HQ7" i="6"/>
  <c r="HR7" i="6"/>
  <c r="HS7" i="6"/>
  <c r="HT7" i="6"/>
  <c r="HU7" i="6"/>
  <c r="HV7" i="6"/>
  <c r="HW7" i="6"/>
  <c r="HX7" i="6"/>
  <c r="HY7" i="6"/>
  <c r="HZ7" i="6"/>
  <c r="IA7" i="6"/>
  <c r="IB7" i="6"/>
  <c r="IC7" i="6"/>
  <c r="ID7" i="6"/>
  <c r="IE7" i="6"/>
  <c r="IF7" i="6"/>
  <c r="IG7" i="6"/>
  <c r="IH7" i="6"/>
  <c r="II7" i="6"/>
  <c r="IJ7" i="6"/>
  <c r="IK7" i="6"/>
  <c r="IL7" i="6"/>
  <c r="IM7" i="6"/>
  <c r="IN7" i="6"/>
  <c r="IO7" i="6"/>
  <c r="IP7" i="6"/>
  <c r="IQ7" i="6"/>
  <c r="IR7" i="6"/>
  <c r="IS7" i="6"/>
  <c r="IT7" i="6"/>
  <c r="IU7" i="6"/>
  <c r="IV7" i="6"/>
  <c r="IW7" i="6"/>
  <c r="IX7" i="6"/>
  <c r="IY7" i="6"/>
  <c r="IZ7" i="6"/>
  <c r="JA7" i="6"/>
  <c r="JB7" i="6"/>
  <c r="JC7" i="6"/>
  <c r="JD7" i="6"/>
  <c r="JE7" i="6"/>
  <c r="JF7" i="6"/>
  <c r="JG7" i="6"/>
  <c r="JH7" i="6"/>
  <c r="JI7" i="6"/>
  <c r="JJ7" i="6"/>
  <c r="JK7" i="6"/>
  <c r="JL7" i="6"/>
  <c r="JM7" i="6"/>
  <c r="JN7" i="6"/>
  <c r="JO7" i="6"/>
  <c r="JP7" i="6"/>
  <c r="JQ7" i="6"/>
  <c r="JR7" i="6"/>
  <c r="JS7" i="6"/>
  <c r="JT7" i="6"/>
  <c r="JU7" i="6"/>
  <c r="JV7" i="6"/>
  <c r="JW7" i="6"/>
  <c r="JX7" i="6"/>
  <c r="JY7" i="6"/>
  <c r="JZ7" i="6"/>
  <c r="KA7" i="6"/>
  <c r="KB7" i="6"/>
  <c r="KC7" i="6"/>
  <c r="KD7" i="6"/>
  <c r="KE7" i="6"/>
  <c r="KF7" i="6"/>
  <c r="KG7" i="6"/>
  <c r="KH7" i="6"/>
  <c r="KI7" i="6"/>
  <c r="KJ7" i="6"/>
  <c r="KK7" i="6"/>
  <c r="KL7" i="6"/>
  <c r="KM7" i="6"/>
  <c r="KN7" i="6"/>
  <c r="KO7" i="6"/>
  <c r="KP7" i="6"/>
  <c r="KQ7" i="6"/>
  <c r="KR7" i="6"/>
  <c r="KS7" i="6"/>
  <c r="KT7" i="6"/>
  <c r="KU7" i="6"/>
  <c r="KV7" i="6"/>
  <c r="KW7" i="6"/>
  <c r="KX7" i="6"/>
  <c r="KY7" i="6"/>
  <c r="KZ7" i="6"/>
  <c r="LA7" i="6"/>
  <c r="LB7" i="6"/>
  <c r="LC7" i="6"/>
  <c r="LD7" i="6"/>
  <c r="LE7" i="6"/>
  <c r="LF7" i="6"/>
  <c r="LG7" i="6"/>
  <c r="LH7" i="6"/>
  <c r="LI7" i="6"/>
  <c r="LJ7" i="6"/>
  <c r="LK7" i="6"/>
  <c r="LL7" i="6"/>
  <c r="LM7" i="6"/>
  <c r="LN7" i="6"/>
  <c r="LO7" i="6"/>
  <c r="LP7" i="6"/>
  <c r="LQ7" i="6"/>
  <c r="LR7" i="6"/>
  <c r="LS7" i="6"/>
  <c r="LT7" i="6"/>
  <c r="LU7" i="6"/>
  <c r="LV7" i="6"/>
  <c r="LW7" i="6"/>
  <c r="LX7" i="6"/>
  <c r="LY7" i="6"/>
  <c r="LZ7" i="6"/>
  <c r="MA7" i="6"/>
  <c r="MB7" i="6"/>
  <c r="MC7" i="6"/>
  <c r="MD7" i="6"/>
  <c r="ME7" i="6"/>
  <c r="MF7" i="6"/>
  <c r="MG7" i="6"/>
  <c r="MH7" i="6"/>
  <c r="MI7" i="6"/>
  <c r="MJ7" i="6"/>
  <c r="MK7" i="6"/>
  <c r="ML7" i="6"/>
  <c r="MM7" i="6"/>
  <c r="MN7" i="6"/>
  <c r="MO7" i="6"/>
  <c r="MP7" i="6"/>
  <c r="MQ7" i="6"/>
  <c r="MR7" i="6"/>
  <c r="MS7" i="6"/>
  <c r="MT7" i="6"/>
  <c r="MU7" i="6"/>
  <c r="MV7" i="6"/>
  <c r="MW7" i="6"/>
  <c r="MX7" i="6"/>
  <c r="MY7" i="6"/>
  <c r="MZ7" i="6"/>
  <c r="NA7" i="6"/>
  <c r="NB7" i="6"/>
  <c r="NC7" i="6"/>
  <c r="ND7" i="6"/>
  <c r="NE7" i="6"/>
  <c r="NF7" i="6"/>
  <c r="NG7" i="6"/>
  <c r="NH7" i="6"/>
  <c r="NI7" i="6"/>
  <c r="NJ7" i="6"/>
  <c r="NK7" i="6"/>
  <c r="NL7" i="6"/>
  <c r="NM7" i="6"/>
  <c r="NN7" i="6"/>
  <c r="NO7" i="6"/>
  <c r="NP7" i="6"/>
  <c r="NQ7" i="6"/>
  <c r="NR7" i="6"/>
  <c r="NS7" i="6"/>
  <c r="NT7" i="6"/>
  <c r="NU7" i="6"/>
  <c r="NV7" i="6"/>
  <c r="NW7" i="6"/>
  <c r="NX7" i="6"/>
  <c r="NY7" i="6"/>
  <c r="NZ7" i="6"/>
  <c r="OA7" i="6"/>
  <c r="OB7" i="6"/>
  <c r="OC7" i="6"/>
  <c r="OD7" i="6"/>
  <c r="OE7" i="6"/>
  <c r="OF7" i="6"/>
  <c r="OG7" i="6"/>
  <c r="OH7" i="6"/>
  <c r="OI7" i="6"/>
  <c r="OJ7" i="6"/>
  <c r="OK7" i="6"/>
  <c r="OL7" i="6"/>
  <c r="OM7" i="6"/>
  <c r="ON7" i="6"/>
  <c r="OO7" i="6"/>
  <c r="OP7" i="6"/>
  <c r="OQ7" i="6"/>
  <c r="OR7" i="6"/>
  <c r="OS7" i="6"/>
  <c r="OT7" i="6"/>
  <c r="OU7" i="6"/>
  <c r="OV7" i="6"/>
  <c r="OW7" i="6"/>
  <c r="OX7" i="6"/>
  <c r="OY7" i="6"/>
  <c r="OZ7" i="6"/>
  <c r="PA7" i="6"/>
  <c r="PB7" i="6"/>
  <c r="PC7" i="6"/>
  <c r="PD7" i="6"/>
  <c r="PE7" i="6"/>
  <c r="PF7" i="6"/>
  <c r="PG7" i="6"/>
  <c r="PH7" i="6"/>
  <c r="PI7" i="6"/>
  <c r="PJ7" i="6"/>
  <c r="PK7" i="6"/>
  <c r="PL7" i="6"/>
  <c r="PM7" i="6"/>
  <c r="PN7" i="6"/>
  <c r="PO7" i="6"/>
  <c r="PP7" i="6"/>
  <c r="PQ7" i="6"/>
  <c r="PR7" i="6"/>
  <c r="PS7" i="6"/>
  <c r="PT7" i="6"/>
  <c r="PU7" i="6"/>
  <c r="PV7" i="6"/>
  <c r="PW7" i="6"/>
  <c r="PX7" i="6"/>
  <c r="PY7" i="6"/>
  <c r="PZ7" i="6"/>
  <c r="QA7" i="6"/>
  <c r="QB7" i="6"/>
  <c r="QC7" i="6"/>
  <c r="QD7" i="6"/>
  <c r="QE7" i="6"/>
  <c r="QF7" i="6"/>
  <c r="QG7" i="6"/>
  <c r="QH7" i="6"/>
  <c r="QI7" i="6"/>
  <c r="QJ7" i="6"/>
  <c r="QK7" i="6"/>
  <c r="QL7" i="6"/>
  <c r="A7" i="6"/>
  <c r="Q101" i="2"/>
  <c r="Q100" i="2"/>
  <c r="Q98" i="2"/>
  <c r="O100" i="2"/>
  <c r="O101" i="2" s="1"/>
  <c r="O99" i="2"/>
  <c r="O98" i="2"/>
  <c r="Q95" i="2"/>
  <c r="Q99" i="2" s="1"/>
  <c r="Q60" i="2"/>
  <c r="O93" i="2"/>
  <c r="O97" i="2" s="1"/>
  <c r="O94" i="2"/>
  <c r="O78" i="2"/>
  <c r="O80" i="2" s="1"/>
  <c r="Q80" i="2" s="1"/>
  <c r="Q94" i="2"/>
  <c r="Q67" i="2"/>
  <c r="Q68" i="2"/>
  <c r="Q61" i="2"/>
  <c r="O62" i="2"/>
  <c r="Q62" i="2" s="1"/>
  <c r="O63" i="2"/>
  <c r="Q63" i="2" s="1"/>
  <c r="O64" i="2"/>
  <c r="Q64" i="2" s="1"/>
  <c r="O65" i="2"/>
  <c r="Q65" i="2" s="1"/>
  <c r="O66" i="2"/>
  <c r="Q66" i="2" s="1"/>
  <c r="Q79" i="2"/>
  <c r="M79" i="2"/>
  <c r="M80" i="2"/>
  <c r="M81" i="2"/>
  <c r="M82" i="2"/>
  <c r="M83" i="2"/>
  <c r="M84" i="2"/>
  <c r="M78" i="2"/>
  <c r="O108" i="2" l="1"/>
  <c r="Q110" i="2"/>
  <c r="Q114" i="2"/>
  <c r="O114" i="2"/>
  <c r="O115" i="2" s="1"/>
  <c r="O111" i="2"/>
  <c r="O113" i="2"/>
  <c r="Q113" i="2"/>
  <c r="Q111" i="2"/>
  <c r="Q96" i="2"/>
  <c r="Q97" i="2"/>
  <c r="O83" i="2"/>
  <c r="Q83" i="2" s="1"/>
  <c r="O96" i="2"/>
  <c r="Q82" i="2"/>
  <c r="O81" i="2"/>
  <c r="Q81" i="2" s="1"/>
  <c r="O79" i="2"/>
  <c r="O85" i="2"/>
  <c r="O84" i="2"/>
  <c r="Q84" i="2" s="1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24" i="2"/>
  <c r="O86" i="2" l="1"/>
  <c r="Q86" i="2" s="1"/>
  <c r="Q85" i="2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77" i="1"/>
  <c r="N20" i="1" l="1"/>
  <c r="N21" i="1"/>
  <c r="N22" i="1"/>
  <c r="N23" i="1"/>
  <c r="N24" i="1"/>
  <c r="N25" i="1"/>
  <c r="N26" i="1"/>
  <c r="N27" i="1"/>
  <c r="N28" i="1"/>
  <c r="N29" i="1"/>
  <c r="N30" i="1"/>
  <c r="N31" i="1"/>
  <c r="N32" i="1"/>
  <c r="N19" i="1"/>
  <c r="AJ125" i="6"/>
  <c r="AH125" i="6"/>
  <c r="AL125" i="6"/>
  <c r="AG125" i="6"/>
  <c r="AF125" i="6"/>
  <c r="AK125" i="6"/>
  <c r="AI125" i="6"/>
  <c r="AE125" i="6"/>
  <c r="U125" i="6"/>
  <c r="W125" i="6"/>
  <c r="AB125" i="6"/>
  <c r="Z125" i="6"/>
  <c r="AC125" i="6"/>
  <c r="X125" i="6"/>
  <c r="V125" i="6"/>
  <c r="AA125" i="6"/>
  <c r="Y125" i="6"/>
</calcChain>
</file>

<file path=xl/comments1.xml><?xml version="1.0" encoding="utf-8"?>
<comments xmlns="http://schemas.openxmlformats.org/spreadsheetml/2006/main">
  <authors>
    <author>dnc1n15</author>
  </authors>
  <commentList>
    <comment ref="A241" authorId="0" shapeId="0">
      <text>
        <r>
          <rPr>
            <b/>
            <sz val="9"/>
            <color indexed="81"/>
            <rFont val="Tahoma"/>
            <family val="2"/>
          </rPr>
          <t>dnc1n15:</t>
        </r>
        <r>
          <rPr>
            <sz val="9"/>
            <color indexed="81"/>
            <rFont val="Tahoma"/>
            <family val="2"/>
          </rPr>
          <t xml:space="preserve">
End member 2: Increasing SGR amp from 0.1 to 1. </t>
        </r>
      </text>
    </comment>
    <comment ref="N241" authorId="0" shapeId="0">
      <text>
        <r>
          <rPr>
            <b/>
            <sz val="9"/>
            <color indexed="81"/>
            <rFont val="Tahoma"/>
            <family val="2"/>
          </rPr>
          <t>dnc1n15:
1.8 times higher to produce same output as constant SGR amp in R9</t>
        </r>
      </text>
    </comment>
    <comment ref="A269" authorId="0" shapeId="0">
      <text>
        <r>
          <rPr>
            <b/>
            <sz val="9"/>
            <color indexed="81"/>
            <rFont val="Tahoma"/>
            <family val="2"/>
          </rPr>
          <t>dnc1n15:</t>
        </r>
        <r>
          <rPr>
            <sz val="9"/>
            <color indexed="81"/>
            <rFont val="Tahoma"/>
            <family val="2"/>
          </rPr>
          <t xml:space="preserve">
decrease CLS amp in GFD packages apart from final GFD package</t>
        </r>
      </text>
    </comment>
    <comment ref="N269" authorId="0" shapeId="0">
      <text>
        <r>
          <rPr>
            <b/>
            <sz val="9"/>
            <color indexed="81"/>
            <rFont val="Tahoma"/>
            <family val="2"/>
          </rPr>
          <t>dnc1n15:
1.8 times higher to produce same output as constant SGR amp in R9</t>
        </r>
      </text>
    </comment>
    <comment ref="A300" authorId="0" shapeId="0">
      <text>
        <r>
          <rPr>
            <b/>
            <sz val="9"/>
            <color indexed="81"/>
            <rFont val="Tahoma"/>
            <family val="2"/>
          </rPr>
          <t>dnc1n15:</t>
        </r>
        <r>
          <rPr>
            <sz val="9"/>
            <color indexed="81"/>
            <rFont val="Tahoma"/>
            <family val="2"/>
          </rPr>
          <t xml:space="preserve">
Back to Constant SGR
unable to resolve GFD package 2 with chosen SGR at the moment. Solve with constant SGR then attempt rising SGR</t>
        </r>
      </text>
    </comment>
  </commentList>
</comments>
</file>

<file path=xl/comments2.xml><?xml version="1.0" encoding="utf-8"?>
<comments xmlns="http://schemas.openxmlformats.org/spreadsheetml/2006/main">
  <authors>
    <author>dnc1n15</author>
    <author>Donald Christie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dnc1n15:</t>
        </r>
        <r>
          <rPr>
            <sz val="9"/>
            <color indexed="81"/>
            <rFont val="Tahoma"/>
            <family val="2"/>
          </rPr>
          <t xml:space="preserve">
Moving GFD package 2 further up to allow for sufficient accomodation space to accrue</t>
        </r>
      </text>
    </comment>
    <comment ref="A69" authorId="0" shapeId="0">
      <text>
        <r>
          <rPr>
            <b/>
            <sz val="9"/>
            <color indexed="81"/>
            <rFont val="Tahoma"/>
            <family val="2"/>
          </rPr>
          <t>dnc1n15:</t>
        </r>
        <r>
          <rPr>
            <sz val="9"/>
            <color indexed="81"/>
            <rFont val="Tahoma"/>
            <family val="2"/>
          </rPr>
          <t xml:space="preserve">
Work on GFD 3. MTC up top and base. Increased SGR by 12% to get proper final structure</t>
        </r>
      </text>
    </comment>
    <comment ref="A367" authorId="1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Fixed Basin Length.
Moved SGR position
Fixed position for 0 growth at Col 336.</t>
        </r>
      </text>
    </comment>
  </commentList>
</comments>
</file>

<file path=xl/comments3.xml><?xml version="1.0" encoding="utf-8"?>
<comments xmlns="http://schemas.openxmlformats.org/spreadsheetml/2006/main">
  <authors>
    <author>Donald Christie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 xml:space="preserve">Donald Christie
Re-run of CLS. Fine tuning. Zone 5 thickness to low on flanks, too high in depocenter. 
</t>
        </r>
      </text>
    </comment>
    <comment ref="A42" authorId="0" shapeId="0">
      <text>
        <r>
          <rPr>
            <b/>
            <sz val="9"/>
            <color indexed="81"/>
            <rFont val="Tahoma"/>
            <family val="2"/>
          </rPr>
          <t xml:space="preserve">Donald Christie
Re-run of CLS. Fine tuning. Zone 5 thickness to low on flanks, too high in depocenter. 
</t>
        </r>
      </text>
    </comment>
    <comment ref="A367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Fixed Basin Length.
Moved SGR position
Fixed position for 0 growth at Col 336.</t>
        </r>
      </text>
    </comment>
  </commentList>
</comments>
</file>

<file path=xl/comments4.xml><?xml version="1.0" encoding="utf-8"?>
<comments xmlns="http://schemas.openxmlformats.org/spreadsheetml/2006/main">
  <authors>
    <author>Donald Christie</author>
  </authors>
  <commentList>
    <comment ref="T93" authorId="0" shapeId="0">
      <text>
        <r>
          <rPr>
            <b/>
            <sz val="9"/>
            <color indexed="81"/>
            <rFont val="Tahoma"/>
            <family val="2"/>
          </rPr>
          <t>Donald Christie:</t>
        </r>
        <r>
          <rPr>
            <sz val="9"/>
            <color indexed="81"/>
            <rFont val="Tahoma"/>
            <family val="2"/>
          </rPr>
          <t xml:space="preserve">
Widened the initial Basin structure based on a new interpretation of the top reflector. </t>
        </r>
      </text>
    </comment>
  </commentList>
</comments>
</file>

<file path=xl/sharedStrings.xml><?xml version="1.0" encoding="utf-8"?>
<sst xmlns="http://schemas.openxmlformats.org/spreadsheetml/2006/main" count="1580" uniqueCount="216">
  <si>
    <t>Basin Length</t>
  </si>
  <si>
    <t>Matrix Spacing</t>
  </si>
  <si>
    <t>Simulation Time</t>
  </si>
  <si>
    <t>Time per step</t>
  </si>
  <si>
    <t>Total TS</t>
  </si>
  <si>
    <t>HR</t>
  </si>
  <si>
    <t>Initial Basin Height</t>
  </si>
  <si>
    <t>IBH Position</t>
  </si>
  <si>
    <t>Absolute Structural Growth Rate (mm/y)</t>
  </si>
  <si>
    <t>SGR Position</t>
  </si>
  <si>
    <t>Structural Growth Amplification Rate</t>
  </si>
  <si>
    <t>Amplification Position</t>
  </si>
  <si>
    <t>Initial Clastic Limiting Surface</t>
  </si>
  <si>
    <t>Initial CLS Position</t>
  </si>
  <si>
    <t>CLS Growth Per Time Step (mm/y)</t>
  </si>
  <si>
    <t>CLS Growth Position</t>
  </si>
  <si>
    <t>CLS Amplficiation Rate</t>
  </si>
  <si>
    <t>CLS Amplification Rate Position</t>
  </si>
  <si>
    <t>Background Sediment Growth Rate (mm/year)</t>
  </si>
  <si>
    <t>Background Sediment Growth Rate position</t>
  </si>
  <si>
    <t>Background Sediment Growth Rate Amp</t>
  </si>
  <si>
    <t>Background Sediment Amp Position</t>
  </si>
  <si>
    <t>Gulf of Mexico Seismic - Sym Basin - Initial Testing (PM)</t>
  </si>
  <si>
    <t>Base Layer Height T end</t>
  </si>
  <si>
    <t>SGR Constant</t>
  </si>
  <si>
    <t>SGR Increasing (0-1?)</t>
  </si>
  <si>
    <t>Absolute SGR 2.0</t>
  </si>
  <si>
    <t xml:space="preserve">SymB1 Perpendicular </t>
  </si>
  <si>
    <t>Profile 1</t>
  </si>
  <si>
    <t>Profile 2</t>
  </si>
  <si>
    <t>H6</t>
  </si>
  <si>
    <t>H5</t>
  </si>
  <si>
    <t>H4</t>
  </si>
  <si>
    <t>H3</t>
  </si>
  <si>
    <t>H2</t>
  </si>
  <si>
    <t>H1</t>
  </si>
  <si>
    <t>SF</t>
  </si>
  <si>
    <t>Range</t>
  </si>
  <si>
    <t>128 - 171</t>
  </si>
  <si>
    <t>261 - 297</t>
  </si>
  <si>
    <t>272 - 293</t>
  </si>
  <si>
    <t>144 - 193</t>
  </si>
  <si>
    <t xml:space="preserve">223 - 282 </t>
  </si>
  <si>
    <t>207-331</t>
  </si>
  <si>
    <t>Over</t>
  </si>
  <si>
    <t>Under</t>
  </si>
  <si>
    <t>Average (m)</t>
  </si>
  <si>
    <t>Average (Onlapse)</t>
  </si>
  <si>
    <t xml:space="preserve">Average Seismic </t>
  </si>
  <si>
    <t>Difference</t>
  </si>
  <si>
    <t>Run 2</t>
  </si>
  <si>
    <t>Run 3</t>
  </si>
  <si>
    <t xml:space="preserve">163 - 202 </t>
  </si>
  <si>
    <t>369 - 416</t>
  </si>
  <si>
    <t>H5 Depo 1</t>
  </si>
  <si>
    <t>H5 Depo 2</t>
  </si>
  <si>
    <t>Run 4</t>
  </si>
  <si>
    <t>CONVERT UP BY A FACTOR OF:</t>
  </si>
  <si>
    <t>274 - 368</t>
  </si>
  <si>
    <t>278 - 318</t>
  </si>
  <si>
    <t>341 - 355</t>
  </si>
  <si>
    <t>283 - 324</t>
  </si>
  <si>
    <t>282 -317</t>
  </si>
  <si>
    <t>306 - 314</t>
  </si>
  <si>
    <t>334 - 346</t>
  </si>
  <si>
    <t>Average (HR)</t>
  </si>
  <si>
    <t>Difference H:L</t>
  </si>
  <si>
    <t>P2%</t>
  </si>
  <si>
    <t>Col</t>
  </si>
  <si>
    <t>Onlapse Raw</t>
  </si>
  <si>
    <t>Onlapse Dif</t>
  </si>
  <si>
    <t>Seismic</t>
  </si>
  <si>
    <t>Onlapse and Seismic Difference</t>
  </si>
  <si>
    <t xml:space="preserve">% Difference </t>
  </si>
  <si>
    <t>Run for Zero on Onlapse</t>
  </si>
  <si>
    <t>Height of Base Point Onlapse</t>
  </si>
  <si>
    <t>R21</t>
  </si>
  <si>
    <t>Pos</t>
  </si>
  <si>
    <t xml:space="preserve">R21 </t>
  </si>
  <si>
    <t>Run 22</t>
  </si>
  <si>
    <t>Run 21</t>
  </si>
  <si>
    <t>R22</t>
  </si>
  <si>
    <t>% off</t>
  </si>
  <si>
    <t>R23</t>
  </si>
  <si>
    <t>% Up</t>
  </si>
  <si>
    <t>% Down</t>
  </si>
  <si>
    <t>R24</t>
  </si>
  <si>
    <t>Actual Dif (m)</t>
  </si>
  <si>
    <t>Below Seis</t>
  </si>
  <si>
    <t>Above Seis</t>
  </si>
  <si>
    <t>Seismic - Onlapse Difference</t>
  </si>
  <si>
    <t>Below Seis%</t>
  </si>
  <si>
    <t>R25</t>
  </si>
  <si>
    <t>R26</t>
  </si>
  <si>
    <t>Above Seis %</t>
  </si>
  <si>
    <t>Seismic Thickness</t>
  </si>
  <si>
    <t>Difference (S - O) (m)</t>
  </si>
  <si>
    <t>Difference (S/O) %</t>
  </si>
  <si>
    <t>Zone 5</t>
  </si>
  <si>
    <t>Run 26</t>
  </si>
  <si>
    <t>Basin Position</t>
  </si>
  <si>
    <t>Zone 4</t>
  </si>
  <si>
    <t>Zone 3</t>
  </si>
  <si>
    <t>Zone 2</t>
  </si>
  <si>
    <t>Zone 1</t>
  </si>
  <si>
    <t>0 = Pinch out</t>
  </si>
  <si>
    <t>Zone 0</t>
  </si>
  <si>
    <t>Z5</t>
  </si>
  <si>
    <t>Z4</t>
  </si>
  <si>
    <t>Z3</t>
  </si>
  <si>
    <t>Z2</t>
  </si>
  <si>
    <t>Z1</t>
  </si>
  <si>
    <t>Z0</t>
  </si>
  <si>
    <t>Time Step</t>
  </si>
  <si>
    <t>Drape Thickness (estimated)</t>
  </si>
  <si>
    <t>Onlapse Thickness Total</t>
  </si>
  <si>
    <t>Onlapse Thickness Clastic</t>
  </si>
  <si>
    <t>Difference (O/S) %</t>
  </si>
  <si>
    <t>Total Thickness Seismic</t>
  </si>
  <si>
    <t>Total Thickness Onlapse</t>
  </si>
  <si>
    <t>Difference (O/S)%</t>
  </si>
  <si>
    <t>Difference (S-O)m</t>
  </si>
  <si>
    <t>Onlapse Thickness (Total)</t>
  </si>
  <si>
    <t>NOTE: For Position 1 &amp; 361. Zones 3 - 1 are eroded. Onlapse thickness will exceed Seismic Thickness</t>
  </si>
  <si>
    <t>Erosion in Seismic will leave Onlapse thickness always thicker than Position 1,80,480,560, &amp; 631.</t>
  </si>
  <si>
    <t>Predicted Thickness taken by measuring closest point in seismic and extrapolating (read: eyeballing it)</t>
  </si>
  <si>
    <t>Eroded</t>
  </si>
  <si>
    <t>NOTE: Erosion occurs on both flanks. Estimations made. Assumption was that thickness was similar to last point.</t>
  </si>
  <si>
    <t>25m</t>
  </si>
  <si>
    <t>100+</t>
  </si>
  <si>
    <t>R27</t>
  </si>
  <si>
    <t>Cells to be edited</t>
  </si>
  <si>
    <t>Original SGR Numbers</t>
  </si>
  <si>
    <t>Onlapse Old</t>
  </si>
  <si>
    <t>Run 27 - New Base</t>
  </si>
  <si>
    <t>Zone 5 R27a</t>
  </si>
  <si>
    <t>Zone 5 R27b</t>
  </si>
  <si>
    <t>Zone 5 R27C</t>
  </si>
  <si>
    <t>R28</t>
  </si>
  <si>
    <t>Zone 5 R28 - New Base</t>
  </si>
  <si>
    <t>Zone 5 R28a</t>
  </si>
  <si>
    <t>Zone 5 R28b - Spread H6</t>
  </si>
  <si>
    <t>R29 New IBS</t>
  </si>
  <si>
    <t>R29</t>
  </si>
  <si>
    <t>Onlapse Original For this run</t>
  </si>
  <si>
    <t>SGR Increasing (0.3-1?)</t>
  </si>
  <si>
    <t>Zone 5 R29a</t>
  </si>
  <si>
    <t>Final Basin Height</t>
  </si>
  <si>
    <t>Increasing SGR</t>
  </si>
  <si>
    <t>Difference (m)</t>
  </si>
  <si>
    <t>Difference (Constant vs Increasing) %</t>
  </si>
  <si>
    <t>Multiplication Factor</t>
  </si>
  <si>
    <t>R30 - Increasing SGR 0.3-1</t>
  </si>
  <si>
    <t>R30</t>
  </si>
  <si>
    <t>Zone 5 R30 SGR Rising</t>
  </si>
  <si>
    <t>Zone 5 R30a CLS decreasing</t>
  </si>
  <si>
    <t>Zone 5 R30b CLS longer TS</t>
  </si>
  <si>
    <t>Z5 TS</t>
  </si>
  <si>
    <t>Zone 5 R30c CLS longer TS</t>
  </si>
  <si>
    <t>Zone 5 R30d CLS condensed late start</t>
  </si>
  <si>
    <t>Zone 5 R30e CLS condensed later start</t>
  </si>
  <si>
    <t>Zone 5 R30f CLS condensed later start</t>
  </si>
  <si>
    <t>SymB1 - Constant SGR - Multiprofiles</t>
  </si>
  <si>
    <t>Absolute Structural Growth Profile 2</t>
  </si>
  <si>
    <t xml:space="preserve">Structural Amplitude </t>
  </si>
  <si>
    <t>Seismic Thicknes Zone 5</t>
  </si>
  <si>
    <t>%</t>
  </si>
  <si>
    <t>Position</t>
  </si>
  <si>
    <t>Total</t>
  </si>
  <si>
    <t>H5-H6</t>
  </si>
  <si>
    <t>H4-H6</t>
  </si>
  <si>
    <t>H5-H6 % of Total</t>
  </si>
  <si>
    <t>H4-H6 % of Total</t>
  </si>
  <si>
    <t>Structural Height Approx</t>
  </si>
  <si>
    <t>Amp P1</t>
  </si>
  <si>
    <t>Amp P2</t>
  </si>
  <si>
    <t>R31 - 2 Profiles</t>
  </si>
  <si>
    <t>R31 P1</t>
  </si>
  <si>
    <t>Z5 - R31 Test 2 Profile</t>
  </si>
  <si>
    <t>R31 P2</t>
  </si>
  <si>
    <t>Original</t>
  </si>
  <si>
    <t>31t3</t>
  </si>
  <si>
    <t>R32 - 2 Profiles</t>
  </si>
  <si>
    <t>R32 p1</t>
  </si>
  <si>
    <t>R32 p2</t>
  </si>
  <si>
    <t>Z5 - R33 Final</t>
  </si>
  <si>
    <t>Zone 5 R33 SGR Rising</t>
  </si>
  <si>
    <t>Z5 - R33Test 2 Profile</t>
  </si>
  <si>
    <t>Zone 5 R33c</t>
  </si>
  <si>
    <t>Zone 5 R33d</t>
  </si>
  <si>
    <t>Zone 5 R33e</t>
  </si>
  <si>
    <t>Zone 5 R33f</t>
  </si>
  <si>
    <t>Zone 5 R33g</t>
  </si>
  <si>
    <t>WTF?</t>
  </si>
  <si>
    <t>Z5 - R34 b</t>
  </si>
  <si>
    <t>Z5 - R34a</t>
  </si>
  <si>
    <t>Z5 - R34 c</t>
  </si>
  <si>
    <t>Z5 - R34 d</t>
  </si>
  <si>
    <t>BST</t>
  </si>
  <si>
    <t>Z5 - R34 E</t>
  </si>
  <si>
    <t>Z5 - R34F</t>
  </si>
  <si>
    <t>Z5 - R34 C - SGR change</t>
  </si>
  <si>
    <t>0.1+</t>
  </si>
  <si>
    <t>25+</t>
  </si>
  <si>
    <t>50+</t>
  </si>
  <si>
    <t>75+</t>
  </si>
  <si>
    <t>30c</t>
  </si>
  <si>
    <t>30d</t>
  </si>
  <si>
    <t>30e</t>
  </si>
  <si>
    <t>30f: sls inh up 10%</t>
  </si>
  <si>
    <t>Absolute SGR P2 (mm/y)</t>
  </si>
  <si>
    <t>SG Amp P1</t>
  </si>
  <si>
    <t>Amp Position</t>
  </si>
  <si>
    <t>SGR Amp P2</t>
  </si>
  <si>
    <t>Absolute SGR P1 (mm/y)</t>
  </si>
  <si>
    <t>neg cls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</si>
</sst>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color rgb="FF81EAFF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A16CF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rgb="FF81DBD7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C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/>
      <name val="Calibri"/>
      <family val="2"/>
      <scheme val="minor"/>
    </font>
    <font>
      <sz val="12"/>
      <color rgb="FF212121"/>
      <name val="Calibri"/>
      <family val="2"/>
      <scheme val="minor"/>
    </font>
    <font>
      <sz val="11"/>
      <color rgb="FF21212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9C0006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/>
      <right/>
      <top style="thin">
        <color rgb="FFB2B2B2"/>
      </top>
      <bottom/>
      <diagonal/>
    </border>
    <border>
      <left/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/>
      <top/>
      <bottom/>
      <diagonal/>
    </border>
    <border>
      <left/>
      <right style="thin">
        <color rgb="FFB2B2B2"/>
      </right>
      <top/>
      <bottom/>
      <diagonal/>
    </border>
    <border>
      <left style="thin">
        <color rgb="FFB2B2B2"/>
      </left>
      <right/>
      <top/>
      <bottom style="thin">
        <color rgb="FFB2B2B2"/>
      </bottom>
      <diagonal/>
    </border>
    <border>
      <left/>
      <right/>
      <top/>
      <bottom style="thin">
        <color rgb="FFB2B2B2"/>
      </bottom>
      <diagonal/>
    </border>
    <border>
      <left/>
      <right style="thin">
        <color rgb="FFB2B2B2"/>
      </right>
      <top/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2" borderId="0" applyNumberFormat="0" applyBorder="0" applyAlignment="0" applyProtection="0"/>
    <xf numFmtId="0" fontId="16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8" applyNumberFormat="0" applyAlignment="0" applyProtection="0"/>
    <xf numFmtId="0" fontId="24" fillId="6" borderId="8" applyNumberFormat="0" applyAlignment="0" applyProtection="0"/>
    <xf numFmtId="0" fontId="25" fillId="7" borderId="9" applyNumberFormat="0" applyFont="0" applyAlignment="0" applyProtection="0"/>
    <xf numFmtId="0" fontId="26" fillId="0" borderId="0" applyNumberFormat="0" applyFill="0" applyBorder="0" applyAlignment="0" applyProtection="0"/>
    <xf numFmtId="0" fontId="27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</cellStyleXfs>
  <cellXfs count="155">
    <xf numFmtId="0" fontId="0" fillId="0" borderId="0" xfId="0"/>
    <xf numFmtId="0" fontId="0" fillId="0" borderId="0" xfId="0" applyAlignment="1"/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Fill="1"/>
    <xf numFmtId="0" fontId="3" fillId="0" borderId="0" xfId="1" applyFont="1" applyFill="1" applyBorder="1" applyAlignment="1">
      <alignment horizontal="center"/>
    </xf>
    <xf numFmtId="0" fontId="1" fillId="0" borderId="0" xfId="1" applyFill="1"/>
    <xf numFmtId="0" fontId="1" fillId="0" borderId="3" xfId="1" applyFill="1" applyBorder="1"/>
    <xf numFmtId="0" fontId="1" fillId="0" borderId="0" xfId="1" applyFill="1" applyBorder="1" applyAlignment="1">
      <alignment horizontal="center"/>
    </xf>
    <xf numFmtId="0" fontId="1" fillId="0" borderId="0" xfId="1" applyFill="1" applyBorder="1"/>
    <xf numFmtId="0" fontId="3" fillId="0" borderId="3" xfId="1" applyFont="1" applyFill="1" applyBorder="1"/>
    <xf numFmtId="0" fontId="1" fillId="0" borderId="4" xfId="1" applyFill="1" applyBorder="1"/>
    <xf numFmtId="0" fontId="1" fillId="0" borderId="5" xfId="1" applyFill="1" applyBorder="1"/>
    <xf numFmtId="0" fontId="4" fillId="0" borderId="3" xfId="1" applyFont="1" applyFill="1" applyBorder="1"/>
    <xf numFmtId="0" fontId="5" fillId="0" borderId="3" xfId="1" applyFont="1" applyFill="1" applyBorder="1"/>
    <xf numFmtId="0" fontId="5" fillId="0" borderId="5" xfId="1" applyFont="1" applyFill="1" applyBorder="1"/>
    <xf numFmtId="0" fontId="6" fillId="0" borderId="3" xfId="1" applyFont="1" applyFill="1" applyBorder="1"/>
    <xf numFmtId="0" fontId="6" fillId="0" borderId="5" xfId="1" applyFont="1" applyFill="1" applyBorder="1"/>
    <xf numFmtId="0" fontId="7" fillId="0" borderId="3" xfId="1" applyFont="1" applyFill="1" applyBorder="1"/>
    <xf numFmtId="0" fontId="7" fillId="0" borderId="5" xfId="1" applyFont="1" applyFill="1" applyBorder="1"/>
    <xf numFmtId="0" fontId="8" fillId="0" borderId="3" xfId="1" applyFont="1" applyFill="1" applyBorder="1"/>
    <xf numFmtId="0" fontId="8" fillId="0" borderId="5" xfId="1" applyFont="1" applyFill="1" applyBorder="1"/>
    <xf numFmtId="0" fontId="9" fillId="0" borderId="3" xfId="1" applyFont="1" applyFill="1" applyBorder="1"/>
    <xf numFmtId="0" fontId="9" fillId="0" borderId="5" xfId="1" applyFont="1" applyFill="1" applyBorder="1"/>
    <xf numFmtId="0" fontId="10" fillId="0" borderId="5" xfId="1" applyFont="1" applyFill="1" applyBorder="1"/>
    <xf numFmtId="0" fontId="10" fillId="0" borderId="3" xfId="1" applyFont="1" applyFill="1" applyBorder="1"/>
    <xf numFmtId="0" fontId="13" fillId="0" borderId="3" xfId="1" applyFont="1" applyFill="1" applyBorder="1"/>
    <xf numFmtId="0" fontId="13" fillId="0" borderId="0" xfId="0" applyFont="1"/>
    <xf numFmtId="0" fontId="7" fillId="0" borderId="0" xfId="0" applyFont="1"/>
    <xf numFmtId="0" fontId="14" fillId="0" borderId="0" xfId="1" applyFont="1" applyFill="1"/>
    <xf numFmtId="0" fontId="14" fillId="0" borderId="3" xfId="1" applyFont="1" applyFill="1" applyBorder="1"/>
    <xf numFmtId="0" fontId="14" fillId="0" borderId="0" xfId="0" applyFont="1"/>
    <xf numFmtId="0" fontId="13" fillId="0" borderId="0" xfId="1" applyFont="1" applyFill="1" applyBorder="1"/>
    <xf numFmtId="0" fontId="15" fillId="0" borderId="0" xfId="1" applyFont="1" applyFill="1" applyBorder="1"/>
    <xf numFmtId="0" fontId="3" fillId="0" borderId="0" xfId="1" applyFont="1" applyFill="1" applyBorder="1"/>
    <xf numFmtId="0" fontId="0" fillId="0" borderId="3" xfId="0" applyBorder="1"/>
    <xf numFmtId="0" fontId="1" fillId="0" borderId="6" xfId="1" applyFill="1" applyBorder="1"/>
    <xf numFmtId="0" fontId="1" fillId="0" borderId="7" xfId="1" applyFill="1" applyBorder="1"/>
    <xf numFmtId="0" fontId="0" fillId="0" borderId="0" xfId="0" applyNumberFormat="1"/>
    <xf numFmtId="0" fontId="18" fillId="0" borderId="3" xfId="0" applyFont="1" applyBorder="1"/>
    <xf numFmtId="0" fontId="16" fillId="3" borderId="3" xfId="2" applyBorder="1"/>
    <xf numFmtId="0" fontId="17" fillId="0" borderId="3" xfId="0" applyFont="1" applyBorder="1"/>
    <xf numFmtId="0" fontId="0" fillId="0" borderId="0" xfId="0" applyFill="1" applyBorder="1"/>
    <xf numFmtId="0" fontId="0" fillId="0" borderId="5" xfId="0" applyFill="1" applyBorder="1"/>
    <xf numFmtId="0" fontId="20" fillId="0" borderId="0" xfId="0" applyFont="1"/>
    <xf numFmtId="0" fontId="21" fillId="0" borderId="0" xfId="0" applyFont="1"/>
    <xf numFmtId="0" fontId="17" fillId="0" borderId="0" xfId="0" applyFont="1"/>
    <xf numFmtId="0" fontId="1" fillId="0" borderId="3" xfId="1" applyFont="1" applyFill="1" applyBorder="1" applyAlignment="1"/>
    <xf numFmtId="0" fontId="22" fillId="4" borderId="0" xfId="3"/>
    <xf numFmtId="0" fontId="23" fillId="5" borderId="8" xfId="4"/>
    <xf numFmtId="0" fontId="22" fillId="4" borderId="8" xfId="3" applyBorder="1"/>
    <xf numFmtId="0" fontId="24" fillId="6" borderId="8" xfId="5"/>
    <xf numFmtId="0" fontId="0" fillId="7" borderId="9" xfId="6" applyFont="1"/>
    <xf numFmtId="0" fontId="18" fillId="0" borderId="0" xfId="0" applyFont="1"/>
    <xf numFmtId="2" fontId="0" fillId="0" borderId="3" xfId="0" applyNumberFormat="1" applyBorder="1"/>
    <xf numFmtId="2" fontId="0" fillId="7" borderId="3" xfId="6" applyNumberFormat="1" applyFont="1" applyBorder="1"/>
    <xf numFmtId="2" fontId="22" fillId="4" borderId="3" xfId="3" applyNumberFormat="1" applyBorder="1"/>
    <xf numFmtId="0" fontId="0" fillId="0" borderId="3" xfId="0" applyNumberFormat="1" applyBorder="1"/>
    <xf numFmtId="2" fontId="0" fillId="0" borderId="0" xfId="0" applyNumberFormat="1"/>
    <xf numFmtId="0" fontId="25" fillId="9" borderId="0" xfId="9"/>
    <xf numFmtId="0" fontId="25" fillId="13" borderId="0" xfId="13"/>
    <xf numFmtId="0" fontId="0" fillId="9" borderId="0" xfId="9" applyFont="1"/>
    <xf numFmtId="2" fontId="25" fillId="13" borderId="3" xfId="13" applyNumberFormat="1" applyBorder="1"/>
    <xf numFmtId="2" fontId="25" fillId="9" borderId="3" xfId="9" applyNumberFormat="1" applyBorder="1"/>
    <xf numFmtId="0" fontId="30" fillId="0" borderId="0" xfId="0" applyFont="1"/>
    <xf numFmtId="0" fontId="29" fillId="0" borderId="3" xfId="0" applyFont="1" applyBorder="1"/>
    <xf numFmtId="0" fontId="29" fillId="0" borderId="3" xfId="0" applyFont="1" applyFill="1" applyBorder="1"/>
    <xf numFmtId="0" fontId="0" fillId="7" borderId="9" xfId="6" applyNumberFormat="1" applyFont="1"/>
    <xf numFmtId="0" fontId="25" fillId="10" borderId="2" xfId="10" applyNumberFormat="1" applyBorder="1"/>
    <xf numFmtId="0" fontId="27" fillId="11" borderId="2" xfId="11" applyNumberFormat="1" applyBorder="1"/>
    <xf numFmtId="0" fontId="27" fillId="8" borderId="0" xfId="8" applyNumberFormat="1"/>
    <xf numFmtId="0" fontId="25" fillId="14" borderId="2" xfId="14" applyNumberFormat="1" applyBorder="1"/>
    <xf numFmtId="0" fontId="27" fillId="15" borderId="2" xfId="15" applyNumberFormat="1" applyBorder="1"/>
    <xf numFmtId="0" fontId="27" fillId="12" borderId="0" xfId="12" applyNumberFormat="1"/>
    <xf numFmtId="2" fontId="25" fillId="10" borderId="3" xfId="10" applyNumberFormat="1" applyBorder="1"/>
    <xf numFmtId="2" fontId="25" fillId="14" borderId="3" xfId="14" applyNumberFormat="1" applyBorder="1"/>
    <xf numFmtId="2" fontId="27" fillId="12" borderId="3" xfId="12" applyNumberFormat="1" applyBorder="1"/>
    <xf numFmtId="2" fontId="27" fillId="8" borderId="3" xfId="8" applyNumberFormat="1" applyBorder="1"/>
    <xf numFmtId="2" fontId="27" fillId="11" borderId="3" xfId="11" applyNumberFormat="1" applyBorder="1"/>
    <xf numFmtId="2" fontId="27" fillId="15" borderId="3" xfId="15" applyNumberFormat="1" applyBorder="1"/>
    <xf numFmtId="0" fontId="0" fillId="13" borderId="0" xfId="13" applyFont="1"/>
    <xf numFmtId="0" fontId="0" fillId="14" borderId="2" xfId="14" applyNumberFormat="1" applyFont="1" applyBorder="1"/>
    <xf numFmtId="0" fontId="0" fillId="10" borderId="2" xfId="10" applyNumberFormat="1" applyFont="1" applyBorder="1"/>
    <xf numFmtId="0" fontId="28" fillId="7" borderId="13" xfId="6" applyFont="1" applyBorder="1" applyAlignment="1">
      <alignment horizontal="center" wrapText="1"/>
    </xf>
    <xf numFmtId="0" fontId="28" fillId="7" borderId="0" xfId="6" applyFont="1" applyBorder="1" applyAlignment="1">
      <alignment horizontal="center" wrapText="1"/>
    </xf>
    <xf numFmtId="0" fontId="31" fillId="0" borderId="3" xfId="0" applyFont="1" applyBorder="1"/>
    <xf numFmtId="0" fontId="31" fillId="0" borderId="0" xfId="0" applyFont="1" applyFill="1" applyBorder="1"/>
    <xf numFmtId="0" fontId="31" fillId="0" borderId="3" xfId="0" applyFont="1" applyFill="1" applyBorder="1"/>
    <xf numFmtId="0" fontId="31" fillId="0" borderId="3" xfId="1" applyFont="1" applyFill="1" applyBorder="1"/>
    <xf numFmtId="0" fontId="29" fillId="0" borderId="5" xfId="0" applyFont="1" applyFill="1" applyBorder="1"/>
    <xf numFmtId="2" fontId="0" fillId="0" borderId="2" xfId="0" applyNumberFormat="1" applyFill="1" applyBorder="1"/>
    <xf numFmtId="2" fontId="27" fillId="16" borderId="3" xfId="16" applyNumberFormat="1" applyBorder="1"/>
    <xf numFmtId="0" fontId="0" fillId="0" borderId="0" xfId="0" applyAlignment="1">
      <alignment wrapText="1"/>
    </xf>
    <xf numFmtId="0" fontId="29" fillId="0" borderId="5" xfId="0" applyFont="1" applyFill="1" applyBorder="1" applyAlignment="1">
      <alignment wrapText="1"/>
    </xf>
    <xf numFmtId="0" fontId="0" fillId="0" borderId="6" xfId="0" applyNumberFormat="1" applyBorder="1"/>
    <xf numFmtId="2" fontId="0" fillId="0" borderId="6" xfId="0" applyNumberFormat="1" applyBorder="1"/>
    <xf numFmtId="2" fontId="27" fillId="12" borderId="6" xfId="12" applyNumberFormat="1" applyBorder="1"/>
    <xf numFmtId="0" fontId="0" fillId="0" borderId="7" xfId="0" applyNumberFormat="1" applyBorder="1"/>
    <xf numFmtId="2" fontId="0" fillId="0" borderId="7" xfId="0" applyNumberFormat="1" applyBorder="1"/>
    <xf numFmtId="2" fontId="25" fillId="9" borderId="7" xfId="9" applyNumberFormat="1" applyBorder="1"/>
    <xf numFmtId="2" fontId="0" fillId="0" borderId="3" xfId="0" applyNumberFormat="1" applyFill="1" applyBorder="1"/>
    <xf numFmtId="2" fontId="27" fillId="15" borderId="6" xfId="15" applyNumberFormat="1" applyBorder="1"/>
    <xf numFmtId="0" fontId="31" fillId="0" borderId="0" xfId="0" applyFont="1" applyBorder="1"/>
    <xf numFmtId="0" fontId="17" fillId="0" borderId="0" xfId="0" applyFont="1" applyBorder="1"/>
    <xf numFmtId="0" fontId="0" fillId="0" borderId="3" xfId="0" applyFill="1" applyBorder="1"/>
    <xf numFmtId="2" fontId="31" fillId="0" borderId="3" xfId="0" applyNumberFormat="1" applyFont="1" applyBorder="1"/>
    <xf numFmtId="0" fontId="31" fillId="0" borderId="5" xfId="0" applyFont="1" applyFill="1" applyBorder="1"/>
    <xf numFmtId="2" fontId="25" fillId="13" borderId="6" xfId="13" applyNumberFormat="1" applyBorder="1"/>
    <xf numFmtId="2" fontId="25" fillId="14" borderId="6" xfId="14" applyNumberFormat="1" applyBorder="1"/>
    <xf numFmtId="2" fontId="25" fillId="10" borderId="7" xfId="10" applyNumberFormat="1" applyBorder="1"/>
    <xf numFmtId="0" fontId="22" fillId="4" borderId="3" xfId="3" applyBorder="1"/>
    <xf numFmtId="0" fontId="30" fillId="0" borderId="5" xfId="0" applyFont="1" applyFill="1" applyBorder="1" applyAlignment="1">
      <alignment horizontal="center"/>
    </xf>
    <xf numFmtId="0" fontId="30" fillId="0" borderId="5" xfId="0" applyFont="1" applyFill="1" applyBorder="1" applyAlignment="1">
      <alignment horizontal="center" wrapText="1"/>
    </xf>
    <xf numFmtId="2" fontId="27" fillId="8" borderId="6" xfId="8" applyNumberFormat="1" applyBorder="1"/>
    <xf numFmtId="2" fontId="27" fillId="8" borderId="7" xfId="8" applyNumberFormat="1" applyBorder="1"/>
    <xf numFmtId="0" fontId="29" fillId="0" borderId="6" xfId="0" applyFont="1" applyBorder="1"/>
    <xf numFmtId="2" fontId="25" fillId="10" borderId="6" xfId="10" applyNumberFormat="1" applyBorder="1"/>
    <xf numFmtId="2" fontId="25" fillId="13" borderId="7" xfId="13" applyNumberFormat="1" applyBorder="1"/>
    <xf numFmtId="2" fontId="0" fillId="0" borderId="18" xfId="0" applyNumberFormat="1" applyBorder="1"/>
    <xf numFmtId="2" fontId="0" fillId="0" borderId="4" xfId="0" applyNumberFormat="1" applyBorder="1"/>
    <xf numFmtId="2" fontId="0" fillId="0" borderId="0" xfId="0" applyNumberFormat="1" applyBorder="1"/>
    <xf numFmtId="2" fontId="25" fillId="9" borderId="0" xfId="9" applyNumberFormat="1"/>
    <xf numFmtId="2" fontId="25" fillId="13" borderId="0" xfId="13" applyNumberFormat="1"/>
    <xf numFmtId="2" fontId="25" fillId="10" borderId="0" xfId="10" applyNumberFormat="1"/>
    <xf numFmtId="0" fontId="3" fillId="0" borderId="7" xfId="1" applyFont="1" applyFill="1" applyBorder="1"/>
    <xf numFmtId="0" fontId="1" fillId="0" borderId="19" xfId="1" applyFill="1" applyBorder="1"/>
    <xf numFmtId="0" fontId="19" fillId="0" borderId="3" xfId="1" applyFont="1" applyFill="1" applyBorder="1"/>
    <xf numFmtId="0" fontId="19" fillId="0" borderId="3" xfId="0" applyFont="1" applyBorder="1"/>
    <xf numFmtId="0" fontId="2" fillId="2" borderId="0" xfId="1" applyFont="1" applyAlignment="1">
      <alignment horizontal="center"/>
    </xf>
    <xf numFmtId="0" fontId="2" fillId="2" borderId="1" xfId="1" applyFont="1" applyBorder="1" applyAlignment="1">
      <alignment horizontal="center"/>
    </xf>
    <xf numFmtId="0" fontId="3" fillId="2" borderId="0" xfId="1" applyFont="1" applyAlignment="1">
      <alignment horizontal="center"/>
    </xf>
    <xf numFmtId="0" fontId="3" fillId="2" borderId="1" xfId="1" applyFont="1" applyBorder="1" applyAlignment="1">
      <alignment horizontal="center"/>
    </xf>
    <xf numFmtId="0" fontId="1" fillId="2" borderId="0" xfId="1" applyAlignment="1">
      <alignment horizontal="center"/>
    </xf>
    <xf numFmtId="0" fontId="1" fillId="2" borderId="1" xfId="1" applyBorder="1" applyAlignment="1">
      <alignment horizontal="center"/>
    </xf>
    <xf numFmtId="0" fontId="28" fillId="7" borderId="9" xfId="6" applyFont="1" applyAlignment="1">
      <alignment horizontal="center" wrapText="1"/>
    </xf>
    <xf numFmtId="0" fontId="16" fillId="7" borderId="9" xfId="6" applyFont="1" applyAlignment="1">
      <alignment horizontal="center" wrapText="1"/>
    </xf>
    <xf numFmtId="0" fontId="1" fillId="7" borderId="9" xfId="6" applyFont="1" applyAlignment="1">
      <alignment horizontal="center" wrapText="1"/>
    </xf>
    <xf numFmtId="0" fontId="26" fillId="0" borderId="0" xfId="7" applyAlignment="1">
      <alignment horizontal="center"/>
    </xf>
    <xf numFmtId="0" fontId="16" fillId="7" borderId="10" xfId="6" applyFont="1" applyBorder="1" applyAlignment="1">
      <alignment horizontal="center" wrapText="1"/>
    </xf>
    <xf numFmtId="0" fontId="16" fillId="7" borderId="11" xfId="6" applyFont="1" applyBorder="1" applyAlignment="1">
      <alignment horizontal="center" wrapText="1"/>
    </xf>
    <xf numFmtId="0" fontId="16" fillId="7" borderId="12" xfId="6" applyFont="1" applyBorder="1" applyAlignment="1">
      <alignment horizontal="center" wrapText="1"/>
    </xf>
    <xf numFmtId="0" fontId="16" fillId="7" borderId="13" xfId="6" applyFont="1" applyBorder="1" applyAlignment="1">
      <alignment horizontal="center" wrapText="1"/>
    </xf>
    <xf numFmtId="0" fontId="16" fillId="7" borderId="0" xfId="6" applyFont="1" applyBorder="1" applyAlignment="1">
      <alignment horizontal="center" wrapText="1"/>
    </xf>
    <xf numFmtId="0" fontId="16" fillId="7" borderId="14" xfId="6" applyFont="1" applyBorder="1" applyAlignment="1">
      <alignment horizontal="center" wrapText="1"/>
    </xf>
    <xf numFmtId="0" fontId="16" fillId="7" borderId="15" xfId="6" applyFont="1" applyBorder="1" applyAlignment="1">
      <alignment horizontal="center" wrapText="1"/>
    </xf>
    <xf numFmtId="0" fontId="16" fillId="7" borderId="16" xfId="6" applyFont="1" applyBorder="1" applyAlignment="1">
      <alignment horizontal="center" wrapText="1"/>
    </xf>
    <xf numFmtId="0" fontId="16" fillId="7" borderId="17" xfId="6" applyFont="1" applyBorder="1" applyAlignment="1">
      <alignment horizontal="center" wrapText="1"/>
    </xf>
    <xf numFmtId="0" fontId="28" fillId="7" borderId="13" xfId="6" applyFont="1" applyBorder="1" applyAlignment="1">
      <alignment horizontal="center" wrapText="1"/>
    </xf>
    <xf numFmtId="0" fontId="28" fillId="7" borderId="14" xfId="6" applyFont="1" applyBorder="1" applyAlignment="1">
      <alignment horizontal="center" wrapText="1"/>
    </xf>
    <xf numFmtId="0" fontId="28" fillId="7" borderId="0" xfId="6" applyFont="1" applyBorder="1" applyAlignment="1">
      <alignment horizontal="center" wrapText="1"/>
    </xf>
    <xf numFmtId="0" fontId="1" fillId="7" borderId="13" xfId="6" applyFont="1" applyBorder="1" applyAlignment="1">
      <alignment horizontal="center" wrapText="1"/>
    </xf>
    <xf numFmtId="0" fontId="1" fillId="7" borderId="0" xfId="6" applyFont="1" applyBorder="1" applyAlignment="1">
      <alignment horizontal="center" wrapText="1"/>
    </xf>
    <xf numFmtId="0" fontId="3" fillId="2" borderId="0" xfId="1" applyFont="1" applyAlignment="1">
      <alignment horizontal="center" vertical="center"/>
    </xf>
    <xf numFmtId="0" fontId="0" fillId="0" borderId="0" xfId="0" applyAlignment="1">
      <alignment horizontal="center" wrapText="1"/>
    </xf>
    <xf numFmtId="0" fontId="1" fillId="0" borderId="2" xfId="1" applyFill="1" applyBorder="1"/>
  </cellXfs>
  <cellStyles count="17">
    <cellStyle name="20% - Accent1" xfId="9" builtinId="30"/>
    <cellStyle name="20% - Accent2" xfId="13" builtinId="34"/>
    <cellStyle name="40% - Accent1" xfId="10" builtinId="31"/>
    <cellStyle name="40% - Accent2" xfId="14" builtinId="35"/>
    <cellStyle name="60% - Accent1" xfId="11" builtinId="32"/>
    <cellStyle name="60% - Accent2" xfId="15" builtinId="36"/>
    <cellStyle name="60% - Accent5" xfId="16" builtinId="48"/>
    <cellStyle name="Accent1" xfId="8" builtinId="29"/>
    <cellStyle name="Accent2" xfId="12" builtinId="33"/>
    <cellStyle name="Bad" xfId="2" builtinId="27"/>
    <cellStyle name="Calculation" xfId="5" builtinId="22"/>
    <cellStyle name="Explanatory Text" xfId="7" builtinId="53"/>
    <cellStyle name="Good" xfId="1" builtinId="26"/>
    <cellStyle name="Input" xfId="4" builtinId="20"/>
    <cellStyle name="Neutral" xfId="3" builtinId="28"/>
    <cellStyle name="Normal" xfId="0" builtinId="0"/>
    <cellStyle name="Note" xfId="6" builtinId="10"/>
  </cellStyles>
  <dxfs count="0"/>
  <tableStyles count="0" defaultTableStyle="TableStyleMedium2" defaultPivotStyle="PivotStyleLight16"/>
  <colors>
    <mruColors>
      <color rgb="FFFA16CF"/>
      <color rgb="FF81DBD7"/>
      <color rgb="FF81E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Z5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('SymB1 CLS'!$B$3:$D$3,'SymB1 CLS'!$F$3:$J$3)</c:f>
              <c:numCache>
                <c:formatCode>General</c:formatCode>
                <c:ptCount val="8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320</c:v>
                </c:pt>
                <c:pt idx="4">
                  <c:v>400</c:v>
                </c:pt>
                <c:pt idx="5">
                  <c:v>480</c:v>
                </c:pt>
                <c:pt idx="6">
                  <c:v>560</c:v>
                </c:pt>
                <c:pt idx="7">
                  <c:v>631</c:v>
                </c:pt>
              </c:numCache>
            </c:numRef>
          </c:xVal>
          <c:yVal>
            <c:numRef>
              <c:f>('SymB1 CLS'!$B$7:$D$7,'SymB1 CLS'!$F$7:$J$7)</c:f>
              <c:numCache>
                <c:formatCode>0.00</c:formatCode>
                <c:ptCount val="8"/>
                <c:pt idx="0">
                  <c:v>-36.807999999999993</c:v>
                </c:pt>
                <c:pt idx="1">
                  <c:v>3.1920000000000073</c:v>
                </c:pt>
                <c:pt idx="2">
                  <c:v>38.192000000000007</c:v>
                </c:pt>
                <c:pt idx="3">
                  <c:v>-9.8079999999999927</c:v>
                </c:pt>
                <c:pt idx="4">
                  <c:v>25.192000000000007</c:v>
                </c:pt>
                <c:pt idx="5">
                  <c:v>57.192000000000007</c:v>
                </c:pt>
                <c:pt idx="6">
                  <c:v>-65.807999999999993</c:v>
                </c:pt>
                <c:pt idx="7">
                  <c:v>-62.807999999999993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698-4BD3-B994-5A7A310AFC42}"/>
            </c:ext>
          </c:extLst>
        </c:ser>
        <c:ser>
          <c:idx val="1"/>
          <c:order val="1"/>
          <c:tx>
            <c:v>Z4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'SymB1 CLS'!$B$10:$J$10</c:f>
              <c:numCache>
                <c:formatCode>General</c:formatCode>
                <c:ptCount val="9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480</c:v>
                </c:pt>
                <c:pt idx="7">
                  <c:v>560</c:v>
                </c:pt>
                <c:pt idx="8">
                  <c:v>631</c:v>
                </c:pt>
              </c:numCache>
            </c:numRef>
          </c:xVal>
          <c:yVal>
            <c:numRef>
              <c:f>'SymB1 CLS'!$B$14:$J$14</c:f>
              <c:numCache>
                <c:formatCode>0.00</c:formatCode>
                <c:ptCount val="9"/>
                <c:pt idx="0">
                  <c:v>-7.0200000000000102</c:v>
                </c:pt>
                <c:pt idx="1">
                  <c:v>26.97999999999999</c:v>
                </c:pt>
                <c:pt idx="2">
                  <c:v>-27.02000000000001</c:v>
                </c:pt>
                <c:pt idx="3">
                  <c:v>-24.019999999999982</c:v>
                </c:pt>
                <c:pt idx="4">
                  <c:v>15.980000000000018</c:v>
                </c:pt>
                <c:pt idx="5">
                  <c:v>35.980000000000018</c:v>
                </c:pt>
                <c:pt idx="6">
                  <c:v>49.97999999999999</c:v>
                </c:pt>
                <c:pt idx="7">
                  <c:v>12.97999999999999</c:v>
                </c:pt>
                <c:pt idx="8">
                  <c:v>12.97999999999999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98-4BD3-B994-5A7A310AFC42}"/>
            </c:ext>
          </c:extLst>
        </c:ser>
        <c:ser>
          <c:idx val="2"/>
          <c:order val="2"/>
          <c:tx>
            <c:v>Z3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'SymB1 CLS'!$B$17:$J$17</c:f>
              <c:numCache>
                <c:formatCode>General</c:formatCode>
                <c:ptCount val="9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480</c:v>
                </c:pt>
                <c:pt idx="7">
                  <c:v>560</c:v>
                </c:pt>
                <c:pt idx="8">
                  <c:v>631</c:v>
                </c:pt>
              </c:numCache>
            </c:numRef>
          </c:xVal>
          <c:yVal>
            <c:numRef>
              <c:f>'SymB1 CLS'!$B$21:$J$21</c:f>
              <c:numCache>
                <c:formatCode>0.00</c:formatCode>
                <c:ptCount val="9"/>
                <c:pt idx="0">
                  <c:v>36.822400000000002</c:v>
                </c:pt>
                <c:pt idx="1">
                  <c:v>21.822400000000016</c:v>
                </c:pt>
                <c:pt idx="2">
                  <c:v>1.822400000000016</c:v>
                </c:pt>
                <c:pt idx="3">
                  <c:v>15.822400000000016</c:v>
                </c:pt>
                <c:pt idx="4">
                  <c:v>29.822400000000016</c:v>
                </c:pt>
                <c:pt idx="5">
                  <c:v>-34.177599999999984</c:v>
                </c:pt>
                <c:pt idx="6">
                  <c:v>-77.177599999999984</c:v>
                </c:pt>
                <c:pt idx="7">
                  <c:v>11.822400000000002</c:v>
                </c:pt>
                <c:pt idx="8">
                  <c:v>12.822400000000002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698-4BD3-B994-5A7A310AFC42}"/>
            </c:ext>
          </c:extLst>
        </c:ser>
        <c:ser>
          <c:idx val="3"/>
          <c:order val="3"/>
          <c:tx>
            <c:v>Z2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'SymB1 CLS'!$B$24:$J$24</c:f>
              <c:numCache>
                <c:formatCode>General</c:formatCode>
                <c:ptCount val="9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480</c:v>
                </c:pt>
                <c:pt idx="7">
                  <c:v>560</c:v>
                </c:pt>
                <c:pt idx="8">
                  <c:v>631</c:v>
                </c:pt>
              </c:numCache>
            </c:numRef>
          </c:xVal>
          <c:yVal>
            <c:numRef>
              <c:f>'SymB1 CLS'!$B$28:$J$28</c:f>
              <c:numCache>
                <c:formatCode>0.00</c:formatCode>
                <c:ptCount val="9"/>
                <c:pt idx="0">
                  <c:v>-40.616</c:v>
                </c:pt>
                <c:pt idx="1">
                  <c:v>-25.616</c:v>
                </c:pt>
                <c:pt idx="2">
                  <c:v>15.384000000000015</c:v>
                </c:pt>
                <c:pt idx="3">
                  <c:v>-1.6159999999999854</c:v>
                </c:pt>
                <c:pt idx="4">
                  <c:v>-12.615999999999985</c:v>
                </c:pt>
                <c:pt idx="5">
                  <c:v>-34.615999999999985</c:v>
                </c:pt>
                <c:pt idx="6">
                  <c:v>-22.615999999999985</c:v>
                </c:pt>
                <c:pt idx="7">
                  <c:v>-25.616</c:v>
                </c:pt>
                <c:pt idx="8">
                  <c:v>-40.616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698-4BD3-B994-5A7A310AFC42}"/>
            </c:ext>
          </c:extLst>
        </c:ser>
        <c:ser>
          <c:idx val="4"/>
          <c:order val="4"/>
          <c:tx>
            <c:v>Z1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'SymB1 CLS'!$B$24:$J$24</c:f>
              <c:numCache>
                <c:formatCode>General</c:formatCode>
                <c:ptCount val="9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480</c:v>
                </c:pt>
                <c:pt idx="7">
                  <c:v>560</c:v>
                </c:pt>
                <c:pt idx="8">
                  <c:v>631</c:v>
                </c:pt>
              </c:numCache>
            </c:numRef>
          </c:xVal>
          <c:yVal>
            <c:numRef>
              <c:f>'SymB1 CLS'!$B$35:$J$35</c:f>
              <c:numCache>
                <c:formatCode>General</c:formatCode>
                <c:ptCount val="9"/>
                <c:pt idx="0">
                  <c:v>-12.808</c:v>
                </c:pt>
                <c:pt idx="1">
                  <c:v>-2.8079999999999998</c:v>
                </c:pt>
                <c:pt idx="2">
                  <c:v>-7.8079999999999998</c:v>
                </c:pt>
                <c:pt idx="3">
                  <c:v>6.1920000000000073</c:v>
                </c:pt>
                <c:pt idx="4">
                  <c:v>7.1920000000000073</c:v>
                </c:pt>
                <c:pt idx="5" formatCode="0.00">
                  <c:v>-38.807999999999993</c:v>
                </c:pt>
                <c:pt idx="6">
                  <c:v>-30.807999999999993</c:v>
                </c:pt>
                <c:pt idx="7">
                  <c:v>-12.808</c:v>
                </c:pt>
                <c:pt idx="8">
                  <c:v>-12.808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698-4BD3-B994-5A7A310AFC42}"/>
            </c:ext>
          </c:extLst>
        </c:ser>
        <c:ser>
          <c:idx val="5"/>
          <c:order val="5"/>
          <c:tx>
            <c:v>Z0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'SymB1 CLS'!$B$38:$J$38</c:f>
              <c:numCache>
                <c:formatCode>General</c:formatCode>
                <c:ptCount val="9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480</c:v>
                </c:pt>
                <c:pt idx="7">
                  <c:v>560</c:v>
                </c:pt>
                <c:pt idx="8">
                  <c:v>631</c:v>
                </c:pt>
              </c:numCache>
            </c:numRef>
          </c:xVal>
          <c:yVal>
            <c:numRef>
              <c:f>'SymB1 CLS'!$B$42:$J$42</c:f>
              <c:numCache>
                <c:formatCode>0.00</c:formatCode>
                <c:ptCount val="9"/>
                <c:pt idx="0">
                  <c:v>10.630399999999995</c:v>
                </c:pt>
                <c:pt idx="1">
                  <c:v>20.630399999999995</c:v>
                </c:pt>
                <c:pt idx="2">
                  <c:v>18.630399999999995</c:v>
                </c:pt>
                <c:pt idx="3">
                  <c:v>7.6303999999999945</c:v>
                </c:pt>
                <c:pt idx="4">
                  <c:v>-8.3695999999999913</c:v>
                </c:pt>
                <c:pt idx="5">
                  <c:v>-9.3696000000000055</c:v>
                </c:pt>
                <c:pt idx="6">
                  <c:v>-28.369600000000005</c:v>
                </c:pt>
                <c:pt idx="7">
                  <c:v>15.630399999999995</c:v>
                </c:pt>
                <c:pt idx="8">
                  <c:v>10.630399999999995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698-4BD3-B994-5A7A310AF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645936"/>
        <c:axId val="504646592"/>
        <c:extLst>
          <c:ext xmlns:c15="http://schemas.microsoft.com/office/drawing/2012/chart" uri="{02D57815-91ED-43cb-92C2-25804820EDAC}">
            <c15:filteredScatterSeries>
              <c15:ser>
                <c:idx val="6"/>
                <c:order val="6"/>
                <c:tx>
                  <c:v>Total</c:v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'SymB1 CLS'!$B$38:$J$38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240</c:v>
                      </c:pt>
                      <c:pt idx="4">
                        <c:v>320</c:v>
                      </c:pt>
                      <c:pt idx="5">
                        <c:v>400</c:v>
                      </c:pt>
                      <c:pt idx="6">
                        <c:v>480</c:v>
                      </c:pt>
                      <c:pt idx="7">
                        <c:v>560</c:v>
                      </c:pt>
                      <c:pt idx="8">
                        <c:v>631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'SymB1 CLS'!$B$49:$J$49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-49.799199999999928</c:v>
                      </c:pt>
                      <c:pt idx="1">
                        <c:v>44.200800000000072</c:v>
                      </c:pt>
                      <c:pt idx="2">
                        <c:v>39.200800000000072</c:v>
                      </c:pt>
                      <c:pt idx="3">
                        <c:v>-29.799199999999928</c:v>
                      </c:pt>
                      <c:pt idx="4" formatCode="General">
                        <c:v>22.200800000000072</c:v>
                      </c:pt>
                      <c:pt idx="5">
                        <c:v>-55.799199999999928</c:v>
                      </c:pt>
                      <c:pt idx="6">
                        <c:v>-51.799199999999928</c:v>
                      </c:pt>
                      <c:pt idx="7">
                        <c:v>-63.799199999999928</c:v>
                      </c:pt>
                      <c:pt idx="8">
                        <c:v>-79.799199999999928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6-C698-4BD3-B994-5A7A310AFC42}"/>
                  </c:ext>
                </c:extLst>
              </c15:ser>
            </c15:filteredScatterSeries>
          </c:ext>
        </c:extLst>
      </c:scatterChart>
      <c:valAx>
        <c:axId val="50464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646592"/>
        <c:crosses val="autoZero"/>
        <c:crossBetween val="midCat"/>
      </c:valAx>
      <c:valAx>
        <c:axId val="5046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645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OnlapseR21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'SymB1 SG Test'!$B$46:$S$46</c:f>
              <c:numCache>
                <c:formatCode>General</c:formatCode>
                <c:ptCount val="18"/>
                <c:pt idx="0">
                  <c:v>2610.9062597855582</c:v>
                </c:pt>
                <c:pt idx="1">
                  <c:v>2426.6018591599682</c:v>
                </c:pt>
                <c:pt idx="2">
                  <c:v>2269.4227608370184</c:v>
                </c:pt>
                <c:pt idx="3">
                  <c:v>2074.4336501241582</c:v>
                </c:pt>
                <c:pt idx="4">
                  <c:v>1750.4096946333084</c:v>
                </c:pt>
                <c:pt idx="5">
                  <c:v>1248.8706838684884</c:v>
                </c:pt>
                <c:pt idx="6">
                  <c:v>698.16735279779436</c:v>
                </c:pt>
                <c:pt idx="7">
                  <c:v>245.98551584960441</c:v>
                </c:pt>
                <c:pt idx="8">
                  <c:v>22.118768527237307</c:v>
                </c:pt>
                <c:pt idx="9">
                  <c:v>0</c:v>
                </c:pt>
                <c:pt idx="10">
                  <c:v>71.338023276692397</c:v>
                </c:pt>
                <c:pt idx="11">
                  <c:v>306.06413562692342</c:v>
                </c:pt>
                <c:pt idx="12">
                  <c:v>701.6390304639184</c:v>
                </c:pt>
                <c:pt idx="13">
                  <c:v>1317.1216976928386</c:v>
                </c:pt>
                <c:pt idx="14">
                  <c:v>2068.6594515528882</c:v>
                </c:pt>
                <c:pt idx="15">
                  <c:v>2541.8098896609281</c:v>
                </c:pt>
                <c:pt idx="16">
                  <c:v>2742.5937923342181</c:v>
                </c:pt>
                <c:pt idx="17">
                  <c:v>2795.0696457855584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F-4BDB-A143-BB5EDA1A7749}"/>
            </c:ext>
          </c:extLst>
        </c:ser>
        <c:ser>
          <c:idx val="1"/>
          <c:order val="1"/>
          <c:tx>
            <c:v>Seismic</c:v>
          </c:tx>
          <c:spPr>
            <a:ln w="635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'SymB1 SG Test'!$B$47:$S$47</c:f>
              <c:numCache>
                <c:formatCode>General</c:formatCode>
                <c:ptCount val="18"/>
                <c:pt idx="0">
                  <c:v>2644</c:v>
                </c:pt>
                <c:pt idx="1">
                  <c:v>2398</c:v>
                </c:pt>
                <c:pt idx="2">
                  <c:v>2281</c:v>
                </c:pt>
                <c:pt idx="3">
                  <c:v>2076</c:v>
                </c:pt>
                <c:pt idx="4">
                  <c:v>1664</c:v>
                </c:pt>
                <c:pt idx="5">
                  <c:v>1191</c:v>
                </c:pt>
                <c:pt idx="6">
                  <c:v>727</c:v>
                </c:pt>
                <c:pt idx="7">
                  <c:v>246</c:v>
                </c:pt>
                <c:pt idx="8">
                  <c:v>15</c:v>
                </c:pt>
                <c:pt idx="9">
                  <c:v>0</c:v>
                </c:pt>
                <c:pt idx="10">
                  <c:v>49</c:v>
                </c:pt>
                <c:pt idx="11">
                  <c:v>303</c:v>
                </c:pt>
                <c:pt idx="12">
                  <c:v>775</c:v>
                </c:pt>
                <c:pt idx="13">
                  <c:v>1354</c:v>
                </c:pt>
                <c:pt idx="14">
                  <c:v>2101</c:v>
                </c:pt>
                <c:pt idx="15">
                  <c:v>2565</c:v>
                </c:pt>
                <c:pt idx="16">
                  <c:v>2786</c:v>
                </c:pt>
                <c:pt idx="17">
                  <c:v>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F-4BDB-A143-BB5EDA1A7749}"/>
            </c:ext>
          </c:extLst>
        </c:ser>
        <c:ser>
          <c:idx val="2"/>
          <c:order val="2"/>
          <c:tx>
            <c:v>Onlapse R22</c:v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'SymB1 SG Test'!$U$46:$AL$46</c:f>
              <c:numCache>
                <c:formatCode>General</c:formatCode>
                <c:ptCount val="18"/>
                <c:pt idx="0">
                  <c:v>2610.8504025977227</c:v>
                </c:pt>
                <c:pt idx="1">
                  <c:v>2426.5460015977228</c:v>
                </c:pt>
                <c:pt idx="2">
                  <c:v>2269.3669035977227</c:v>
                </c:pt>
                <c:pt idx="3">
                  <c:v>2074.3777925977229</c:v>
                </c:pt>
                <c:pt idx="4">
                  <c:v>1750.3538375977225</c:v>
                </c:pt>
                <c:pt idx="5">
                  <c:v>1248.8148262234424</c:v>
                </c:pt>
                <c:pt idx="6">
                  <c:v>698.11149554840665</c:v>
                </c:pt>
                <c:pt idx="7">
                  <c:v>245.9296589181036</c:v>
                </c:pt>
                <c:pt idx="8">
                  <c:v>22.062911472355403</c:v>
                </c:pt>
                <c:pt idx="9">
                  <c:v>0</c:v>
                </c:pt>
                <c:pt idx="10">
                  <c:v>67.329586286746604</c:v>
                </c:pt>
                <c:pt idx="11">
                  <c:v>306.00827823932457</c:v>
                </c:pt>
                <c:pt idx="12">
                  <c:v>701.58317329772467</c:v>
                </c:pt>
                <c:pt idx="13">
                  <c:v>1317.0658405352526</c:v>
                </c:pt>
                <c:pt idx="14">
                  <c:v>2068.603594093373</c:v>
                </c:pt>
                <c:pt idx="15">
                  <c:v>2541.7540325977229</c:v>
                </c:pt>
                <c:pt idx="16">
                  <c:v>2742.5379355977229</c:v>
                </c:pt>
                <c:pt idx="17">
                  <c:v>2795.0137885977229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52F-4BDB-A143-BB5EDA1A7749}"/>
            </c:ext>
          </c:extLst>
        </c:ser>
        <c:ser>
          <c:idx val="3"/>
          <c:order val="3"/>
          <c:tx>
            <c:v>R23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'SymB1 SG Test'!$U$55:$AL$55</c:f>
              <c:numCache>
                <c:formatCode>General</c:formatCode>
                <c:ptCount val="18"/>
                <c:pt idx="0">
                  <c:v>2660.4136127278061</c:v>
                </c:pt>
                <c:pt idx="1">
                  <c:v>2427.1743687278163</c:v>
                </c:pt>
                <c:pt idx="2">
                  <c:v>2269.9952707278162</c:v>
                </c:pt>
                <c:pt idx="3">
                  <c:v>2075.0061597278163</c:v>
                </c:pt>
                <c:pt idx="4">
                  <c:v>1671.6699267278161</c:v>
                </c:pt>
                <c:pt idx="5">
                  <c:v>1305.2387603535362</c:v>
                </c:pt>
                <c:pt idx="6">
                  <c:v>725.60559967850031</c:v>
                </c:pt>
                <c:pt idx="7">
                  <c:v>246.55802604819729</c:v>
                </c:pt>
                <c:pt idx="8">
                  <c:v>4.2034986024494998</c:v>
                </c:pt>
                <c:pt idx="9">
                  <c:v>0</c:v>
                </c:pt>
                <c:pt idx="10">
                  <c:v>47.204520416840097</c:v>
                </c:pt>
                <c:pt idx="11">
                  <c:v>306.63664536941826</c:v>
                </c:pt>
                <c:pt idx="12">
                  <c:v>768.0981384278183</c:v>
                </c:pt>
                <c:pt idx="13">
                  <c:v>1341.9432476653462</c:v>
                </c:pt>
                <c:pt idx="14">
                  <c:v>2107.3505382234662</c:v>
                </c:pt>
                <c:pt idx="15">
                  <c:v>2589.9353147278161</c:v>
                </c:pt>
                <c:pt idx="16">
                  <c:v>2794.7348957278164</c:v>
                </c:pt>
                <c:pt idx="17">
                  <c:v>2848.2602657278162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2F-4BDB-A143-BB5EDA1A7749}"/>
            </c:ext>
          </c:extLst>
        </c:ser>
        <c:ser>
          <c:idx val="4"/>
          <c:order val="4"/>
          <c:tx>
            <c:v>R24</c:v>
          </c:tx>
          <c:spPr>
            <a:ln w="2857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'SymB1 SG Test'!$U$63:$AL$63</c:f>
              <c:numCache>
                <c:formatCode>General</c:formatCode>
                <c:ptCount val="18"/>
                <c:pt idx="0">
                  <c:v>2659.8404737108831</c:v>
                </c:pt>
                <c:pt idx="1">
                  <c:v>2453.9767267108932</c:v>
                </c:pt>
                <c:pt idx="2">
                  <c:v>2269.4221317108932</c:v>
                </c:pt>
                <c:pt idx="3">
                  <c:v>2074.4330207108933</c:v>
                </c:pt>
                <c:pt idx="4">
                  <c:v>1671.0967877108928</c:v>
                </c:pt>
                <c:pt idx="5">
                  <c:v>1189.930819498893</c:v>
                </c:pt>
                <c:pt idx="6">
                  <c:v>725.03246066157692</c:v>
                </c:pt>
                <c:pt idx="7">
                  <c:v>245.98488703127401</c:v>
                </c:pt>
                <c:pt idx="8">
                  <c:v>18.629879585526105</c:v>
                </c:pt>
                <c:pt idx="9">
                  <c:v>0</c:v>
                </c:pt>
                <c:pt idx="10">
                  <c:v>46.631381399916798</c:v>
                </c:pt>
                <c:pt idx="11">
                  <c:v>306.06350635249498</c:v>
                </c:pt>
                <c:pt idx="12">
                  <c:v>767.52499941089491</c:v>
                </c:pt>
                <c:pt idx="13">
                  <c:v>1341.370108648423</c:v>
                </c:pt>
                <c:pt idx="14">
                  <c:v>2106.7773992065431</c:v>
                </c:pt>
                <c:pt idx="15">
                  <c:v>2589.3621757108931</c:v>
                </c:pt>
                <c:pt idx="16">
                  <c:v>2794.1617567108933</c:v>
                </c:pt>
                <c:pt idx="17">
                  <c:v>2847.6871267108932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52F-4BDB-A143-BB5EDA1A7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979392"/>
        <c:axId val="530977752"/>
      </c:lineChart>
      <c:catAx>
        <c:axId val="530979392"/>
        <c:scaling>
          <c:orientation val="minMax"/>
        </c:scaling>
        <c:delete val="1"/>
        <c:axPos val="b"/>
        <c:majorTickMark val="none"/>
        <c:minorTickMark val="none"/>
        <c:tickLblPos val="nextTo"/>
        <c:crossAx val="530977752"/>
        <c:crosses val="autoZero"/>
        <c:auto val="1"/>
        <c:lblAlgn val="ctr"/>
        <c:lblOffset val="100"/>
        <c:noMultiLvlLbl val="0"/>
      </c:catAx>
      <c:valAx>
        <c:axId val="530977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30979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Percentage Difference between measured Seismic and measured Onlapse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R22 % Difference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'SymB1 SG Test'!$B$44:$S$44</c:f>
              <c:numCache>
                <c:formatCode>General</c:formatCode>
                <c:ptCount val="18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334</c:v>
                </c:pt>
                <c:pt idx="10">
                  <c:v>360</c:v>
                </c:pt>
                <c:pt idx="11">
                  <c:v>400</c:v>
                </c:pt>
                <c:pt idx="12">
                  <c:v>440</c:v>
                </c:pt>
                <c:pt idx="13">
                  <c:v>480</c:v>
                </c:pt>
                <c:pt idx="14">
                  <c:v>520</c:v>
                </c:pt>
                <c:pt idx="15">
                  <c:v>560</c:v>
                </c:pt>
                <c:pt idx="16">
                  <c:v>600</c:v>
                </c:pt>
                <c:pt idx="17">
                  <c:v>631</c:v>
                </c:pt>
              </c:numCache>
            </c:numRef>
          </c:xVal>
          <c:yVal>
            <c:numRef>
              <c:f>'SymB1 SG Test'!$B$49:$R$49</c:f>
              <c:numCache>
                <c:formatCode>General</c:formatCode>
                <c:ptCount val="17"/>
                <c:pt idx="0">
                  <c:v>-1.2516543197595245</c:v>
                </c:pt>
                <c:pt idx="1">
                  <c:v>1.1927380800653948</c:v>
                </c:pt>
                <c:pt idx="2">
                  <c:v>-0.50755103739507412</c:v>
                </c:pt>
                <c:pt idx="3">
                  <c:v>-7.5450379375806925E-2</c:v>
                </c:pt>
                <c:pt idx="4">
                  <c:v>5.1928903024824749</c:v>
                </c:pt>
                <c:pt idx="5">
                  <c:v>4.8589994851795479</c:v>
                </c:pt>
                <c:pt idx="6">
                  <c:v>-3.9659762313900462</c:v>
                </c:pt>
                <c:pt idx="7">
                  <c:v>-5.8878660144669965E-3</c:v>
                </c:pt>
                <c:pt idx="8">
                  <c:v>47.458456848248716</c:v>
                </c:pt>
                <c:pt idx="9">
                  <c:v>0</c:v>
                </c:pt>
                <c:pt idx="10">
                  <c:v>45.587802605494687</c:v>
                </c:pt>
                <c:pt idx="11">
                  <c:v>1.0112658834730748</c:v>
                </c:pt>
                <c:pt idx="12">
                  <c:v>-9.4659315530427861</c:v>
                </c:pt>
                <c:pt idx="13">
                  <c:v>-2.7236560049602252</c:v>
                </c:pt>
                <c:pt idx="14">
                  <c:v>-1.5392931198054172</c:v>
                </c:pt>
                <c:pt idx="15">
                  <c:v>-0.90409786896966504</c:v>
                </c:pt>
                <c:pt idx="16">
                  <c:v>-1.558011761155131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F4-445D-A303-58A57E7A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4601032"/>
        <c:axId val="53460168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R23 % Difference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'SymB1 SG Test'!$U$44:$AL$44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334</c:v>
                      </c:pt>
                      <c:pt idx="10">
                        <c:v>360</c:v>
                      </c:pt>
                      <c:pt idx="11">
                        <c:v>400</c:v>
                      </c:pt>
                      <c:pt idx="12">
                        <c:v>440</c:v>
                      </c:pt>
                      <c:pt idx="13">
                        <c:v>480</c:v>
                      </c:pt>
                      <c:pt idx="14">
                        <c:v>520</c:v>
                      </c:pt>
                      <c:pt idx="15">
                        <c:v>560</c:v>
                      </c:pt>
                      <c:pt idx="16">
                        <c:v>600</c:v>
                      </c:pt>
                      <c:pt idx="17">
                        <c:v>631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'SymB1 SG Test'!$U$58:$AL$58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-0.62078716822262259</c:v>
                      </c:pt>
                      <c:pt idx="1">
                        <c:v>-1.2166125407763251</c:v>
                      </c:pt>
                      <c:pt idx="2">
                        <c:v>0.48245196283138075</c:v>
                      </c:pt>
                      <c:pt idx="3">
                        <c:v>4.7872845480908525E-2</c:v>
                      </c:pt>
                      <c:pt idx="4">
                        <c:v>-0.4609330966235648</c:v>
                      </c:pt>
                      <c:pt idx="5">
                        <c:v>-9.591835462093723</c:v>
                      </c:pt>
                      <c:pt idx="6">
                        <c:v>0.19180196994493651</c:v>
                      </c:pt>
                      <c:pt idx="7">
                        <c:v>-0.22683985699076889</c:v>
                      </c:pt>
                      <c:pt idx="8">
                        <c:v>71.976675983670006</c:v>
                      </c:pt>
                      <c:pt idx="9">
                        <c:v>0</c:v>
                      </c:pt>
                      <c:pt idx="10">
                        <c:v>3.6642440472651074</c:v>
                      </c:pt>
                      <c:pt idx="11">
                        <c:v>-1.2002129932073469</c:v>
                      </c:pt>
                      <c:pt idx="12">
                        <c:v>0.89056278350731621</c:v>
                      </c:pt>
                      <c:pt idx="13">
                        <c:v>0.89045438217531503</c:v>
                      </c:pt>
                      <c:pt idx="14">
                        <c:v>-0.30226264747578174</c:v>
                      </c:pt>
                      <c:pt idx="15">
                        <c:v>-0.97213702642558086</c:v>
                      </c:pt>
                      <c:pt idx="16">
                        <c:v>-0.31352820272133403</c:v>
                      </c:pt>
                      <c:pt idx="17">
                        <c:v>-0.53866098580360755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1-A4F4-445D-A303-58A57E7A5D8B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R24 % Difference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Test'!$U$61:$AL$61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334</c:v>
                      </c:pt>
                      <c:pt idx="10">
                        <c:v>360</c:v>
                      </c:pt>
                      <c:pt idx="11">
                        <c:v>400</c:v>
                      </c:pt>
                      <c:pt idx="12">
                        <c:v>440</c:v>
                      </c:pt>
                      <c:pt idx="13">
                        <c:v>480</c:v>
                      </c:pt>
                      <c:pt idx="14">
                        <c:v>520</c:v>
                      </c:pt>
                      <c:pt idx="15">
                        <c:v>560</c:v>
                      </c:pt>
                      <c:pt idx="16">
                        <c:v>600</c:v>
                      </c:pt>
                      <c:pt idx="17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Test'!$U$66:$AL$66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-0.5991102008654724</c:v>
                      </c:pt>
                      <c:pt idx="1">
                        <c:v>-2.334308870345839</c:v>
                      </c:pt>
                      <c:pt idx="2">
                        <c:v>0.50757861854918218</c:v>
                      </c:pt>
                      <c:pt idx="3">
                        <c:v>7.5480697933849317E-2</c:v>
                      </c:pt>
                      <c:pt idx="4">
                        <c:v>-0.42648964608731016</c:v>
                      </c:pt>
                      <c:pt idx="5">
                        <c:v>8.9771662561459659E-2</c:v>
                      </c:pt>
                      <c:pt idx="6">
                        <c:v>0.27063814833880057</c:v>
                      </c:pt>
                      <c:pt idx="7">
                        <c:v>6.1434832219458436E-3</c:v>
                      </c:pt>
                      <c:pt idx="8">
                        <c:v>-24.1991972368407</c:v>
                      </c:pt>
                      <c:pt idx="9">
                        <c:v>0</c:v>
                      </c:pt>
                      <c:pt idx="10">
                        <c:v>4.8339155103738829</c:v>
                      </c:pt>
                      <c:pt idx="11">
                        <c:v>-1.0110582021435588</c:v>
                      </c:pt>
                      <c:pt idx="12">
                        <c:v>0.96451620504581848</c:v>
                      </c:pt>
                      <c:pt idx="13">
                        <c:v>0.93278370395694554</c:v>
                      </c:pt>
                      <c:pt idx="14">
                        <c:v>-0.27498330350038663</c:v>
                      </c:pt>
                      <c:pt idx="15">
                        <c:v>-0.94979242537594921</c:v>
                      </c:pt>
                      <c:pt idx="16">
                        <c:v>-0.29295609156113833</c:v>
                      </c:pt>
                      <c:pt idx="17">
                        <c:v>-0.51843016981620726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4F4-445D-A303-58A57E7A5D8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R25 % Difference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Test'!$U$69:$AL$69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334</c:v>
                      </c:pt>
                      <c:pt idx="10">
                        <c:v>360</c:v>
                      </c:pt>
                      <c:pt idx="11">
                        <c:v>400</c:v>
                      </c:pt>
                      <c:pt idx="12">
                        <c:v>440</c:v>
                      </c:pt>
                      <c:pt idx="13">
                        <c:v>480</c:v>
                      </c:pt>
                      <c:pt idx="14">
                        <c:v>520</c:v>
                      </c:pt>
                      <c:pt idx="15">
                        <c:v>560</c:v>
                      </c:pt>
                      <c:pt idx="16">
                        <c:v>600</c:v>
                      </c:pt>
                      <c:pt idx="17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Test'!$U$74:$AL$74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-0.63965218216343689</c:v>
                      </c:pt>
                      <c:pt idx="1">
                        <c:v>-0.29394423254467522</c:v>
                      </c:pt>
                      <c:pt idx="2">
                        <c:v>0.46058475684299272</c:v>
                      </c:pt>
                      <c:pt idx="3">
                        <c:v>2.3846305567848274E-2</c:v>
                      </c:pt>
                      <c:pt idx="4">
                        <c:v>-0.49090851540932995</c:v>
                      </c:pt>
                      <c:pt idx="5">
                        <c:v>-1.0164811353594772</c:v>
                      </c:pt>
                      <c:pt idx="6">
                        <c:v>0.12319248320559438</c:v>
                      </c:pt>
                      <c:pt idx="7">
                        <c:v>-0.42960041333025295</c:v>
                      </c:pt>
                      <c:pt idx="8">
                        <c:v>-31.345397140296711</c:v>
                      </c:pt>
                      <c:pt idx="9">
                        <c:v>0</c:v>
                      </c:pt>
                      <c:pt idx="10">
                        <c:v>2.6463032950302048</c:v>
                      </c:pt>
                      <c:pt idx="11">
                        <c:v>-1.3648304745918785</c:v>
                      </c:pt>
                      <c:pt idx="12">
                        <c:v>0.82620265852731412</c:v>
                      </c:pt>
                      <c:pt idx="13">
                        <c:v>0.85361605362323734</c:v>
                      </c:pt>
                      <c:pt idx="14">
                        <c:v>-0.32600329329182792</c:v>
                      </c:pt>
                      <c:pt idx="15">
                        <c:v>-4.6086498885426132E-2</c:v>
                      </c:pt>
                      <c:pt idx="16">
                        <c:v>-0.33143168328828054</c:v>
                      </c:pt>
                      <c:pt idx="17">
                        <c:v>-0.55626744427855046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4F4-445D-A303-58A57E7A5D8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R26 % Difference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Test'!$U$77:$AL$77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333</c:v>
                      </c:pt>
                      <c:pt idx="10">
                        <c:v>360</c:v>
                      </c:pt>
                      <c:pt idx="11">
                        <c:v>400</c:v>
                      </c:pt>
                      <c:pt idx="12">
                        <c:v>440</c:v>
                      </c:pt>
                      <c:pt idx="13">
                        <c:v>480</c:v>
                      </c:pt>
                      <c:pt idx="14">
                        <c:v>520</c:v>
                      </c:pt>
                      <c:pt idx="15">
                        <c:v>560</c:v>
                      </c:pt>
                      <c:pt idx="16">
                        <c:v>600</c:v>
                      </c:pt>
                      <c:pt idx="17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Test'!$U$82:$AL$82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-0.16881161417243945</c:v>
                      </c:pt>
                      <c:pt idx="1">
                        <c:v>-0.29516860211548068</c:v>
                      </c:pt>
                      <c:pt idx="2">
                        <c:v>0.45929758532574727</c:v>
                      </c:pt>
                      <c:pt idx="3">
                        <c:v>2.2432028963398919E-2</c:v>
                      </c:pt>
                      <c:pt idx="4">
                        <c:v>-0.4926729614615018</c:v>
                      </c:pt>
                      <c:pt idx="5">
                        <c:v>-1.0189463227908913</c:v>
                      </c:pt>
                      <c:pt idx="6">
                        <c:v>0.11915391617558871</c:v>
                      </c:pt>
                      <c:pt idx="7">
                        <c:v>-0.44153552808963681</c:v>
                      </c:pt>
                      <c:pt idx="8">
                        <c:v>-10.611566355684658</c:v>
                      </c:pt>
                      <c:pt idx="9">
                        <c:v>0</c:v>
                      </c:pt>
                      <c:pt idx="10">
                        <c:v>2.586384147462657</c:v>
                      </c:pt>
                      <c:pt idx="11">
                        <c:v>-1.3745203697430615</c:v>
                      </c:pt>
                      <c:pt idx="12">
                        <c:v>0.82241422210045712</c:v>
                      </c:pt>
                      <c:pt idx="13">
                        <c:v>0.85144763543208957</c:v>
                      </c:pt>
                      <c:pt idx="14">
                        <c:v>-0.32740074128365887</c:v>
                      </c:pt>
                      <c:pt idx="15">
                        <c:v>-4.7231153166436418E-2</c:v>
                      </c:pt>
                      <c:pt idx="16">
                        <c:v>-0.33248553764249333</c:v>
                      </c:pt>
                      <c:pt idx="17">
                        <c:v>-8.3685106908568868E-2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4F4-445D-A303-58A57E7A5D8B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R27% Difference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Test'!$U$85:$AL$85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334</c:v>
                      </c:pt>
                      <c:pt idx="10">
                        <c:v>360</c:v>
                      </c:pt>
                      <c:pt idx="11">
                        <c:v>400</c:v>
                      </c:pt>
                      <c:pt idx="12">
                        <c:v>440</c:v>
                      </c:pt>
                      <c:pt idx="13">
                        <c:v>480</c:v>
                      </c:pt>
                      <c:pt idx="14">
                        <c:v>520</c:v>
                      </c:pt>
                      <c:pt idx="15">
                        <c:v>560</c:v>
                      </c:pt>
                      <c:pt idx="16">
                        <c:v>600</c:v>
                      </c:pt>
                      <c:pt idx="17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Test'!$U$90:$AL$90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-9.8668683812679634E-4</c:v>
                      </c:pt>
                      <c:pt idx="1">
                        <c:v>-0.11012727272768973</c:v>
                      </c:pt>
                      <c:pt idx="2">
                        <c:v>0.1923531784305165</c:v>
                      </c:pt>
                      <c:pt idx="3">
                        <c:v>0.23617437379577544</c:v>
                      </c:pt>
                      <c:pt idx="4">
                        <c:v>-0.22600883413462525</c:v>
                      </c:pt>
                      <c:pt idx="5">
                        <c:v>-8.796523929472401E-2</c:v>
                      </c:pt>
                      <c:pt idx="6">
                        <c:v>-0.59651471801938871</c:v>
                      </c:pt>
                      <c:pt idx="7">
                        <c:v>-1.8159886178861784</c:v>
                      </c:pt>
                      <c:pt idx="8">
                        <c:v>-14.621266666666674</c:v>
                      </c:pt>
                      <c:pt idx="9">
                        <c:v>0</c:v>
                      </c:pt>
                      <c:pt idx="10">
                        <c:v>14.901797959183474</c:v>
                      </c:pt>
                      <c:pt idx="11">
                        <c:v>-1.9046240924092368</c:v>
                      </c:pt>
                      <c:pt idx="12">
                        <c:v>-0.52709974193534903</c:v>
                      </c:pt>
                      <c:pt idx="13">
                        <c:v>0.15935376661742068</c:v>
                      </c:pt>
                      <c:pt idx="14">
                        <c:v>-0.18443184197999291</c:v>
                      </c:pt>
                      <c:pt idx="15">
                        <c:v>0.12576265107212992</c:v>
                      </c:pt>
                      <c:pt idx="16">
                        <c:v>-0.17321450107680289</c:v>
                      </c:pt>
                      <c:pt idx="17">
                        <c:v>7.2943593363922546E-2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EEC6-4FE9-AC5C-4B27C036DE1C}"/>
                  </c:ext>
                </c:extLst>
              </c15:ser>
            </c15:filteredScatterSeries>
          </c:ext>
        </c:extLst>
      </c:scatterChart>
      <c:valAx>
        <c:axId val="534601032"/>
        <c:scaling>
          <c:orientation val="minMax"/>
          <c:max val="63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Basin 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601688"/>
        <c:crosses val="autoZero"/>
        <c:crossBetween val="midCat"/>
        <c:majorUnit val="50"/>
      </c:valAx>
      <c:valAx>
        <c:axId val="53460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Difference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601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Difference Between Seismic and Onlapse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R22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'SymB1 SG Test'!$B$44:$S$44</c:f>
              <c:numCache>
                <c:formatCode>General</c:formatCode>
                <c:ptCount val="18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334</c:v>
                </c:pt>
                <c:pt idx="10">
                  <c:v>360</c:v>
                </c:pt>
                <c:pt idx="11">
                  <c:v>400</c:v>
                </c:pt>
                <c:pt idx="12">
                  <c:v>440</c:v>
                </c:pt>
                <c:pt idx="13">
                  <c:v>480</c:v>
                </c:pt>
                <c:pt idx="14">
                  <c:v>520</c:v>
                </c:pt>
                <c:pt idx="15">
                  <c:v>560</c:v>
                </c:pt>
                <c:pt idx="16">
                  <c:v>600</c:v>
                </c:pt>
                <c:pt idx="17">
                  <c:v>631</c:v>
                </c:pt>
              </c:numCache>
            </c:numRef>
          </c:xVal>
          <c:yVal>
            <c:numRef>
              <c:f>'SymB1 SG Test'!$B$48:$S$48</c:f>
              <c:numCache>
                <c:formatCode>General</c:formatCode>
                <c:ptCount val="18"/>
                <c:pt idx="0">
                  <c:v>-33.093740214441823</c:v>
                </c:pt>
                <c:pt idx="1">
                  <c:v>28.601859159968171</c:v>
                </c:pt>
                <c:pt idx="2">
                  <c:v>-11.577239162981641</c:v>
                </c:pt>
                <c:pt idx="3">
                  <c:v>-1.5663498758417518</c:v>
                </c:pt>
                <c:pt idx="4">
                  <c:v>86.409694633308391</c:v>
                </c:pt>
                <c:pt idx="5">
                  <c:v>57.870683868488413</c:v>
                </c:pt>
                <c:pt idx="6">
                  <c:v>-28.832647202205635</c:v>
                </c:pt>
                <c:pt idx="7">
                  <c:v>-1.4484150395588813E-2</c:v>
                </c:pt>
                <c:pt idx="8">
                  <c:v>7.1187685272373074</c:v>
                </c:pt>
                <c:pt idx="9">
                  <c:v>0</c:v>
                </c:pt>
                <c:pt idx="10">
                  <c:v>22.338023276692397</c:v>
                </c:pt>
                <c:pt idx="11">
                  <c:v>3.0641356269234166</c:v>
                </c:pt>
                <c:pt idx="12">
                  <c:v>-73.360969536081598</c:v>
                </c:pt>
                <c:pt idx="13">
                  <c:v>-36.878302307161448</c:v>
                </c:pt>
                <c:pt idx="14">
                  <c:v>-32.340548447111814</c:v>
                </c:pt>
                <c:pt idx="15">
                  <c:v>-23.190110339071907</c:v>
                </c:pt>
                <c:pt idx="16">
                  <c:v>-43.406207665781949</c:v>
                </c:pt>
                <c:pt idx="17">
                  <c:v>-37.93035421444165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B57-44A9-8130-097284905ABC}"/>
            </c:ext>
          </c:extLst>
        </c:ser>
        <c:ser>
          <c:idx val="5"/>
          <c:order val="5"/>
          <c:tx>
            <c:v>R27 -N Base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'SymB1 SG Test'!$U$85:$AL$85</c:f>
              <c:numCache>
                <c:formatCode>General</c:formatCode>
                <c:ptCount val="18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334</c:v>
                </c:pt>
                <c:pt idx="10">
                  <c:v>360</c:v>
                </c:pt>
                <c:pt idx="11">
                  <c:v>400</c:v>
                </c:pt>
                <c:pt idx="12">
                  <c:v>440</c:v>
                </c:pt>
                <c:pt idx="13">
                  <c:v>480</c:v>
                </c:pt>
                <c:pt idx="14">
                  <c:v>520</c:v>
                </c:pt>
                <c:pt idx="15">
                  <c:v>560</c:v>
                </c:pt>
                <c:pt idx="16">
                  <c:v>600</c:v>
                </c:pt>
                <c:pt idx="17">
                  <c:v>631</c:v>
                </c:pt>
              </c:numCache>
            </c:numRef>
          </c:xVal>
          <c:yVal>
            <c:numRef>
              <c:f>'SymB1 SG Test'!$U$89:$AL$89</c:f>
              <c:numCache>
                <c:formatCode>General</c:formatCode>
                <c:ptCount val="18"/>
                <c:pt idx="0">
                  <c:v>-2.6088000000072498E-2</c:v>
                </c:pt>
                <c:pt idx="1">
                  <c:v>-2.6408520000099998</c:v>
                </c:pt>
                <c:pt idx="2">
                  <c:v>4.387576000000081</c:v>
                </c:pt>
                <c:pt idx="3">
                  <c:v>4.9029800000002979</c:v>
                </c:pt>
                <c:pt idx="4">
                  <c:v>-3.760787000000164</c:v>
                </c:pt>
                <c:pt idx="5">
                  <c:v>-1.047666000000163</c:v>
                </c:pt>
                <c:pt idx="6">
                  <c:v>-4.3366620000009561</c:v>
                </c:pt>
                <c:pt idx="7">
                  <c:v>-4.467331999999999</c:v>
                </c:pt>
                <c:pt idx="8">
                  <c:v>-2.1931900000000013</c:v>
                </c:pt>
                <c:pt idx="9">
                  <c:v>0</c:v>
                </c:pt>
                <c:pt idx="10">
                  <c:v>7.3018809999999021</c:v>
                </c:pt>
                <c:pt idx="11">
                  <c:v>-5.7710109999999872</c:v>
                </c:pt>
                <c:pt idx="12">
                  <c:v>-4.0850229999989551</c:v>
                </c:pt>
                <c:pt idx="13">
                  <c:v>2.1576499999998759</c:v>
                </c:pt>
                <c:pt idx="14">
                  <c:v>-3.8749129999996512</c:v>
                </c:pt>
                <c:pt idx="15">
                  <c:v>3.2258120000001327</c:v>
                </c:pt>
                <c:pt idx="16">
                  <c:v>-4.8257559999997284</c:v>
                </c:pt>
                <c:pt idx="17">
                  <c:v>2.0664919999999256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08-4121-9ACA-EEE9039E6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936536"/>
        <c:axId val="498941128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1"/>
                <c:tx>
                  <c:v>R23 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'SymB1 SG Test'!$U$53:$AL$53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334</c:v>
                      </c:pt>
                      <c:pt idx="10">
                        <c:v>360</c:v>
                      </c:pt>
                      <c:pt idx="11">
                        <c:v>400</c:v>
                      </c:pt>
                      <c:pt idx="12">
                        <c:v>440</c:v>
                      </c:pt>
                      <c:pt idx="13">
                        <c:v>480</c:v>
                      </c:pt>
                      <c:pt idx="14">
                        <c:v>520</c:v>
                      </c:pt>
                      <c:pt idx="15">
                        <c:v>560</c:v>
                      </c:pt>
                      <c:pt idx="16">
                        <c:v>600</c:v>
                      </c:pt>
                      <c:pt idx="17">
                        <c:v>631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'SymB1 SG Test'!$U$57:$AL$57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-16.413612727806139</c:v>
                      </c:pt>
                      <c:pt idx="1">
                        <c:v>-29.174368727816272</c:v>
                      </c:pt>
                      <c:pt idx="2">
                        <c:v>11.004729272183795</c:v>
                      </c:pt>
                      <c:pt idx="3">
                        <c:v>0.993840272183661</c:v>
                      </c:pt>
                      <c:pt idx="4">
                        <c:v>-7.6699267278161187</c:v>
                      </c:pt>
                      <c:pt idx="5">
                        <c:v>-114.23876035353624</c:v>
                      </c:pt>
                      <c:pt idx="6">
                        <c:v>1.3944003214996883</c:v>
                      </c:pt>
                      <c:pt idx="7">
                        <c:v>-0.5580260481972914</c:v>
                      </c:pt>
                      <c:pt idx="8">
                        <c:v>10.7965013975505</c:v>
                      </c:pt>
                      <c:pt idx="9">
                        <c:v>0</c:v>
                      </c:pt>
                      <c:pt idx="10">
                        <c:v>1.7954795831599029</c:v>
                      </c:pt>
                      <c:pt idx="11">
                        <c:v>-3.636645369418261</c:v>
                      </c:pt>
                      <c:pt idx="12">
                        <c:v>6.9018615721817014</c:v>
                      </c:pt>
                      <c:pt idx="13">
                        <c:v>12.056752334653766</c:v>
                      </c:pt>
                      <c:pt idx="14">
                        <c:v>-6.3505382234661738</c:v>
                      </c:pt>
                      <c:pt idx="15">
                        <c:v>-24.935314727816149</c:v>
                      </c:pt>
                      <c:pt idx="16">
                        <c:v>-8.7348957278163653</c:v>
                      </c:pt>
                      <c:pt idx="17">
                        <c:v>-15.260265727816204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15-5B57-44A9-8130-097284905ABC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R24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Test'!$U$61:$AL$61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334</c:v>
                      </c:pt>
                      <c:pt idx="10">
                        <c:v>360</c:v>
                      </c:pt>
                      <c:pt idx="11">
                        <c:v>400</c:v>
                      </c:pt>
                      <c:pt idx="12">
                        <c:v>440</c:v>
                      </c:pt>
                      <c:pt idx="13">
                        <c:v>480</c:v>
                      </c:pt>
                      <c:pt idx="14">
                        <c:v>520</c:v>
                      </c:pt>
                      <c:pt idx="15">
                        <c:v>560</c:v>
                      </c:pt>
                      <c:pt idx="16">
                        <c:v>600</c:v>
                      </c:pt>
                      <c:pt idx="17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Test'!$U$65:$AL$65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-15.840473710883089</c:v>
                      </c:pt>
                      <c:pt idx="1">
                        <c:v>-55.976726710893217</c:v>
                      </c:pt>
                      <c:pt idx="2">
                        <c:v>11.577868289106846</c:v>
                      </c:pt>
                      <c:pt idx="3">
                        <c:v>1.5669792891067118</c:v>
                      </c:pt>
                      <c:pt idx="4">
                        <c:v>-7.0967877108928406</c:v>
                      </c:pt>
                      <c:pt idx="5">
                        <c:v>1.0691805011069846</c:v>
                      </c:pt>
                      <c:pt idx="6">
                        <c:v>1.9675393384230802</c:v>
                      </c:pt>
                      <c:pt idx="7">
                        <c:v>1.5112968725986775E-2</c:v>
                      </c:pt>
                      <c:pt idx="8">
                        <c:v>-3.6298795855261048</c:v>
                      </c:pt>
                      <c:pt idx="9">
                        <c:v>0</c:v>
                      </c:pt>
                      <c:pt idx="10">
                        <c:v>2.3686186000832024</c:v>
                      </c:pt>
                      <c:pt idx="11">
                        <c:v>-3.0635063524949828</c:v>
                      </c:pt>
                      <c:pt idx="12">
                        <c:v>7.4750005891050932</c:v>
                      </c:pt>
                      <c:pt idx="13">
                        <c:v>12.629891351577044</c:v>
                      </c:pt>
                      <c:pt idx="14">
                        <c:v>-5.777399206543123</c:v>
                      </c:pt>
                      <c:pt idx="15">
                        <c:v>-24.362175710893098</c:v>
                      </c:pt>
                      <c:pt idx="16">
                        <c:v>-8.1617567108933144</c:v>
                      </c:pt>
                      <c:pt idx="17">
                        <c:v>-14.687126710893153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B57-44A9-8130-097284905ABC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R25 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Test'!$U$69:$AL$69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334</c:v>
                      </c:pt>
                      <c:pt idx="10">
                        <c:v>360</c:v>
                      </c:pt>
                      <c:pt idx="11">
                        <c:v>400</c:v>
                      </c:pt>
                      <c:pt idx="12">
                        <c:v>440</c:v>
                      </c:pt>
                      <c:pt idx="13">
                        <c:v>480</c:v>
                      </c:pt>
                      <c:pt idx="14">
                        <c:v>520</c:v>
                      </c:pt>
                      <c:pt idx="15">
                        <c:v>560</c:v>
                      </c:pt>
                      <c:pt idx="16">
                        <c:v>600</c:v>
                      </c:pt>
                      <c:pt idx="17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Test'!$U$73:$AL$73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-16.91240369640127</c:v>
                      </c:pt>
                      <c:pt idx="1">
                        <c:v>-7.0487826964213127</c:v>
                      </c:pt>
                      <c:pt idx="2">
                        <c:v>10.505938303588664</c:v>
                      </c:pt>
                      <c:pt idx="3">
                        <c:v>0.49504930358853017</c:v>
                      </c:pt>
                      <c:pt idx="4">
                        <c:v>-8.1687176964112496</c:v>
                      </c:pt>
                      <c:pt idx="5">
                        <c:v>-12.106290322131372</c:v>
                      </c:pt>
                      <c:pt idx="6">
                        <c:v>0.89560935290467114</c:v>
                      </c:pt>
                      <c:pt idx="7">
                        <c:v>-1.0568170167924222</c:v>
                      </c:pt>
                      <c:pt idx="8">
                        <c:v>-4.7018095710445067</c:v>
                      </c:pt>
                      <c:pt idx="9">
                        <c:v>0</c:v>
                      </c:pt>
                      <c:pt idx="10">
                        <c:v>1.2966886145648004</c:v>
                      </c:pt>
                      <c:pt idx="11">
                        <c:v>-4.1354363380133918</c:v>
                      </c:pt>
                      <c:pt idx="12">
                        <c:v>6.4030706035866842</c:v>
                      </c:pt>
                      <c:pt idx="13">
                        <c:v>11.557961366058635</c:v>
                      </c:pt>
                      <c:pt idx="14">
                        <c:v>-6.8493291920613046</c:v>
                      </c:pt>
                      <c:pt idx="15">
                        <c:v>-1.1821186964111803</c:v>
                      </c:pt>
                      <c:pt idx="16">
                        <c:v>-9.2336866964114961</c:v>
                      </c:pt>
                      <c:pt idx="17">
                        <c:v>-15.759056696411335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B57-44A9-8130-097284905ABC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R26 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Test'!$U$77:$AL$77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333</c:v>
                      </c:pt>
                      <c:pt idx="10">
                        <c:v>360</c:v>
                      </c:pt>
                      <c:pt idx="11">
                        <c:v>400</c:v>
                      </c:pt>
                      <c:pt idx="12">
                        <c:v>440</c:v>
                      </c:pt>
                      <c:pt idx="13">
                        <c:v>480</c:v>
                      </c:pt>
                      <c:pt idx="14">
                        <c:v>520</c:v>
                      </c:pt>
                      <c:pt idx="15">
                        <c:v>560</c:v>
                      </c:pt>
                      <c:pt idx="16">
                        <c:v>600</c:v>
                      </c:pt>
                      <c:pt idx="17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SG Test'!$U$81:$AL$81</c15:sqref>
                        </c15:formulaRef>
                      </c:ext>
                    </c:extLst>
                    <c:numCache>
                      <c:formatCode>General</c:formatCode>
                      <c:ptCount val="18"/>
                      <c:pt idx="0">
                        <c:v>-4.4633790787192993</c:v>
                      </c:pt>
                      <c:pt idx="1">
                        <c:v>-7.0781430787292265</c:v>
                      </c:pt>
                      <c:pt idx="2">
                        <c:v>10.476577921280295</c:v>
                      </c:pt>
                      <c:pt idx="3">
                        <c:v>0.46568892128016159</c:v>
                      </c:pt>
                      <c:pt idx="4">
                        <c:v>-8.1980780787193908</c:v>
                      </c:pt>
                      <c:pt idx="5">
                        <c:v>-12.135650704439513</c:v>
                      </c:pt>
                      <c:pt idx="6">
                        <c:v>0.86624897059652994</c:v>
                      </c:pt>
                      <c:pt idx="7">
                        <c:v>-1.0861773991005066</c:v>
                      </c:pt>
                      <c:pt idx="8">
                        <c:v>-1.5917349533526988</c:v>
                      </c:pt>
                      <c:pt idx="9">
                        <c:v>0</c:v>
                      </c:pt>
                      <c:pt idx="10">
                        <c:v>1.2673282322567019</c:v>
                      </c:pt>
                      <c:pt idx="11">
                        <c:v>-4.1647967203214762</c:v>
                      </c:pt>
                      <c:pt idx="12">
                        <c:v>6.373710221278543</c:v>
                      </c:pt>
                      <c:pt idx="13">
                        <c:v>11.528600983750493</c:v>
                      </c:pt>
                      <c:pt idx="14">
                        <c:v>-6.8786895743696732</c:v>
                      </c:pt>
                      <c:pt idx="15">
                        <c:v>-1.2114790787190941</c:v>
                      </c:pt>
                      <c:pt idx="16">
                        <c:v>-9.2630470787198647</c:v>
                      </c:pt>
                      <c:pt idx="17">
                        <c:v>-2.3707990787197559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B57-44A9-8130-097284905ABC}"/>
                  </c:ext>
                </c:extLst>
              </c15:ser>
            </c15:filteredScatterSeries>
          </c:ext>
        </c:extLst>
      </c:scatterChart>
      <c:valAx>
        <c:axId val="498936536"/>
        <c:scaling>
          <c:orientation val="minMax"/>
          <c:max val="63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Basin Position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941128"/>
        <c:crosses val="autoZero"/>
        <c:crossBetween val="midCat"/>
        <c:majorUnit val="50"/>
      </c:valAx>
      <c:valAx>
        <c:axId val="498941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Difference (m)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8936536"/>
        <c:crosses val="autoZero"/>
        <c:crossBetween val="midCat"/>
        <c:min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8"/>
          <c:order val="8"/>
          <c:tx>
            <c:v>Z5 R30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'SymB1 CLS (2)'!$B$68:$J$68</c:f>
              <c:numCache>
                <c:formatCode>General</c:formatCode>
                <c:ptCount val="9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480</c:v>
                </c:pt>
                <c:pt idx="7">
                  <c:v>560</c:v>
                </c:pt>
                <c:pt idx="8">
                  <c:v>631</c:v>
                </c:pt>
              </c:numCache>
            </c:numRef>
          </c:xVal>
          <c:yVal>
            <c:numRef>
              <c:f>'SymB1 CLS (2)'!$B$65:$J$65</c:f>
              <c:numCache>
                <c:formatCode>0.00</c:formatCode>
                <c:ptCount val="9"/>
                <c:pt idx="0">
                  <c:v>-178.80799999999999</c:v>
                </c:pt>
                <c:pt idx="1">
                  <c:v>-125.80799999999999</c:v>
                </c:pt>
                <c:pt idx="2">
                  <c:v>-29.807999999999993</c:v>
                </c:pt>
                <c:pt idx="3">
                  <c:v>-29.807999999999993</c:v>
                </c:pt>
                <c:pt idx="4">
                  <c:v>-65.807999999999993</c:v>
                </c:pt>
                <c:pt idx="5">
                  <c:v>-46.807999999999993</c:v>
                </c:pt>
                <c:pt idx="6">
                  <c:v>-91.807999999999993</c:v>
                </c:pt>
                <c:pt idx="7">
                  <c:v>-222.80799999999999</c:v>
                </c:pt>
                <c:pt idx="8">
                  <c:v>-217.80799999999999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4B-46D3-B084-A98251DE6BA7}"/>
            </c:ext>
          </c:extLst>
        </c:ser>
        <c:ser>
          <c:idx val="9"/>
          <c:order val="9"/>
          <c:tx>
            <c:v>Z5 R30a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'SymB1 CLS (2)'!$B$68:$J$68</c:f>
              <c:numCache>
                <c:formatCode>General</c:formatCode>
                <c:ptCount val="9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480</c:v>
                </c:pt>
                <c:pt idx="7">
                  <c:v>560</c:v>
                </c:pt>
                <c:pt idx="8">
                  <c:v>631</c:v>
                </c:pt>
              </c:numCache>
            </c:numRef>
          </c:xVal>
          <c:yVal>
            <c:numRef>
              <c:f>'SymB1 CLS (2)'!$B$72:$J$72</c:f>
              <c:numCache>
                <c:formatCode>0.00</c:formatCode>
                <c:ptCount val="9"/>
                <c:pt idx="0">
                  <c:v>-127.80799999999999</c:v>
                </c:pt>
                <c:pt idx="1">
                  <c:v>-75.807999999999993</c:v>
                </c:pt>
                <c:pt idx="2">
                  <c:v>22.192000000000007</c:v>
                </c:pt>
                <c:pt idx="3">
                  <c:v>22.192000000000007</c:v>
                </c:pt>
                <c:pt idx="4">
                  <c:v>-13.807999999999993</c:v>
                </c:pt>
                <c:pt idx="5">
                  <c:v>6.1920000000000073</c:v>
                </c:pt>
                <c:pt idx="6">
                  <c:v>27.192000000000007</c:v>
                </c:pt>
                <c:pt idx="7">
                  <c:v>-172.80799999999999</c:v>
                </c:pt>
                <c:pt idx="8">
                  <c:v>-165.80799999999999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4B-46D3-B084-A98251DE6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645936"/>
        <c:axId val="504646592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Zone 5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'SymB1 CLS (2)'!$B$3:$J$3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240</c:v>
                      </c:pt>
                      <c:pt idx="4">
                        <c:v>320</c:v>
                      </c:pt>
                      <c:pt idx="5">
                        <c:v>400</c:v>
                      </c:pt>
                      <c:pt idx="6">
                        <c:v>480</c:v>
                      </c:pt>
                      <c:pt idx="7">
                        <c:v>560</c:v>
                      </c:pt>
                      <c:pt idx="8">
                        <c:v>631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'SymB1 CLS (2)'!$B$7:$J$7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67.192000000000007</c:v>
                      </c:pt>
                      <c:pt idx="1">
                        <c:v>76.192000000000007</c:v>
                      </c:pt>
                      <c:pt idx="2">
                        <c:v>180.19200000000001</c:v>
                      </c:pt>
                      <c:pt idx="3">
                        <c:v>29.192000000000007</c:v>
                      </c:pt>
                      <c:pt idx="4">
                        <c:v>-44.807999999999993</c:v>
                      </c:pt>
                      <c:pt idx="5">
                        <c:v>-1.8079999999999927</c:v>
                      </c:pt>
                      <c:pt idx="6">
                        <c:v>82.192000000000007</c:v>
                      </c:pt>
                      <c:pt idx="7">
                        <c:v>12.192000000000007</c:v>
                      </c:pt>
                      <c:pt idx="8">
                        <c:v>43.192000000000007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95DB-4CF4-A038-84BA0D71035E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Zone 5R27a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(2)'!$B$10:$J$10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240</c:v>
                      </c:pt>
                      <c:pt idx="4">
                        <c:v>320</c:v>
                      </c:pt>
                      <c:pt idx="5">
                        <c:v>400</c:v>
                      </c:pt>
                      <c:pt idx="6">
                        <c:v>480</c:v>
                      </c:pt>
                      <c:pt idx="7">
                        <c:v>560</c:v>
                      </c:pt>
                      <c:pt idx="8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(2)'!$B$14:$J$14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80.192000000000007</c:v>
                      </c:pt>
                      <c:pt idx="1">
                        <c:v>120.19200000000001</c:v>
                      </c:pt>
                      <c:pt idx="2">
                        <c:v>280.19200000000001</c:v>
                      </c:pt>
                      <c:pt idx="3">
                        <c:v>127.19200000000001</c:v>
                      </c:pt>
                      <c:pt idx="4">
                        <c:v>81.192000000000007</c:v>
                      </c:pt>
                      <c:pt idx="5">
                        <c:v>110.19200000000001</c:v>
                      </c:pt>
                      <c:pt idx="6">
                        <c:v>108.19200000000001</c:v>
                      </c:pt>
                      <c:pt idx="7">
                        <c:v>45.192000000000007</c:v>
                      </c:pt>
                      <c:pt idx="8">
                        <c:v>65.192000000000007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95DB-4CF4-A038-84BA0D71035E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Zone 5 R27b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(2)'!$B$17:$J$17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240</c:v>
                      </c:pt>
                      <c:pt idx="4">
                        <c:v>320</c:v>
                      </c:pt>
                      <c:pt idx="5">
                        <c:v>400</c:v>
                      </c:pt>
                      <c:pt idx="6">
                        <c:v>480</c:v>
                      </c:pt>
                      <c:pt idx="7">
                        <c:v>560</c:v>
                      </c:pt>
                      <c:pt idx="8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(2)'!$B$21:$J$21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-9.8079999999999927</c:v>
                      </c:pt>
                      <c:pt idx="1">
                        <c:v>24.192000000000007</c:v>
                      </c:pt>
                      <c:pt idx="2">
                        <c:v>155.19200000000001</c:v>
                      </c:pt>
                      <c:pt idx="3">
                        <c:v>33.192000000000007</c:v>
                      </c:pt>
                      <c:pt idx="4">
                        <c:v>-12.807999999999993</c:v>
                      </c:pt>
                      <c:pt idx="5">
                        <c:v>21.192000000000007</c:v>
                      </c:pt>
                      <c:pt idx="6">
                        <c:v>15.192000000000007</c:v>
                      </c:pt>
                      <c:pt idx="7">
                        <c:v>-46.807999999999993</c:v>
                      </c:pt>
                      <c:pt idx="8">
                        <c:v>-26.807999999999993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5DB-4CF4-A038-84BA0D71035E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v>Zone 2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(2)'!$B$24:$J$24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240</c:v>
                      </c:pt>
                      <c:pt idx="4">
                        <c:v>320</c:v>
                      </c:pt>
                      <c:pt idx="5">
                        <c:v>400</c:v>
                      </c:pt>
                      <c:pt idx="6">
                        <c:v>480</c:v>
                      </c:pt>
                      <c:pt idx="7">
                        <c:v>560</c:v>
                      </c:pt>
                      <c:pt idx="8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(2)'!$B$28:$J$28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-5.8079999999999927</c:v>
                      </c:pt>
                      <c:pt idx="1">
                        <c:v>44.192000000000007</c:v>
                      </c:pt>
                      <c:pt idx="2">
                        <c:v>199.19200000000001</c:v>
                      </c:pt>
                      <c:pt idx="3">
                        <c:v>33.192000000000007</c:v>
                      </c:pt>
                      <c:pt idx="4">
                        <c:v>-12.807999999999993</c:v>
                      </c:pt>
                      <c:pt idx="5">
                        <c:v>21.192000000000007</c:v>
                      </c:pt>
                      <c:pt idx="6">
                        <c:v>15.192000000000007</c:v>
                      </c:pt>
                      <c:pt idx="7">
                        <c:v>-46.807999999999993</c:v>
                      </c:pt>
                      <c:pt idx="8">
                        <c:v>-26.807999999999993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5DB-4CF4-A038-84BA0D71035E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Zone 1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(2)'!$B$31:$J$31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240</c:v>
                      </c:pt>
                      <c:pt idx="4">
                        <c:v>320</c:v>
                      </c:pt>
                      <c:pt idx="5">
                        <c:v>400</c:v>
                      </c:pt>
                      <c:pt idx="6">
                        <c:v>480</c:v>
                      </c:pt>
                      <c:pt idx="7">
                        <c:v>560</c:v>
                      </c:pt>
                      <c:pt idx="8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(2)'!$B$35:$J$35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167.19200000000001</c:v>
                      </c:pt>
                      <c:pt idx="1">
                        <c:v>237.19200000000001</c:v>
                      </c:pt>
                      <c:pt idx="2">
                        <c:v>306.19200000000001</c:v>
                      </c:pt>
                      <c:pt idx="3">
                        <c:v>153.19200000000001</c:v>
                      </c:pt>
                      <c:pt idx="4">
                        <c:v>-11.807999999999993</c:v>
                      </c:pt>
                      <c:pt idx="5">
                        <c:v>60.192000000000007</c:v>
                      </c:pt>
                      <c:pt idx="6">
                        <c:v>231.19200000000001</c:v>
                      </c:pt>
                      <c:pt idx="7">
                        <c:v>135.19200000000001</c:v>
                      </c:pt>
                      <c:pt idx="8">
                        <c:v>129.19200000000001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5DB-4CF4-A038-84BA0D71035E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Zone 0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(2)'!$B$38:$J$38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240</c:v>
                      </c:pt>
                      <c:pt idx="4">
                        <c:v>320</c:v>
                      </c:pt>
                      <c:pt idx="5">
                        <c:v>400</c:v>
                      </c:pt>
                      <c:pt idx="6">
                        <c:v>480</c:v>
                      </c:pt>
                      <c:pt idx="7">
                        <c:v>560</c:v>
                      </c:pt>
                      <c:pt idx="8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(2)'!$B$42:$J$42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-145.80799999999999</c:v>
                      </c:pt>
                      <c:pt idx="1">
                        <c:v>84.192000000000007</c:v>
                      </c:pt>
                      <c:pt idx="2">
                        <c:v>-23.807999999999993</c:v>
                      </c:pt>
                      <c:pt idx="3">
                        <c:v>51.192000000000007</c:v>
                      </c:pt>
                      <c:pt idx="4">
                        <c:v>-70.807999999999993</c:v>
                      </c:pt>
                      <c:pt idx="5">
                        <c:v>5.1920000000000073</c:v>
                      </c:pt>
                      <c:pt idx="6">
                        <c:v>96.192000000000007</c:v>
                      </c:pt>
                      <c:pt idx="7">
                        <c:v>23.192000000000007</c:v>
                      </c:pt>
                      <c:pt idx="8">
                        <c:v>53.192000000000007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5DB-4CF4-A038-84BA0D71035E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Zone 5 R28a</c:v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(2)'!$B$38:$J$38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240</c:v>
                      </c:pt>
                      <c:pt idx="4">
                        <c:v>320</c:v>
                      </c:pt>
                      <c:pt idx="5">
                        <c:v>400</c:v>
                      </c:pt>
                      <c:pt idx="6">
                        <c:v>480</c:v>
                      </c:pt>
                      <c:pt idx="7">
                        <c:v>560</c:v>
                      </c:pt>
                      <c:pt idx="8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(2)'!$B$42:$J$42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-145.80799999999999</c:v>
                      </c:pt>
                      <c:pt idx="1">
                        <c:v>84.192000000000007</c:v>
                      </c:pt>
                      <c:pt idx="2">
                        <c:v>-23.807999999999993</c:v>
                      </c:pt>
                      <c:pt idx="3">
                        <c:v>51.192000000000007</c:v>
                      </c:pt>
                      <c:pt idx="4">
                        <c:v>-70.807999999999993</c:v>
                      </c:pt>
                      <c:pt idx="5">
                        <c:v>5.1920000000000073</c:v>
                      </c:pt>
                      <c:pt idx="6">
                        <c:v>96.192000000000007</c:v>
                      </c:pt>
                      <c:pt idx="7">
                        <c:v>23.192000000000007</c:v>
                      </c:pt>
                      <c:pt idx="8">
                        <c:v>53.192000000000007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5DB-4CF4-A038-84BA0D71035E}"/>
                  </c:ext>
                </c:extLst>
              </c15:ser>
            </c15:filteredScatterSeries>
            <c15:filteredScatterSeries>
              <c15:ser>
                <c:idx val="7"/>
                <c:order val="7"/>
                <c:tx>
                  <c:v>R29</c:v>
                </c:tx>
                <c:spPr>
                  <a:ln w="19050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60000"/>
                      </a:schemeClr>
                    </a:solidFill>
                    <a:ln w="9525">
                      <a:solidFill>
                        <a:schemeClr val="accent2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(2)'!$B$54:$J$54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240</c:v>
                      </c:pt>
                      <c:pt idx="4">
                        <c:v>320</c:v>
                      </c:pt>
                      <c:pt idx="5">
                        <c:v>400</c:v>
                      </c:pt>
                      <c:pt idx="6">
                        <c:v>480</c:v>
                      </c:pt>
                      <c:pt idx="7">
                        <c:v>560</c:v>
                      </c:pt>
                      <c:pt idx="8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CLS (2)'!$B$58:$J$58</c15:sqref>
                        </c15:formulaRef>
                      </c:ext>
                    </c:extLst>
                    <c:numCache>
                      <c:formatCode>0.00</c:formatCode>
                      <c:ptCount val="9"/>
                      <c:pt idx="0">
                        <c:v>-65.807999999999993</c:v>
                      </c:pt>
                      <c:pt idx="1">
                        <c:v>-32.807999999999993</c:v>
                      </c:pt>
                      <c:pt idx="2">
                        <c:v>39.192000000000007</c:v>
                      </c:pt>
                      <c:pt idx="3">
                        <c:v>-1.8079999999999927</c:v>
                      </c:pt>
                      <c:pt idx="4">
                        <c:v>-63.807999999999993</c:v>
                      </c:pt>
                      <c:pt idx="5">
                        <c:v>-31.807999999999993</c:v>
                      </c:pt>
                      <c:pt idx="6">
                        <c:v>-35.807999999999993</c:v>
                      </c:pt>
                      <c:pt idx="7">
                        <c:v>-116.80799999999999</c:v>
                      </c:pt>
                      <c:pt idx="8">
                        <c:v>-96.807999999999993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F4B-46D3-B084-A98251DE6BA7}"/>
                  </c:ext>
                </c:extLst>
              </c15:ser>
            </c15:filteredScatterSeries>
          </c:ext>
        </c:extLst>
      </c:scatterChart>
      <c:valAx>
        <c:axId val="50464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646592"/>
        <c:crosses val="autoZero"/>
        <c:crossBetween val="midCat"/>
      </c:valAx>
      <c:valAx>
        <c:axId val="5046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645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8"/>
          <c:order val="0"/>
          <c:tx>
            <c:v>Z5 R30</c:v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'SymB1 CLS Z5 R30'!$B$9:$J$9</c:f>
              <c:numCache>
                <c:formatCode>General</c:formatCode>
                <c:ptCount val="9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480</c:v>
                </c:pt>
                <c:pt idx="7">
                  <c:v>560</c:v>
                </c:pt>
                <c:pt idx="8">
                  <c:v>631</c:v>
                </c:pt>
              </c:numCache>
            </c:numRef>
          </c:xVal>
          <c:yVal>
            <c:numRef>
              <c:f>'SymB1 CLS Z5 R30'!$B$6:$J$6</c:f>
              <c:numCache>
                <c:formatCode>0.00</c:formatCode>
                <c:ptCount val="9"/>
                <c:pt idx="0">
                  <c:v>-178.80799999999999</c:v>
                </c:pt>
                <c:pt idx="1">
                  <c:v>-122.80799999999999</c:v>
                </c:pt>
                <c:pt idx="2">
                  <c:v>-29.807999999999993</c:v>
                </c:pt>
                <c:pt idx="3">
                  <c:v>-97.807999999999993</c:v>
                </c:pt>
                <c:pt idx="4">
                  <c:v>-57.807999999999993</c:v>
                </c:pt>
                <c:pt idx="5">
                  <c:v>-39.807999999999993</c:v>
                </c:pt>
                <c:pt idx="6">
                  <c:v>-91.807999999999993</c:v>
                </c:pt>
                <c:pt idx="7">
                  <c:v>-222.80799999999999</c:v>
                </c:pt>
                <c:pt idx="8">
                  <c:v>-217.80799999999999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A9-407A-BDC1-4FBD73A4379F}"/>
            </c:ext>
          </c:extLst>
        </c:ser>
        <c:ser>
          <c:idx val="9"/>
          <c:order val="1"/>
          <c:tx>
            <c:v>Z5 R30a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'SymB1 CLS Z5 R30'!$B$9:$J$9</c:f>
              <c:numCache>
                <c:formatCode>General</c:formatCode>
                <c:ptCount val="9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480</c:v>
                </c:pt>
                <c:pt idx="7">
                  <c:v>560</c:v>
                </c:pt>
                <c:pt idx="8">
                  <c:v>631</c:v>
                </c:pt>
              </c:numCache>
            </c:numRef>
          </c:xVal>
          <c:yVal>
            <c:numRef>
              <c:f>'SymB1 CLS Z5 R30'!$B$13:$J$13</c:f>
              <c:numCache>
                <c:formatCode>0.00</c:formatCode>
                <c:ptCount val="9"/>
                <c:pt idx="0">
                  <c:v>-127.80799999999999</c:v>
                </c:pt>
                <c:pt idx="1">
                  <c:v>-72.807999999999993</c:v>
                </c:pt>
                <c:pt idx="2">
                  <c:v>22.192000000000007</c:v>
                </c:pt>
                <c:pt idx="3">
                  <c:v>-45.807999999999993</c:v>
                </c:pt>
                <c:pt idx="4">
                  <c:v>-5.8079999999999927</c:v>
                </c:pt>
                <c:pt idx="5">
                  <c:v>13.192000000000007</c:v>
                </c:pt>
                <c:pt idx="6">
                  <c:v>27.192000000000007</c:v>
                </c:pt>
                <c:pt idx="7">
                  <c:v>-172.80799999999999</c:v>
                </c:pt>
                <c:pt idx="8">
                  <c:v>-165.80799999999999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A9-407A-BDC1-4FBD73A4379F}"/>
            </c:ext>
          </c:extLst>
        </c:ser>
        <c:ser>
          <c:idx val="0"/>
          <c:order val="2"/>
          <c:tx>
            <c:v>Z5 R30b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'SymB1 CLS Z5 R30'!$B$17:$J$17</c:f>
              <c:numCache>
                <c:formatCode>General</c:formatCode>
                <c:ptCount val="9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480</c:v>
                </c:pt>
                <c:pt idx="7">
                  <c:v>560</c:v>
                </c:pt>
                <c:pt idx="8">
                  <c:v>631</c:v>
                </c:pt>
              </c:numCache>
            </c:numRef>
          </c:xVal>
          <c:yVal>
            <c:numRef>
              <c:f>'SymB1 CLS Z5 R30'!$B$29:$J$29</c:f>
              <c:numCache>
                <c:formatCode>0.00</c:formatCode>
                <c:ptCount val="9"/>
                <c:pt idx="0">
                  <c:v>9.3840000000000146</c:v>
                </c:pt>
                <c:pt idx="1">
                  <c:v>39.384000000000015</c:v>
                </c:pt>
                <c:pt idx="2">
                  <c:v>93.384000000000015</c:v>
                </c:pt>
                <c:pt idx="3">
                  <c:v>-22.615999999999985</c:v>
                </c:pt>
                <c:pt idx="4">
                  <c:v>-29.615999999999985</c:v>
                </c:pt>
                <c:pt idx="5">
                  <c:v>13.384000000000015</c:v>
                </c:pt>
                <c:pt idx="6">
                  <c:v>17.384000000000015</c:v>
                </c:pt>
                <c:pt idx="7">
                  <c:v>-73.615999999999985</c:v>
                </c:pt>
                <c:pt idx="8">
                  <c:v>-19.615999999999985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8A9-407A-BDC1-4FBD73A4379F}"/>
            </c:ext>
          </c:extLst>
        </c:ser>
        <c:ser>
          <c:idx val="1"/>
          <c:order val="3"/>
          <c:tx>
            <c:v>Z5 R30c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'SymB1 CLS Z5 R30'!$B$25:$J$25</c:f>
              <c:numCache>
                <c:formatCode>General</c:formatCode>
                <c:ptCount val="9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240</c:v>
                </c:pt>
                <c:pt idx="4">
                  <c:v>320</c:v>
                </c:pt>
                <c:pt idx="5">
                  <c:v>400</c:v>
                </c:pt>
                <c:pt idx="6">
                  <c:v>480</c:v>
                </c:pt>
                <c:pt idx="7">
                  <c:v>560</c:v>
                </c:pt>
                <c:pt idx="8">
                  <c:v>631</c:v>
                </c:pt>
              </c:numCache>
            </c:numRef>
          </c:xVal>
          <c:yVal>
            <c:numRef>
              <c:f>'SymB1 CLS Z5 R30'!$B$29:$J$29</c:f>
              <c:numCache>
                <c:formatCode>0.00</c:formatCode>
                <c:ptCount val="9"/>
                <c:pt idx="0">
                  <c:v>9.3840000000000146</c:v>
                </c:pt>
                <c:pt idx="1">
                  <c:v>39.384000000000015</c:v>
                </c:pt>
                <c:pt idx="2">
                  <c:v>93.384000000000015</c:v>
                </c:pt>
                <c:pt idx="3">
                  <c:v>-22.615999999999985</c:v>
                </c:pt>
                <c:pt idx="4">
                  <c:v>-29.615999999999985</c:v>
                </c:pt>
                <c:pt idx="5">
                  <c:v>13.384000000000015</c:v>
                </c:pt>
                <c:pt idx="6">
                  <c:v>17.384000000000015</c:v>
                </c:pt>
                <c:pt idx="7">
                  <c:v>-73.615999999999985</c:v>
                </c:pt>
                <c:pt idx="8">
                  <c:v>-19.615999999999985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8A9-407A-BDC1-4FBD73A4379F}"/>
            </c:ext>
          </c:extLst>
        </c:ser>
        <c:ser>
          <c:idx val="2"/>
          <c:order val="4"/>
          <c:tx>
            <c:v>Z5 R31 Test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'SymB1 CLS Z5 R30'!$B$56:$K$56</c:f>
              <c:numCache>
                <c:formatCode>General</c:formatCode>
                <c:ptCount val="10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200</c:v>
                </c:pt>
                <c:pt idx="4">
                  <c:v>240</c:v>
                </c:pt>
                <c:pt idx="5">
                  <c:v>320</c:v>
                </c:pt>
                <c:pt idx="6">
                  <c:v>400</c:v>
                </c:pt>
                <c:pt idx="7">
                  <c:v>480</c:v>
                </c:pt>
                <c:pt idx="8">
                  <c:v>560</c:v>
                </c:pt>
                <c:pt idx="9">
                  <c:v>631</c:v>
                </c:pt>
              </c:numCache>
            </c:numRef>
          </c:xVal>
          <c:yVal>
            <c:numRef>
              <c:f>'SymB1 CLS Z5 R30'!$B$60:$K$60</c:f>
              <c:numCache>
                <c:formatCode>0.00</c:formatCode>
                <c:ptCount val="10"/>
                <c:pt idx="0">
                  <c:v>-29.369599999999991</c:v>
                </c:pt>
                <c:pt idx="1">
                  <c:v>1.911200000000008</c:v>
                </c:pt>
                <c:pt idx="2">
                  <c:v>25.911200000000008</c:v>
                </c:pt>
                <c:pt idx="3">
                  <c:v>14.911200000000008</c:v>
                </c:pt>
                <c:pt idx="4">
                  <c:v>-52.088799999999992</c:v>
                </c:pt>
                <c:pt idx="5">
                  <c:v>30.911200000000008</c:v>
                </c:pt>
                <c:pt idx="6">
                  <c:v>33.911200000000008</c:v>
                </c:pt>
                <c:pt idx="7">
                  <c:v>46.911200000000008</c:v>
                </c:pt>
                <c:pt idx="8">
                  <c:v>-56.088799999999992</c:v>
                </c:pt>
                <c:pt idx="9">
                  <c:v>-54.088799999999992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7D7-4918-9A41-B0FAE5ABE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645936"/>
        <c:axId val="504646592"/>
        <c:extLst/>
      </c:scatterChart>
      <c:valAx>
        <c:axId val="50464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646592"/>
        <c:crosses val="autoZero"/>
        <c:crossBetween val="midCat"/>
      </c:valAx>
      <c:valAx>
        <c:axId val="5046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645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9"/>
          <c:order val="1"/>
          <c:tx>
            <c:v>Z5 R31 2P b</c:v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'SymB1 2Profiles '!$B$9:$K$9</c:f>
              <c:numCache>
                <c:formatCode>General</c:formatCode>
                <c:ptCount val="10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200</c:v>
                </c:pt>
                <c:pt idx="4">
                  <c:v>240</c:v>
                </c:pt>
                <c:pt idx="5">
                  <c:v>320</c:v>
                </c:pt>
                <c:pt idx="6">
                  <c:v>400</c:v>
                </c:pt>
                <c:pt idx="7">
                  <c:v>480</c:v>
                </c:pt>
                <c:pt idx="8">
                  <c:v>560</c:v>
                </c:pt>
                <c:pt idx="9">
                  <c:v>631</c:v>
                </c:pt>
              </c:numCache>
            </c:numRef>
          </c:xVal>
          <c:yVal>
            <c:numRef>
              <c:f>'SymB1 2Profiles '!$B$13:$K$13</c:f>
              <c:numCache>
                <c:formatCode>0.00</c:formatCode>
                <c:ptCount val="10"/>
                <c:pt idx="0">
                  <c:v>-22.807999999999993</c:v>
                </c:pt>
                <c:pt idx="1">
                  <c:v>5.1920000000000073</c:v>
                </c:pt>
                <c:pt idx="2">
                  <c:v>29.192000000000007</c:v>
                </c:pt>
                <c:pt idx="3">
                  <c:v>18.192000000000007</c:v>
                </c:pt>
                <c:pt idx="4">
                  <c:v>-48.807999999999993</c:v>
                </c:pt>
                <c:pt idx="5">
                  <c:v>34.192000000000007</c:v>
                </c:pt>
                <c:pt idx="6">
                  <c:v>37.192000000000007</c:v>
                </c:pt>
                <c:pt idx="7">
                  <c:v>50.192000000000007</c:v>
                </c:pt>
                <c:pt idx="8">
                  <c:v>-52.807999999999993</c:v>
                </c:pt>
                <c:pt idx="9">
                  <c:v>-50.807999999999993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947-4766-8120-2DED964C57FE}"/>
            </c:ext>
          </c:extLst>
        </c:ser>
        <c:ser>
          <c:idx val="3"/>
          <c:order val="5"/>
          <c:tx>
            <c:v>Z5 32f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'SymB1 2Profiles '!$B$49:$K$49</c:f>
              <c:numCache>
                <c:formatCode>General</c:formatCode>
                <c:ptCount val="10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200</c:v>
                </c:pt>
                <c:pt idx="4">
                  <c:v>240</c:v>
                </c:pt>
                <c:pt idx="5">
                  <c:v>320</c:v>
                </c:pt>
                <c:pt idx="6">
                  <c:v>400</c:v>
                </c:pt>
                <c:pt idx="7">
                  <c:v>480</c:v>
                </c:pt>
                <c:pt idx="8">
                  <c:v>560</c:v>
                </c:pt>
                <c:pt idx="9">
                  <c:v>631</c:v>
                </c:pt>
              </c:numCache>
            </c:numRef>
          </c:xVal>
          <c:yVal>
            <c:numRef>
              <c:f>'SymB1 2Profiles '!$B$53:$K$53</c:f>
              <c:numCache>
                <c:formatCode>0.00</c:formatCode>
                <c:ptCount val="10"/>
                <c:pt idx="0">
                  <c:v>-26.807999999999993</c:v>
                </c:pt>
                <c:pt idx="1">
                  <c:v>12.192000000000007</c:v>
                </c:pt>
                <c:pt idx="2">
                  <c:v>49.192000000000007</c:v>
                </c:pt>
                <c:pt idx="3">
                  <c:v>44.192000000000007</c:v>
                </c:pt>
                <c:pt idx="4">
                  <c:v>-24.807999999999993</c:v>
                </c:pt>
                <c:pt idx="5">
                  <c:v>0.19200000000000728</c:v>
                </c:pt>
                <c:pt idx="6">
                  <c:v>34.192000000000007</c:v>
                </c:pt>
                <c:pt idx="7">
                  <c:v>68.192000000000007</c:v>
                </c:pt>
                <c:pt idx="8">
                  <c:v>-56.807999999999993</c:v>
                </c:pt>
                <c:pt idx="9">
                  <c:v>-53.807999999999993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4947-4766-8120-2DED964C57FE}"/>
            </c:ext>
          </c:extLst>
        </c:ser>
        <c:ser>
          <c:idx val="4"/>
          <c:order val="6"/>
          <c:tx>
            <c:v>Z5 32fa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'SymB1 2Profiles '!$B$56:$K$56</c:f>
              <c:numCache>
                <c:formatCode>General</c:formatCode>
                <c:ptCount val="10"/>
                <c:pt idx="0">
                  <c:v>1</c:v>
                </c:pt>
                <c:pt idx="1">
                  <c:v>80</c:v>
                </c:pt>
                <c:pt idx="2">
                  <c:v>160</c:v>
                </c:pt>
                <c:pt idx="3">
                  <c:v>200</c:v>
                </c:pt>
                <c:pt idx="4">
                  <c:v>240</c:v>
                </c:pt>
                <c:pt idx="5">
                  <c:v>320</c:v>
                </c:pt>
                <c:pt idx="6">
                  <c:v>400</c:v>
                </c:pt>
                <c:pt idx="7">
                  <c:v>480</c:v>
                </c:pt>
                <c:pt idx="8">
                  <c:v>560</c:v>
                </c:pt>
                <c:pt idx="9">
                  <c:v>631</c:v>
                </c:pt>
              </c:numCache>
            </c:numRef>
          </c:xVal>
          <c:yVal>
            <c:numRef>
              <c:f>'SymB1 2Profiles '!$B$60:$K$60</c:f>
              <c:numCache>
                <c:formatCode>0.00</c:formatCode>
                <c:ptCount val="10"/>
                <c:pt idx="0">
                  <c:v>-36.807999999999993</c:v>
                </c:pt>
                <c:pt idx="1">
                  <c:v>3.1920000000000073</c:v>
                </c:pt>
                <c:pt idx="2">
                  <c:v>38.192000000000007</c:v>
                </c:pt>
                <c:pt idx="3">
                  <c:v>35.192000000000007</c:v>
                </c:pt>
                <c:pt idx="4">
                  <c:v>-33.807999999999993</c:v>
                </c:pt>
                <c:pt idx="5">
                  <c:v>-9.8079999999999927</c:v>
                </c:pt>
                <c:pt idx="6">
                  <c:v>25.192000000000007</c:v>
                </c:pt>
                <c:pt idx="7">
                  <c:v>57.192000000000007</c:v>
                </c:pt>
                <c:pt idx="8">
                  <c:v>-65.807999999999993</c:v>
                </c:pt>
                <c:pt idx="9">
                  <c:v>-62.807999999999993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947-4766-8120-2DED964C5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4645936"/>
        <c:axId val="504646592"/>
        <c:extLst>
          <c:ext xmlns:c15="http://schemas.microsoft.com/office/drawing/2012/chart" uri="{02D57815-91ED-43cb-92C2-25804820EDAC}">
            <c15:filteredScatterSeries>
              <c15:ser>
                <c:idx val="8"/>
                <c:order val="0"/>
                <c:tx>
                  <c:v>Z5 R31 2P a</c:v>
                </c:tx>
                <c:spPr>
                  <a:ln w="19050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60000"/>
                      </a:schemeClr>
                    </a:solidFill>
                    <a:ln w="9525">
                      <a:solidFill>
                        <a:schemeClr val="accent3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'SymB1 2Profiles '!$B$2:$K$2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200</c:v>
                      </c:pt>
                      <c:pt idx="4">
                        <c:v>240</c:v>
                      </c:pt>
                      <c:pt idx="5">
                        <c:v>320</c:v>
                      </c:pt>
                      <c:pt idx="6">
                        <c:v>400</c:v>
                      </c:pt>
                      <c:pt idx="7">
                        <c:v>480</c:v>
                      </c:pt>
                      <c:pt idx="8">
                        <c:v>560</c:v>
                      </c:pt>
                      <c:pt idx="9">
                        <c:v>631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'SymB1 2Profiles '!$B$6:$K$6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36.192000000000007</c:v>
                      </c:pt>
                      <c:pt idx="1">
                        <c:v>65.192000000000007</c:v>
                      </c:pt>
                      <c:pt idx="2">
                        <c:v>122.19200000000001</c:v>
                      </c:pt>
                      <c:pt idx="3">
                        <c:v>89.192000000000007</c:v>
                      </c:pt>
                      <c:pt idx="4">
                        <c:v>-6.8079999999999927</c:v>
                      </c:pt>
                      <c:pt idx="5">
                        <c:v>-7.8079999999999927</c:v>
                      </c:pt>
                      <c:pt idx="6">
                        <c:v>26.192000000000007</c:v>
                      </c:pt>
                      <c:pt idx="7">
                        <c:v>36.192000000000007</c:v>
                      </c:pt>
                      <c:pt idx="8">
                        <c:v>-14.807999999999993</c:v>
                      </c:pt>
                      <c:pt idx="9">
                        <c:v>11.192000000000007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0-4947-4766-8120-2DED964C57FE}"/>
                  </c:ext>
                </c:extLst>
              </c15:ser>
            </c15:filteredScatterSeries>
            <c15:filteredScatterSeries>
              <c15:ser>
                <c:idx val="0"/>
                <c:order val="2"/>
                <c:tx>
                  <c:v>Z5 R31 2p c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2Profiles '!$B$17:$K$17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200</c:v>
                      </c:pt>
                      <c:pt idx="4">
                        <c:v>240</c:v>
                      </c:pt>
                      <c:pt idx="5">
                        <c:v>320</c:v>
                      </c:pt>
                      <c:pt idx="6">
                        <c:v>400</c:v>
                      </c:pt>
                      <c:pt idx="7">
                        <c:v>480</c:v>
                      </c:pt>
                      <c:pt idx="8">
                        <c:v>560</c:v>
                      </c:pt>
                      <c:pt idx="9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2Profiles '!$B$21:$K$21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18.630400000000009</c:v>
                      </c:pt>
                      <c:pt idx="1">
                        <c:v>49.630400000000009</c:v>
                      </c:pt>
                      <c:pt idx="2">
                        <c:v>71.630400000000009</c:v>
                      </c:pt>
                      <c:pt idx="3">
                        <c:v>60.630400000000009</c:v>
                      </c:pt>
                      <c:pt idx="4">
                        <c:v>-13.369599999999991</c:v>
                      </c:pt>
                      <c:pt idx="5">
                        <c:v>65.630400000000009</c:v>
                      </c:pt>
                      <c:pt idx="6">
                        <c:v>30.630400000000009</c:v>
                      </c:pt>
                      <c:pt idx="7">
                        <c:v>91.630400000000009</c:v>
                      </c:pt>
                      <c:pt idx="8">
                        <c:v>-59.369599999999991</c:v>
                      </c:pt>
                      <c:pt idx="9">
                        <c:v>-57.369599999999991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4947-4766-8120-2DED964C57FE}"/>
                  </c:ext>
                </c:extLst>
              </c15:ser>
            </c15:filteredScatterSeries>
            <c15:filteredScatterSeries>
              <c15:ser>
                <c:idx val="1"/>
                <c:order val="3"/>
                <c:tx>
                  <c:v>Z5 R31 2P d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2Profiles '!$B$25:$K$25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200</c:v>
                      </c:pt>
                      <c:pt idx="4">
                        <c:v>240</c:v>
                      </c:pt>
                      <c:pt idx="5">
                        <c:v>320</c:v>
                      </c:pt>
                      <c:pt idx="6">
                        <c:v>400</c:v>
                      </c:pt>
                      <c:pt idx="7">
                        <c:v>480</c:v>
                      </c:pt>
                      <c:pt idx="8">
                        <c:v>560</c:v>
                      </c:pt>
                      <c:pt idx="9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2Profiles '!$B$29:$K$29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30.630400000000009</c:v>
                      </c:pt>
                      <c:pt idx="1">
                        <c:v>62.630400000000009</c:v>
                      </c:pt>
                      <c:pt idx="2">
                        <c:v>83.630400000000009</c:v>
                      </c:pt>
                      <c:pt idx="3">
                        <c:v>71.630400000000009</c:v>
                      </c:pt>
                      <c:pt idx="4">
                        <c:v>-3.3695999999999913</c:v>
                      </c:pt>
                      <c:pt idx="5">
                        <c:v>10.630400000000009</c:v>
                      </c:pt>
                      <c:pt idx="6">
                        <c:v>50.630400000000009</c:v>
                      </c:pt>
                      <c:pt idx="7">
                        <c:v>102.63040000000001</c:v>
                      </c:pt>
                      <c:pt idx="8">
                        <c:v>3.6304000000000087</c:v>
                      </c:pt>
                      <c:pt idx="9">
                        <c:v>8.6304000000000087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4947-4766-8120-2DED964C57FE}"/>
                  </c:ext>
                </c:extLst>
              </c15:ser>
            </c15:filteredScatterSeries>
            <c15:filteredScatterSeries>
              <c15:ser>
                <c:idx val="2"/>
                <c:order val="4"/>
                <c:tx>
                  <c:v>Z5 R31 2P e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2Profiles '!$B$25:$K$25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</c:v>
                      </c:pt>
                      <c:pt idx="1">
                        <c:v>80</c:v>
                      </c:pt>
                      <c:pt idx="2">
                        <c:v>160</c:v>
                      </c:pt>
                      <c:pt idx="3">
                        <c:v>200</c:v>
                      </c:pt>
                      <c:pt idx="4">
                        <c:v>240</c:v>
                      </c:pt>
                      <c:pt idx="5">
                        <c:v>320</c:v>
                      </c:pt>
                      <c:pt idx="6">
                        <c:v>400</c:v>
                      </c:pt>
                      <c:pt idx="7">
                        <c:v>480</c:v>
                      </c:pt>
                      <c:pt idx="8">
                        <c:v>560</c:v>
                      </c:pt>
                      <c:pt idx="9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'SymB1 2Profiles '!$B$37:$K$37</c15:sqref>
                        </c15:formulaRef>
                      </c:ext>
                    </c:extLst>
                    <c:numCache>
                      <c:formatCode>0.00</c:formatCode>
                      <c:ptCount val="10"/>
                      <c:pt idx="0">
                        <c:v>-4.8079999999999927</c:v>
                      </c:pt>
                      <c:pt idx="1">
                        <c:v>35.192000000000007</c:v>
                      </c:pt>
                      <c:pt idx="2">
                        <c:v>72.192000000000007</c:v>
                      </c:pt>
                      <c:pt idx="3">
                        <c:v>44.192000000000007</c:v>
                      </c:pt>
                      <c:pt idx="4">
                        <c:v>-2.8079999999999927</c:v>
                      </c:pt>
                      <c:pt idx="5">
                        <c:v>21.192000000000007</c:v>
                      </c:pt>
                      <c:pt idx="6">
                        <c:v>59.192000000000007</c:v>
                      </c:pt>
                      <c:pt idx="7">
                        <c:v>67.192000000000007</c:v>
                      </c:pt>
                      <c:pt idx="8">
                        <c:v>-32.807999999999993</c:v>
                      </c:pt>
                      <c:pt idx="9">
                        <c:v>-30.807999999999993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4947-4766-8120-2DED964C57FE}"/>
                  </c:ext>
                </c:extLst>
              </c15:ser>
            </c15:filteredScatterSeries>
          </c:ext>
        </c:extLst>
      </c:scatterChart>
      <c:valAx>
        <c:axId val="504645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646592"/>
        <c:crosses val="autoZero"/>
        <c:crossBetween val="midCat"/>
      </c:valAx>
      <c:valAx>
        <c:axId val="504646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46459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3"/>
          <c:order val="3"/>
          <c:tx>
            <c:v>SGRP1T1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'SGR Rising'!$Q$75:$Q$91</c:f>
              <c:numCache>
                <c:formatCode>General</c:formatCode>
                <c:ptCount val="17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320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  <c:pt idx="14">
                  <c:v>560</c:v>
                </c:pt>
                <c:pt idx="15">
                  <c:v>600</c:v>
                </c:pt>
                <c:pt idx="16">
                  <c:v>631</c:v>
                </c:pt>
              </c:numCache>
            </c:numRef>
          </c:xVal>
          <c:yVal>
            <c:numRef>
              <c:f>'SGR Rising'!$P$75:$P$91</c:f>
              <c:numCache>
                <c:formatCode>General</c:formatCode>
                <c:ptCount val="17"/>
                <c:pt idx="0">
                  <c:v>2.3003711230056219</c:v>
                </c:pt>
                <c:pt idx="1">
                  <c:v>1.8680425739566975</c:v>
                </c:pt>
                <c:pt idx="2">
                  <c:v>1.9491796440909002</c:v>
                </c:pt>
                <c:pt idx="3">
                  <c:v>1.725376777716207</c:v>
                </c:pt>
                <c:pt idx="4">
                  <c:v>1.0519469704393265</c:v>
                </c:pt>
                <c:pt idx="5">
                  <c:v>0.79000364372656195</c:v>
                </c:pt>
                <c:pt idx="6">
                  <c:v>0.52097296375070035</c:v>
                </c:pt>
                <c:pt idx="7">
                  <c:v>0.29766883705008029</c:v>
                </c:pt>
                <c:pt idx="8">
                  <c:v>1.67996521791932E-2</c:v>
                </c:pt>
                <c:pt idx="9">
                  <c:v>0</c:v>
                </c:pt>
                <c:pt idx="10">
                  <c:v>0.28874402182988373</c:v>
                </c:pt>
                <c:pt idx="11">
                  <c:v>0.69125318826074178</c:v>
                </c:pt>
                <c:pt idx="12">
                  <c:v>1.1398826498147867</c:v>
                </c:pt>
                <c:pt idx="13">
                  <c:v>1.8006602190442189</c:v>
                </c:pt>
                <c:pt idx="14">
                  <c:v>2.4394407437015047</c:v>
                </c:pt>
                <c:pt idx="15">
                  <c:v>2.4846685573026805</c:v>
                </c:pt>
                <c:pt idx="16">
                  <c:v>2.5328625594917402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9E-4A28-86BF-BA8232C643B7}"/>
            </c:ext>
          </c:extLst>
        </c:ser>
        <c:ser>
          <c:idx val="4"/>
          <c:order val="4"/>
          <c:tx>
            <c:v>SGRP2T1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'SGR Rising'!$T$75:$T$91</c:f>
              <c:numCache>
                <c:formatCode>General</c:formatCode>
                <c:ptCount val="17"/>
                <c:pt idx="0">
                  <c:v>1</c:v>
                </c:pt>
                <c:pt idx="1">
                  <c:v>40</c:v>
                </c:pt>
                <c:pt idx="2">
                  <c:v>80</c:v>
                </c:pt>
                <c:pt idx="3">
                  <c:v>120</c:v>
                </c:pt>
                <c:pt idx="4">
                  <c:v>160</c:v>
                </c:pt>
                <c:pt idx="5">
                  <c:v>200</c:v>
                </c:pt>
                <c:pt idx="6">
                  <c:v>240</c:v>
                </c:pt>
                <c:pt idx="7">
                  <c:v>280</c:v>
                </c:pt>
                <c:pt idx="8">
                  <c:v>337</c:v>
                </c:pt>
                <c:pt idx="9">
                  <c:v>360</c:v>
                </c:pt>
                <c:pt idx="10">
                  <c:v>400</c:v>
                </c:pt>
                <c:pt idx="11">
                  <c:v>440</c:v>
                </c:pt>
                <c:pt idx="12">
                  <c:v>480</c:v>
                </c:pt>
                <c:pt idx="13">
                  <c:v>520</c:v>
                </c:pt>
                <c:pt idx="14">
                  <c:v>560</c:v>
                </c:pt>
                <c:pt idx="15">
                  <c:v>600</c:v>
                </c:pt>
                <c:pt idx="16">
                  <c:v>631</c:v>
                </c:pt>
              </c:numCache>
            </c:numRef>
          </c:xVal>
          <c:yVal>
            <c:numRef>
              <c:f>'SGR Rising'!$S$75:$S$91</c:f>
              <c:numCache>
                <c:formatCode>General</c:formatCode>
                <c:ptCount val="17"/>
                <c:pt idx="0">
                  <c:v>2.5576945453691105</c:v>
                </c:pt>
                <c:pt idx="1">
                  <c:v>2.3957603567192902</c:v>
                </c:pt>
                <c:pt idx="2">
                  <c:v>2.200416321174989</c:v>
                </c:pt>
                <c:pt idx="3">
                  <c:v>2.0057829963555194</c:v>
                </c:pt>
                <c:pt idx="4">
                  <c:v>1.7772017715580304</c:v>
                </c:pt>
                <c:pt idx="5">
                  <c:v>1.2553086027105298</c:v>
                </c:pt>
                <c:pt idx="6">
                  <c:v>0.73989582991630876</c:v>
                </c:pt>
                <c:pt idx="7">
                  <c:v>0.2300758491032901</c:v>
                </c:pt>
                <c:pt idx="8">
                  <c:v>0</c:v>
                </c:pt>
                <c:pt idx="9">
                  <c:v>6.0956197311077404E-2</c:v>
                </c:pt>
                <c:pt idx="10">
                  <c:v>0.27912407608776341</c:v>
                </c:pt>
                <c:pt idx="11">
                  <c:v>0.65292959452578658</c:v>
                </c:pt>
                <c:pt idx="12">
                  <c:v>1.1972354324318504</c:v>
                </c:pt>
                <c:pt idx="13">
                  <c:v>1.9923569912100836</c:v>
                </c:pt>
                <c:pt idx="14">
                  <c:v>2.3889419548805395</c:v>
                </c:pt>
                <c:pt idx="15">
                  <c:v>2.6718678280319486</c:v>
                </c:pt>
                <c:pt idx="16">
                  <c:v>2.7235081283521678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79E-4A28-86BF-BA8232C64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568512"/>
        <c:axId val="5145688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0"/>
                <c:tx>
                  <c:v>SGRP1</c:v>
                </c:tx>
                <c:spPr>
                  <a:ln w="19050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'SGR Rising'!$Q$57:$Q$73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320</c:v>
                      </c:pt>
                      <c:pt idx="9">
                        <c:v>360</c:v>
                      </c:pt>
                      <c:pt idx="10">
                        <c:v>400</c:v>
                      </c:pt>
                      <c:pt idx="11">
                        <c:v>440</c:v>
                      </c:pt>
                      <c:pt idx="12">
                        <c:v>480</c:v>
                      </c:pt>
                      <c:pt idx="13">
                        <c:v>520</c:v>
                      </c:pt>
                      <c:pt idx="14">
                        <c:v>560</c:v>
                      </c:pt>
                      <c:pt idx="15">
                        <c:v>600</c:v>
                      </c:pt>
                      <c:pt idx="16">
                        <c:v>631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'SGR Rising'!$P$57:$P$73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2.2312038050491014</c:v>
                      </c:pt>
                      <c:pt idx="1">
                        <c:v>1.7377140222853007</c:v>
                      </c:pt>
                      <c:pt idx="2">
                        <c:v>1.8742111962412453</c:v>
                      </c:pt>
                      <c:pt idx="3">
                        <c:v>1.6432159787773386</c:v>
                      </c:pt>
                      <c:pt idx="4">
                        <c:v>0.91873097854963015</c:v>
                      </c:pt>
                      <c:pt idx="5">
                        <c:v>0.69298565239172094</c:v>
                      </c:pt>
                      <c:pt idx="6">
                        <c:v>0.46724032623381195</c:v>
                      </c:pt>
                      <c:pt idx="7">
                        <c:v>0.33074315227786688</c:v>
                      </c:pt>
                      <c:pt idx="8">
                        <c:v>0.16799652179193236</c:v>
                      </c:pt>
                      <c:pt idx="9">
                        <c:v>0</c:v>
                      </c:pt>
                      <c:pt idx="10">
                        <c:v>0.28874402182988373</c:v>
                      </c:pt>
                      <c:pt idx="11">
                        <c:v>0.6982355436977189</c:v>
                      </c:pt>
                      <c:pt idx="12">
                        <c:v>1.1812255438495245</c:v>
                      </c:pt>
                      <c:pt idx="13">
                        <c:v>1.7482138048972962</c:v>
                      </c:pt>
                      <c:pt idx="14">
                        <c:v>2.4516992399010129</c:v>
                      </c:pt>
                      <c:pt idx="15">
                        <c:v>2.435949565983019</c:v>
                      </c:pt>
                      <c:pt idx="16">
                        <c:v>2.4831985877370002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3B98-49F7-A263-D7A66A6B2A3E}"/>
                  </c:ext>
                </c:extLst>
              </c15:ser>
            </c15:filteredScatterSeries>
            <c15:filteredScatterSeries>
              <c15:ser>
                <c:idx val="1"/>
                <c:order val="1"/>
                <c:tx>
                  <c:v>SGRP2</c:v>
                </c:tx>
                <c:spPr>
                  <a:ln w="19050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'SGR Rising'!$T$57:$T$73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</c:v>
                      </c:pt>
                      <c:pt idx="1">
                        <c:v>40</c:v>
                      </c:pt>
                      <c:pt idx="2">
                        <c:v>80</c:v>
                      </c:pt>
                      <c:pt idx="3">
                        <c:v>120</c:v>
                      </c:pt>
                      <c:pt idx="4">
                        <c:v>160</c:v>
                      </c:pt>
                      <c:pt idx="5">
                        <c:v>200</c:v>
                      </c:pt>
                      <c:pt idx="6">
                        <c:v>240</c:v>
                      </c:pt>
                      <c:pt idx="7">
                        <c:v>280</c:v>
                      </c:pt>
                      <c:pt idx="8">
                        <c:v>337</c:v>
                      </c:pt>
                      <c:pt idx="9">
                        <c:v>360</c:v>
                      </c:pt>
                      <c:pt idx="10">
                        <c:v>400</c:v>
                      </c:pt>
                      <c:pt idx="11">
                        <c:v>440</c:v>
                      </c:pt>
                      <c:pt idx="12">
                        <c:v>480</c:v>
                      </c:pt>
                      <c:pt idx="13">
                        <c:v>520</c:v>
                      </c:pt>
                      <c:pt idx="14">
                        <c:v>560</c:v>
                      </c:pt>
                      <c:pt idx="15">
                        <c:v>600</c:v>
                      </c:pt>
                      <c:pt idx="16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'SGR Rising'!$S$57:$S$73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2.4831985877370002</c:v>
                      </c:pt>
                      <c:pt idx="1">
                        <c:v>2.2286142853202664</c:v>
                      </c:pt>
                      <c:pt idx="2">
                        <c:v>2.115784924206717</c:v>
                      </c:pt>
                      <c:pt idx="3">
                        <c:v>1.91026952033859</c:v>
                      </c:pt>
                      <c:pt idx="4">
                        <c:v>1.5521412852035208</c:v>
                      </c:pt>
                      <c:pt idx="5">
                        <c:v>1.101147897114495</c:v>
                      </c:pt>
                      <c:pt idx="6">
                        <c:v>0.66358370396081523</c:v>
                      </c:pt>
                      <c:pt idx="7">
                        <c:v>0.25563983233698856</c:v>
                      </c:pt>
                      <c:pt idx="8">
                        <c:v>0</c:v>
                      </c:pt>
                      <c:pt idx="9">
                        <c:v>4.0637464874051628E-2</c:v>
                      </c:pt>
                      <c:pt idx="10">
                        <c:v>0.27912407608776341</c:v>
                      </c:pt>
                      <c:pt idx="11">
                        <c:v>0.69250108510310704</c:v>
                      </c:pt>
                      <c:pt idx="12">
                        <c:v>1.240658479203991</c:v>
                      </c:pt>
                      <c:pt idx="13">
                        <c:v>1.9343271759321243</c:v>
                      </c:pt>
                      <c:pt idx="14">
                        <c:v>2.4009466883221502</c:v>
                      </c:pt>
                      <c:pt idx="15">
                        <c:v>2.6194782627764219</c:v>
                      </c:pt>
                      <c:pt idx="16">
                        <c:v>2.6701060081883998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B98-49F7-A263-D7A66A6B2A3E}"/>
                  </c:ext>
                </c:extLst>
              </c15:ser>
            </c15:filteredScatterSeries>
            <c15:filteredScatterSeries>
              <c15:ser>
                <c:idx val="2"/>
                <c:order val="2"/>
                <c:tx>
                  <c:v>SGRP1N</c:v>
                </c:tx>
                <c:spPr>
                  <a:ln w="19050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'SGR Rising'!$Q$76:$Q$92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40</c:v>
                      </c:pt>
                      <c:pt idx="1">
                        <c:v>80</c:v>
                      </c:pt>
                      <c:pt idx="2">
                        <c:v>120</c:v>
                      </c:pt>
                      <c:pt idx="3">
                        <c:v>160</c:v>
                      </c:pt>
                      <c:pt idx="4">
                        <c:v>200</c:v>
                      </c:pt>
                      <c:pt idx="5">
                        <c:v>240</c:v>
                      </c:pt>
                      <c:pt idx="6">
                        <c:v>280</c:v>
                      </c:pt>
                      <c:pt idx="7">
                        <c:v>320</c:v>
                      </c:pt>
                      <c:pt idx="8">
                        <c:v>360</c:v>
                      </c:pt>
                      <c:pt idx="9">
                        <c:v>400</c:v>
                      </c:pt>
                      <c:pt idx="10">
                        <c:v>440</c:v>
                      </c:pt>
                      <c:pt idx="11">
                        <c:v>480</c:v>
                      </c:pt>
                      <c:pt idx="12">
                        <c:v>520</c:v>
                      </c:pt>
                      <c:pt idx="13">
                        <c:v>560</c:v>
                      </c:pt>
                      <c:pt idx="14">
                        <c:v>600</c:v>
                      </c:pt>
                      <c:pt idx="15">
                        <c:v>631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'SGR Rising'!$P$76:$P$92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1.8680425739566975</c:v>
                      </c:pt>
                      <c:pt idx="1">
                        <c:v>1.9491796440909002</c:v>
                      </c:pt>
                      <c:pt idx="2">
                        <c:v>1.725376777716207</c:v>
                      </c:pt>
                      <c:pt idx="3">
                        <c:v>1.0519469704393265</c:v>
                      </c:pt>
                      <c:pt idx="4">
                        <c:v>0.79000364372656195</c:v>
                      </c:pt>
                      <c:pt idx="5">
                        <c:v>0.52097296375070035</c:v>
                      </c:pt>
                      <c:pt idx="6">
                        <c:v>0.29766883705008029</c:v>
                      </c:pt>
                      <c:pt idx="7">
                        <c:v>1.67996521791932E-2</c:v>
                      </c:pt>
                      <c:pt idx="8">
                        <c:v>0</c:v>
                      </c:pt>
                      <c:pt idx="9">
                        <c:v>0.28874402182988373</c:v>
                      </c:pt>
                      <c:pt idx="10">
                        <c:v>0.69125318826074178</c:v>
                      </c:pt>
                      <c:pt idx="11">
                        <c:v>1.1398826498147867</c:v>
                      </c:pt>
                      <c:pt idx="12">
                        <c:v>1.8006602190442189</c:v>
                      </c:pt>
                      <c:pt idx="13">
                        <c:v>2.4394407437015047</c:v>
                      </c:pt>
                      <c:pt idx="14">
                        <c:v>2.4846685573026805</c:v>
                      </c:pt>
                      <c:pt idx="15">
                        <c:v>2.5328625594917402</c:v>
                      </c:pt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B98-49F7-A263-D7A66A6B2A3E}"/>
                  </c:ext>
                </c:extLst>
              </c15:ser>
            </c15:filteredScatterSeries>
          </c:ext>
        </c:extLst>
      </c:scatterChart>
      <c:valAx>
        <c:axId val="514568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568840"/>
        <c:crosses val="autoZero"/>
        <c:crossBetween val="midCat"/>
      </c:valAx>
      <c:valAx>
        <c:axId val="514568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45685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571497</xdr:colOff>
      <xdr:row>13</xdr:row>
      <xdr:rowOff>102270</xdr:rowOff>
    </xdr:from>
    <xdr:to>
      <xdr:col>34</xdr:col>
      <xdr:colOff>320840</xdr:colOff>
      <xdr:row>42</xdr:row>
      <xdr:rowOff>130344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14079</xdr:colOff>
      <xdr:row>22</xdr:row>
      <xdr:rowOff>21948</xdr:rowOff>
    </xdr:from>
    <xdr:to>
      <xdr:col>71</xdr:col>
      <xdr:colOff>147845</xdr:colOff>
      <xdr:row>51</xdr:row>
      <xdr:rowOff>132108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614577</xdr:colOff>
      <xdr:row>8</xdr:row>
      <xdr:rowOff>106913</xdr:rowOff>
    </xdr:from>
    <xdr:to>
      <xdr:col>19</xdr:col>
      <xdr:colOff>320740</xdr:colOff>
      <xdr:row>32</xdr:row>
      <xdr:rowOff>177561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850291</xdr:colOff>
      <xdr:row>3</xdr:row>
      <xdr:rowOff>184667</xdr:rowOff>
    </xdr:from>
    <xdr:to>
      <xdr:col>18</xdr:col>
      <xdr:colOff>87474</xdr:colOff>
      <xdr:row>30</xdr:row>
      <xdr:rowOff>89922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100262</xdr:colOff>
      <xdr:row>12</xdr:row>
      <xdr:rowOff>82215</xdr:rowOff>
    </xdr:from>
    <xdr:to>
      <xdr:col>24</xdr:col>
      <xdr:colOff>441158</xdr:colOff>
      <xdr:row>41</xdr:row>
      <xdr:rowOff>110289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120315</xdr:colOff>
      <xdr:row>11</xdr:row>
      <xdr:rowOff>172452</xdr:rowOff>
    </xdr:from>
    <xdr:to>
      <xdr:col>29</xdr:col>
      <xdr:colOff>220578</xdr:colOff>
      <xdr:row>41</xdr:row>
      <xdr:rowOff>10026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120315</xdr:colOff>
      <xdr:row>11</xdr:row>
      <xdr:rowOff>172452</xdr:rowOff>
    </xdr:from>
    <xdr:to>
      <xdr:col>29</xdr:col>
      <xdr:colOff>220578</xdr:colOff>
      <xdr:row>41</xdr:row>
      <xdr:rowOff>10026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39</xdr:row>
      <xdr:rowOff>66675</xdr:rowOff>
    </xdr:from>
    <xdr:to>
      <xdr:col>20</xdr:col>
      <xdr:colOff>942975</xdr:colOff>
      <xdr:row>53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29"/>
  <sheetViews>
    <sheetView topLeftCell="A277" workbookViewId="0">
      <selection activeCell="N4" sqref="N4"/>
    </sheetView>
  </sheetViews>
  <sheetFormatPr defaultRowHeight="15" x14ac:dyDescent="0.25"/>
  <cols>
    <col min="2" max="2" width="29.140625" customWidth="1"/>
    <col min="3" max="3" width="34.5703125" customWidth="1"/>
    <col min="4" max="4" width="23.140625" customWidth="1"/>
    <col min="5" max="5" width="29.28515625" customWidth="1"/>
    <col min="8" max="8" width="1" customWidth="1"/>
    <col min="9" max="9" width="0.5703125" hidden="1" customWidth="1"/>
    <col min="10" max="10" width="0.42578125" customWidth="1"/>
    <col min="11" max="11" width="21.42578125" customWidth="1"/>
    <col min="12" max="12" width="17.5703125" customWidth="1"/>
    <col min="13" max="13" width="27.85546875" customWidth="1"/>
    <col min="14" max="14" width="37.85546875" customWidth="1"/>
    <col min="15" max="15" width="19" customWidth="1"/>
    <col min="16" max="16" width="5" customWidth="1"/>
    <col min="17" max="17" width="37.85546875" customWidth="1"/>
    <col min="18" max="18" width="25.5703125" customWidth="1"/>
    <col min="19" max="19" width="1.42578125" customWidth="1"/>
    <col min="20" max="20" width="27.5703125" customWidth="1"/>
    <col min="21" max="21" width="24.28515625" customWidth="1"/>
    <col min="22" max="22" width="34.7109375" customWidth="1"/>
    <col min="23" max="23" width="22.28515625" customWidth="1"/>
    <col min="24" max="24" width="23.7109375" customWidth="1"/>
    <col min="25" max="25" width="29.5703125" customWidth="1"/>
    <col min="26" max="26" width="0.85546875" customWidth="1"/>
    <col min="27" max="27" width="42.42578125" customWidth="1"/>
    <col min="28" max="28" width="41.140625" customWidth="1"/>
    <col min="29" max="29" width="38.85546875" customWidth="1"/>
    <col min="30" max="30" width="40.42578125" customWidth="1"/>
  </cols>
  <sheetData>
    <row r="1" spans="1:30" ht="15" customHeight="1" x14ac:dyDescent="0.25">
      <c r="B1" s="128" t="s">
        <v>22</v>
      </c>
      <c r="C1" s="128"/>
      <c r="D1" s="128"/>
      <c r="E1" s="128"/>
      <c r="F1" s="128"/>
      <c r="G1" s="128"/>
      <c r="K1" s="1"/>
      <c r="L1" s="1"/>
      <c r="M1" s="1"/>
      <c r="N1" s="1"/>
      <c r="O1" s="1"/>
      <c r="P1" s="1"/>
    </row>
    <row r="2" spans="1:30" ht="15" customHeight="1" x14ac:dyDescent="0.25">
      <c r="B2" s="129"/>
      <c r="C2" s="129"/>
      <c r="D2" s="129"/>
      <c r="E2" s="129"/>
      <c r="F2" s="129"/>
      <c r="G2" s="129"/>
      <c r="K2" s="1"/>
      <c r="L2" s="1"/>
      <c r="M2" s="1"/>
      <c r="N2" s="1"/>
      <c r="O2" s="1"/>
      <c r="P2" s="1"/>
    </row>
    <row r="3" spans="1:30" s="6" customFormat="1" x14ac:dyDescent="0.25">
      <c r="A3" s="2">
        <v>1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/>
      <c r="I3" s="4"/>
      <c r="J3" s="4"/>
      <c r="K3" s="3" t="s">
        <v>6</v>
      </c>
      <c r="L3" s="3" t="s">
        <v>7</v>
      </c>
      <c r="M3" s="10" t="s">
        <v>23</v>
      </c>
      <c r="N3" s="3" t="s">
        <v>8</v>
      </c>
      <c r="O3" s="3" t="s">
        <v>9</v>
      </c>
      <c r="P3" s="5"/>
      <c r="Q3" s="3" t="s">
        <v>10</v>
      </c>
      <c r="R3" s="3" t="s">
        <v>11</v>
      </c>
      <c r="S3" s="5"/>
      <c r="T3" s="3" t="s">
        <v>12</v>
      </c>
      <c r="U3" s="3" t="s">
        <v>13</v>
      </c>
      <c r="V3" s="3" t="s">
        <v>14</v>
      </c>
      <c r="W3" s="3" t="s">
        <v>15</v>
      </c>
      <c r="X3" s="3" t="s">
        <v>16</v>
      </c>
      <c r="Y3" s="3" t="s">
        <v>17</v>
      </c>
      <c r="Z3" s="5"/>
      <c r="AA3" s="3" t="s">
        <v>18</v>
      </c>
      <c r="AB3" s="3" t="s">
        <v>19</v>
      </c>
      <c r="AC3" s="3" t="s">
        <v>20</v>
      </c>
      <c r="AD3" s="3" t="s">
        <v>21</v>
      </c>
    </row>
    <row r="4" spans="1:30" s="6" customFormat="1" x14ac:dyDescent="0.25">
      <c r="B4" s="7">
        <v>15750</v>
      </c>
      <c r="C4" s="7">
        <v>25</v>
      </c>
      <c r="D4" s="7">
        <v>1000000</v>
      </c>
      <c r="E4" s="7">
        <v>10000</v>
      </c>
      <c r="F4" s="7">
        <v>100</v>
      </c>
      <c r="G4" s="7">
        <v>600</v>
      </c>
      <c r="H4" s="8"/>
      <c r="K4" s="7">
        <v>140</v>
      </c>
      <c r="L4" s="7">
        <v>1</v>
      </c>
      <c r="M4" s="7">
        <v>805</v>
      </c>
      <c r="N4" s="7">
        <v>0.91</v>
      </c>
      <c r="O4" s="7">
        <v>1</v>
      </c>
      <c r="P4" s="9">
        <v>0.93</v>
      </c>
      <c r="Q4" s="7">
        <v>1</v>
      </c>
      <c r="R4" s="7">
        <v>1</v>
      </c>
      <c r="S4" s="9"/>
      <c r="T4" s="7">
        <v>0</v>
      </c>
      <c r="U4" s="7">
        <v>1</v>
      </c>
      <c r="V4" s="7">
        <v>1</v>
      </c>
      <c r="W4" s="7">
        <v>1</v>
      </c>
      <c r="X4" s="7">
        <v>1</v>
      </c>
      <c r="Y4" s="7">
        <v>1</v>
      </c>
      <c r="Z4" s="9"/>
      <c r="AA4" s="7">
        <v>0.25</v>
      </c>
      <c r="AB4" s="7">
        <v>1</v>
      </c>
      <c r="AC4" s="7">
        <v>1</v>
      </c>
      <c r="AD4" s="7">
        <v>1</v>
      </c>
    </row>
    <row r="5" spans="1:30" s="6" customFormat="1" x14ac:dyDescent="0.25">
      <c r="B5" s="7"/>
      <c r="C5" s="7"/>
      <c r="D5" s="7"/>
      <c r="E5" s="7"/>
      <c r="F5" s="7"/>
      <c r="G5" s="7"/>
      <c r="H5" s="8"/>
      <c r="K5" s="7">
        <v>35</v>
      </c>
      <c r="L5" s="7">
        <v>150</v>
      </c>
      <c r="M5" s="7"/>
      <c r="N5" s="7">
        <v>0.82</v>
      </c>
      <c r="O5" s="7">
        <v>50</v>
      </c>
      <c r="P5" s="9">
        <v>0.84</v>
      </c>
      <c r="Q5" s="7">
        <v>1</v>
      </c>
      <c r="R5" s="7">
        <v>100</v>
      </c>
      <c r="S5" s="9"/>
      <c r="T5" s="7">
        <v>0</v>
      </c>
      <c r="U5" s="7">
        <v>600</v>
      </c>
      <c r="V5" s="7">
        <v>1</v>
      </c>
      <c r="W5" s="7">
        <v>600</v>
      </c>
      <c r="X5" s="7">
        <v>1</v>
      </c>
      <c r="Y5" s="7">
        <v>87</v>
      </c>
      <c r="Z5" s="9"/>
      <c r="AA5" s="7">
        <v>0.25</v>
      </c>
      <c r="AB5" s="7">
        <v>600</v>
      </c>
      <c r="AC5" s="7">
        <v>1</v>
      </c>
      <c r="AD5" s="7">
        <v>100</v>
      </c>
    </row>
    <row r="6" spans="1:30" s="6" customFormat="1" x14ac:dyDescent="0.25">
      <c r="B6" s="7"/>
      <c r="C6" s="7"/>
      <c r="D6" s="7"/>
      <c r="E6" s="7"/>
      <c r="F6" s="7"/>
      <c r="G6" s="7"/>
      <c r="H6" s="8"/>
      <c r="K6" s="7">
        <v>0</v>
      </c>
      <c r="L6" s="7">
        <v>300</v>
      </c>
      <c r="M6" s="7"/>
      <c r="N6" s="7">
        <v>0.73</v>
      </c>
      <c r="O6" s="7">
        <v>100</v>
      </c>
      <c r="P6" s="9">
        <v>0.76</v>
      </c>
      <c r="Q6" s="7"/>
      <c r="R6" s="7"/>
      <c r="S6" s="9"/>
      <c r="T6" s="7"/>
      <c r="U6" s="7"/>
      <c r="V6" s="7"/>
      <c r="W6" s="7"/>
      <c r="X6" s="7">
        <v>0</v>
      </c>
      <c r="Y6" s="7">
        <v>95</v>
      </c>
      <c r="Z6" s="9"/>
      <c r="AA6" s="7"/>
      <c r="AB6" s="7"/>
      <c r="AC6" s="7"/>
      <c r="AD6" s="7"/>
    </row>
    <row r="7" spans="1:30" s="6" customFormat="1" x14ac:dyDescent="0.25">
      <c r="B7" s="7"/>
      <c r="C7" s="7"/>
      <c r="D7" s="7"/>
      <c r="E7" s="7"/>
      <c r="F7" s="7"/>
      <c r="G7" s="7"/>
      <c r="H7" s="8"/>
      <c r="K7" s="7">
        <v>35</v>
      </c>
      <c r="L7" s="7">
        <v>450</v>
      </c>
      <c r="M7" s="7"/>
      <c r="N7" s="7">
        <v>0.59</v>
      </c>
      <c r="O7" s="7">
        <v>150</v>
      </c>
      <c r="P7" s="9">
        <v>0.61</v>
      </c>
      <c r="Q7" s="7"/>
      <c r="R7" s="7"/>
      <c r="S7" s="9"/>
      <c r="T7" s="7"/>
      <c r="U7" s="7"/>
      <c r="V7" s="7"/>
      <c r="W7" s="7"/>
      <c r="X7" s="7">
        <v>0</v>
      </c>
      <c r="Y7" s="7">
        <v>100</v>
      </c>
      <c r="Z7" s="9"/>
      <c r="AA7" s="7"/>
      <c r="AB7" s="7"/>
      <c r="AC7" s="7"/>
      <c r="AD7" s="7"/>
    </row>
    <row r="8" spans="1:30" s="6" customFormat="1" x14ac:dyDescent="0.25">
      <c r="B8" s="7"/>
      <c r="C8" s="7"/>
      <c r="D8" s="7"/>
      <c r="E8" s="7"/>
      <c r="F8" s="7"/>
      <c r="G8" s="7"/>
      <c r="H8" s="8"/>
      <c r="K8" s="7">
        <v>144</v>
      </c>
      <c r="L8" s="11">
        <v>650</v>
      </c>
      <c r="M8" s="9"/>
      <c r="N8" s="7">
        <v>0.38</v>
      </c>
      <c r="O8" s="7">
        <v>200</v>
      </c>
      <c r="P8" s="9">
        <v>0.38</v>
      </c>
      <c r="Q8" s="7"/>
      <c r="R8" s="7"/>
      <c r="S8" s="9"/>
      <c r="T8" s="7"/>
      <c r="U8" s="7"/>
      <c r="V8" s="7"/>
      <c r="W8" s="7"/>
      <c r="X8" s="7"/>
      <c r="Y8" s="7"/>
      <c r="Z8" s="9"/>
      <c r="AA8" s="7"/>
      <c r="AB8" s="7"/>
      <c r="AC8" s="7"/>
      <c r="AD8" s="7"/>
    </row>
    <row r="9" spans="1:30" s="6" customFormat="1" x14ac:dyDescent="0.25">
      <c r="B9" s="9"/>
      <c r="C9" s="9"/>
      <c r="D9" s="9"/>
      <c r="E9" s="9"/>
      <c r="F9" s="9"/>
      <c r="G9" s="9"/>
      <c r="H9" s="8"/>
      <c r="K9" s="7"/>
      <c r="L9" s="7"/>
      <c r="M9" s="9"/>
      <c r="N9" s="7">
        <v>0.17</v>
      </c>
      <c r="O9" s="7">
        <v>250</v>
      </c>
      <c r="P9" s="9">
        <v>0.17</v>
      </c>
      <c r="Q9" s="7"/>
      <c r="R9" s="7"/>
      <c r="S9" s="9"/>
      <c r="T9" s="7"/>
      <c r="U9" s="7"/>
      <c r="V9" s="7"/>
      <c r="W9" s="7"/>
      <c r="X9" s="7"/>
      <c r="Y9" s="7"/>
      <c r="Z9" s="9"/>
      <c r="AA9" s="7"/>
      <c r="AB9" s="7"/>
      <c r="AC9" s="7"/>
      <c r="AD9" s="7"/>
    </row>
    <row r="10" spans="1:30" x14ac:dyDescent="0.25">
      <c r="N10" s="12">
        <v>0.02</v>
      </c>
      <c r="O10" s="12">
        <v>300</v>
      </c>
      <c r="P10" s="9">
        <v>0.02</v>
      </c>
    </row>
    <row r="11" spans="1:30" x14ac:dyDescent="0.25">
      <c r="N11" s="12">
        <v>0</v>
      </c>
      <c r="O11" s="12">
        <v>320</v>
      </c>
      <c r="P11" s="9">
        <v>0</v>
      </c>
    </row>
    <row r="12" spans="1:30" x14ac:dyDescent="0.25">
      <c r="N12" s="12">
        <v>0.03</v>
      </c>
      <c r="O12" s="12">
        <v>350</v>
      </c>
      <c r="P12" s="9">
        <v>3.5000000000000003E-2</v>
      </c>
    </row>
    <row r="13" spans="1:30" x14ac:dyDescent="0.25">
      <c r="N13" s="12">
        <v>0.17</v>
      </c>
      <c r="O13" s="12">
        <v>400</v>
      </c>
      <c r="P13" s="9">
        <v>0.17</v>
      </c>
    </row>
    <row r="14" spans="1:30" x14ac:dyDescent="0.25">
      <c r="N14" s="12">
        <v>0.41</v>
      </c>
      <c r="O14" s="12">
        <v>450</v>
      </c>
      <c r="P14" s="9">
        <v>0.42</v>
      </c>
    </row>
    <row r="15" spans="1:30" x14ac:dyDescent="0.25">
      <c r="N15" s="12">
        <v>0.73</v>
      </c>
      <c r="O15" s="12">
        <v>500</v>
      </c>
      <c r="P15" s="9">
        <v>0.75</v>
      </c>
    </row>
    <row r="16" spans="1:30" x14ac:dyDescent="0.25">
      <c r="N16" s="12">
        <v>0.92</v>
      </c>
      <c r="O16" s="12">
        <v>550</v>
      </c>
      <c r="P16" s="9">
        <v>0.95</v>
      </c>
    </row>
    <row r="17" spans="1:30" x14ac:dyDescent="0.25">
      <c r="N17" s="12">
        <v>1</v>
      </c>
      <c r="O17" s="12">
        <v>600</v>
      </c>
      <c r="P17" s="9">
        <v>1</v>
      </c>
    </row>
    <row r="18" spans="1:30" s="6" customFormat="1" x14ac:dyDescent="0.25">
      <c r="A18" s="2">
        <v>2</v>
      </c>
      <c r="B18" s="3" t="s">
        <v>0</v>
      </c>
      <c r="C18" s="3" t="s">
        <v>1</v>
      </c>
      <c r="D18" s="3" t="s">
        <v>2</v>
      </c>
      <c r="E18" s="3" t="s">
        <v>3</v>
      </c>
      <c r="F18" s="3" t="s">
        <v>4</v>
      </c>
      <c r="G18" s="3" t="s">
        <v>5</v>
      </c>
      <c r="H18" s="4"/>
      <c r="I18" s="4"/>
      <c r="J18" s="4"/>
      <c r="K18" s="3" t="s">
        <v>6</v>
      </c>
      <c r="L18" s="3" t="s">
        <v>7</v>
      </c>
      <c r="M18" s="10" t="s">
        <v>23</v>
      </c>
      <c r="N18" s="3" t="s">
        <v>8</v>
      </c>
      <c r="O18" s="3" t="s">
        <v>9</v>
      </c>
      <c r="P18" s="5"/>
      <c r="Q18" s="3" t="s">
        <v>10</v>
      </c>
      <c r="R18" s="3" t="s">
        <v>11</v>
      </c>
      <c r="S18" s="5"/>
      <c r="T18" s="3" t="s">
        <v>12</v>
      </c>
      <c r="U18" s="3" t="s">
        <v>13</v>
      </c>
      <c r="V18" s="3" t="s">
        <v>14</v>
      </c>
      <c r="W18" s="3" t="s">
        <v>15</v>
      </c>
      <c r="X18" s="3" t="s">
        <v>16</v>
      </c>
      <c r="Y18" s="3" t="s">
        <v>17</v>
      </c>
      <c r="Z18" s="5"/>
      <c r="AA18" s="3" t="s">
        <v>18</v>
      </c>
      <c r="AB18" s="3" t="s">
        <v>19</v>
      </c>
      <c r="AC18" s="3" t="s">
        <v>20</v>
      </c>
      <c r="AD18" s="3" t="s">
        <v>21</v>
      </c>
    </row>
    <row r="19" spans="1:30" s="6" customFormat="1" x14ac:dyDescent="0.25">
      <c r="B19" s="7">
        <v>15750</v>
      </c>
      <c r="C19" s="7">
        <v>25</v>
      </c>
      <c r="D19" s="7">
        <v>1000000</v>
      </c>
      <c r="E19" s="7">
        <v>10000</v>
      </c>
      <c r="F19" s="7">
        <v>100</v>
      </c>
      <c r="G19" s="7">
        <v>600</v>
      </c>
      <c r="H19" s="8"/>
      <c r="K19" s="7">
        <v>140</v>
      </c>
      <c r="L19" s="7">
        <v>1</v>
      </c>
      <c r="M19" s="7">
        <v>805</v>
      </c>
      <c r="N19" s="7">
        <f>SUM(N4*0.9)</f>
        <v>0.81900000000000006</v>
      </c>
      <c r="O19" s="7">
        <v>1</v>
      </c>
      <c r="P19" s="9"/>
      <c r="Q19" s="7">
        <v>1</v>
      </c>
      <c r="R19" s="7">
        <v>1</v>
      </c>
      <c r="S19" s="9"/>
      <c r="T19" s="7">
        <v>0</v>
      </c>
      <c r="U19" s="7">
        <v>1</v>
      </c>
      <c r="V19" s="7">
        <v>1</v>
      </c>
      <c r="W19" s="7">
        <v>1</v>
      </c>
      <c r="X19" s="13">
        <v>1</v>
      </c>
      <c r="Y19" s="7">
        <v>1</v>
      </c>
      <c r="Z19" s="9"/>
      <c r="AA19" s="7">
        <v>0.1</v>
      </c>
      <c r="AB19" s="7">
        <v>1</v>
      </c>
      <c r="AC19" s="7">
        <v>1</v>
      </c>
      <c r="AD19" s="7">
        <v>1</v>
      </c>
    </row>
    <row r="20" spans="1:30" s="6" customFormat="1" x14ac:dyDescent="0.25">
      <c r="B20" s="7"/>
      <c r="C20" s="7"/>
      <c r="D20" s="7"/>
      <c r="E20" s="7"/>
      <c r="F20" s="7"/>
      <c r="G20" s="7"/>
      <c r="H20" s="8"/>
      <c r="K20" s="7">
        <v>35</v>
      </c>
      <c r="L20" s="7">
        <v>150</v>
      </c>
      <c r="M20" s="7"/>
      <c r="N20" s="7">
        <f t="shared" ref="N20:N32" si="0">SUM(N5*0.9)</f>
        <v>0.73799999999999999</v>
      </c>
      <c r="O20" s="7">
        <v>50</v>
      </c>
      <c r="P20" s="9"/>
      <c r="Q20" s="7">
        <v>1</v>
      </c>
      <c r="R20" s="7">
        <v>100</v>
      </c>
      <c r="S20" s="9"/>
      <c r="T20" s="7">
        <v>0</v>
      </c>
      <c r="U20" s="7">
        <v>600</v>
      </c>
      <c r="V20" s="7">
        <v>1</v>
      </c>
      <c r="W20" s="7">
        <v>600</v>
      </c>
      <c r="X20" s="13">
        <v>1</v>
      </c>
      <c r="Y20" s="7">
        <v>8</v>
      </c>
      <c r="Z20" s="9"/>
      <c r="AA20" s="7">
        <v>0.1</v>
      </c>
      <c r="AB20" s="7">
        <v>600</v>
      </c>
      <c r="AC20" s="7">
        <v>1</v>
      </c>
      <c r="AD20" s="7">
        <v>100</v>
      </c>
    </row>
    <row r="21" spans="1:30" s="6" customFormat="1" x14ac:dyDescent="0.25">
      <c r="B21" s="7"/>
      <c r="C21" s="7"/>
      <c r="D21" s="7"/>
      <c r="E21" s="7"/>
      <c r="F21" s="7"/>
      <c r="G21" s="7"/>
      <c r="H21" s="8"/>
      <c r="K21" s="7">
        <v>0</v>
      </c>
      <c r="L21" s="7">
        <v>300</v>
      </c>
      <c r="M21" s="7"/>
      <c r="N21" s="7">
        <f t="shared" si="0"/>
        <v>0.65700000000000003</v>
      </c>
      <c r="O21" s="7">
        <v>100</v>
      </c>
      <c r="P21" s="9"/>
      <c r="Q21" s="7"/>
      <c r="R21" s="7"/>
      <c r="S21" s="9"/>
      <c r="T21" s="7"/>
      <c r="U21" s="7"/>
      <c r="V21" s="7"/>
      <c r="W21" s="7"/>
      <c r="X21" s="13">
        <v>0</v>
      </c>
      <c r="Y21" s="7">
        <v>11</v>
      </c>
      <c r="Z21" s="9"/>
      <c r="AA21" s="7"/>
      <c r="AB21" s="7"/>
      <c r="AC21" s="7"/>
      <c r="AD21" s="7"/>
    </row>
    <row r="22" spans="1:30" s="6" customFormat="1" x14ac:dyDescent="0.25">
      <c r="B22" s="7"/>
      <c r="C22" s="7"/>
      <c r="D22" s="7"/>
      <c r="E22" s="7"/>
      <c r="F22" s="7"/>
      <c r="G22" s="7"/>
      <c r="H22" s="8"/>
      <c r="K22" s="7">
        <v>35</v>
      </c>
      <c r="L22" s="7">
        <v>450</v>
      </c>
      <c r="M22" s="7"/>
      <c r="N22" s="7">
        <f t="shared" si="0"/>
        <v>0.53100000000000003</v>
      </c>
      <c r="O22" s="7">
        <v>150</v>
      </c>
      <c r="P22" s="9"/>
      <c r="Q22" s="7"/>
      <c r="R22" s="7"/>
      <c r="S22" s="9"/>
      <c r="T22" s="7"/>
      <c r="U22" s="7"/>
      <c r="V22" s="7"/>
      <c r="W22" s="7"/>
      <c r="X22" s="13">
        <v>0</v>
      </c>
      <c r="Y22" s="7">
        <v>15</v>
      </c>
      <c r="Z22" s="9"/>
      <c r="AA22" s="7"/>
      <c r="AB22" s="7"/>
      <c r="AC22" s="7"/>
      <c r="AD22" s="7"/>
    </row>
    <row r="23" spans="1:30" s="6" customFormat="1" x14ac:dyDescent="0.25">
      <c r="B23" s="7"/>
      <c r="C23" s="7"/>
      <c r="D23" s="7"/>
      <c r="E23" s="7"/>
      <c r="F23" s="7"/>
      <c r="G23" s="7"/>
      <c r="H23" s="8"/>
      <c r="K23" s="7">
        <v>144</v>
      </c>
      <c r="L23" s="11">
        <v>650</v>
      </c>
      <c r="M23" s="9"/>
      <c r="N23" s="7">
        <f t="shared" si="0"/>
        <v>0.34200000000000003</v>
      </c>
      <c r="O23" s="7">
        <v>200</v>
      </c>
      <c r="P23" s="9"/>
      <c r="Q23" s="7"/>
      <c r="R23" s="7"/>
      <c r="S23" s="9"/>
      <c r="T23" s="7"/>
      <c r="U23" s="7"/>
      <c r="V23" s="7"/>
      <c r="W23" s="7"/>
      <c r="X23" s="16">
        <v>1</v>
      </c>
      <c r="Y23" s="7">
        <v>16</v>
      </c>
      <c r="Z23" s="9"/>
      <c r="AA23" s="7"/>
      <c r="AB23" s="7"/>
      <c r="AC23" s="7"/>
      <c r="AD23" s="7"/>
    </row>
    <row r="24" spans="1:30" s="6" customFormat="1" x14ac:dyDescent="0.25">
      <c r="B24" s="9"/>
      <c r="C24" s="9"/>
      <c r="D24" s="9"/>
      <c r="E24" s="9"/>
      <c r="F24" s="9"/>
      <c r="G24" s="9"/>
      <c r="H24" s="8"/>
      <c r="K24" s="7"/>
      <c r="L24" s="7"/>
      <c r="M24" s="9"/>
      <c r="N24" s="7">
        <f t="shared" si="0"/>
        <v>0.15300000000000002</v>
      </c>
      <c r="O24" s="7">
        <v>250</v>
      </c>
      <c r="P24" s="9"/>
      <c r="Q24" s="7"/>
      <c r="R24" s="7"/>
      <c r="S24" s="9"/>
      <c r="T24" s="7"/>
      <c r="U24" s="7"/>
      <c r="V24" s="7"/>
      <c r="W24" s="7"/>
      <c r="X24" s="16">
        <v>1</v>
      </c>
      <c r="Y24" s="7">
        <v>23</v>
      </c>
      <c r="Z24" s="9"/>
      <c r="AA24" s="7"/>
      <c r="AB24" s="7"/>
      <c r="AC24" s="7"/>
      <c r="AD24" s="7"/>
    </row>
    <row r="25" spans="1:30" x14ac:dyDescent="0.25">
      <c r="N25" s="7">
        <f t="shared" si="0"/>
        <v>1.8000000000000002E-2</v>
      </c>
      <c r="O25" s="12">
        <v>300</v>
      </c>
      <c r="X25" s="17">
        <v>0</v>
      </c>
      <c r="Y25" s="12">
        <v>26</v>
      </c>
    </row>
    <row r="26" spans="1:30" x14ac:dyDescent="0.25">
      <c r="N26" s="7">
        <f t="shared" si="0"/>
        <v>0</v>
      </c>
      <c r="O26" s="12">
        <v>320</v>
      </c>
      <c r="X26" s="17">
        <v>0</v>
      </c>
      <c r="Y26" s="12">
        <v>30</v>
      </c>
    </row>
    <row r="27" spans="1:30" x14ac:dyDescent="0.25">
      <c r="N27" s="7">
        <f t="shared" si="0"/>
        <v>2.7E-2</v>
      </c>
      <c r="O27" s="12">
        <v>350</v>
      </c>
      <c r="X27" s="18">
        <v>1</v>
      </c>
      <c r="Y27" s="12">
        <v>31</v>
      </c>
    </row>
    <row r="28" spans="1:30" x14ac:dyDescent="0.25">
      <c r="N28" s="7">
        <f t="shared" si="0"/>
        <v>0.15300000000000002</v>
      </c>
      <c r="O28" s="12">
        <v>400</v>
      </c>
      <c r="X28" s="18">
        <v>1</v>
      </c>
      <c r="Y28" s="12">
        <v>38</v>
      </c>
    </row>
    <row r="29" spans="1:30" x14ac:dyDescent="0.25">
      <c r="N29" s="7">
        <f t="shared" si="0"/>
        <v>0.36899999999999999</v>
      </c>
      <c r="O29" s="12">
        <v>450</v>
      </c>
      <c r="X29" s="19">
        <v>0</v>
      </c>
      <c r="Y29" s="12">
        <v>41</v>
      </c>
    </row>
    <row r="30" spans="1:30" x14ac:dyDescent="0.25">
      <c r="N30" s="7">
        <f t="shared" si="0"/>
        <v>0.65700000000000003</v>
      </c>
      <c r="O30" s="12">
        <v>500</v>
      </c>
      <c r="X30" s="19">
        <v>0</v>
      </c>
      <c r="Y30" s="12">
        <v>45</v>
      </c>
    </row>
    <row r="31" spans="1:30" x14ac:dyDescent="0.25">
      <c r="N31" s="7">
        <f t="shared" si="0"/>
        <v>0.82800000000000007</v>
      </c>
      <c r="O31" s="12">
        <v>550</v>
      </c>
      <c r="X31" s="20">
        <v>1</v>
      </c>
      <c r="Y31" s="12">
        <v>46</v>
      </c>
    </row>
    <row r="32" spans="1:30" x14ac:dyDescent="0.25">
      <c r="N32" s="7">
        <f t="shared" si="0"/>
        <v>0.9</v>
      </c>
      <c r="O32" s="12">
        <v>600</v>
      </c>
      <c r="X32" s="20">
        <v>1</v>
      </c>
      <c r="Y32" s="12">
        <v>53</v>
      </c>
    </row>
    <row r="33" spans="1:30" x14ac:dyDescent="0.25">
      <c r="X33" s="21">
        <v>0</v>
      </c>
      <c r="Y33" s="12">
        <v>54</v>
      </c>
    </row>
    <row r="34" spans="1:30" x14ac:dyDescent="0.25">
      <c r="X34" s="21">
        <v>0</v>
      </c>
      <c r="Y34" s="12">
        <v>58</v>
      </c>
    </row>
    <row r="35" spans="1:30" x14ac:dyDescent="0.25">
      <c r="X35" s="22">
        <v>1</v>
      </c>
      <c r="Y35" s="12">
        <v>59</v>
      </c>
    </row>
    <row r="36" spans="1:30" x14ac:dyDescent="0.25">
      <c r="X36" s="22">
        <v>1</v>
      </c>
      <c r="Y36" s="12">
        <v>66</v>
      </c>
    </row>
    <row r="37" spans="1:30" x14ac:dyDescent="0.25">
      <c r="X37" s="23">
        <v>0</v>
      </c>
      <c r="Y37" s="12">
        <v>69</v>
      </c>
    </row>
    <row r="38" spans="1:30" x14ac:dyDescent="0.25">
      <c r="X38" s="23">
        <v>0</v>
      </c>
      <c r="Y38" s="12">
        <v>74</v>
      </c>
    </row>
    <row r="39" spans="1:30" x14ac:dyDescent="0.25">
      <c r="X39" s="24">
        <v>1</v>
      </c>
      <c r="Y39" s="12">
        <v>75</v>
      </c>
    </row>
    <row r="40" spans="1:30" x14ac:dyDescent="0.25">
      <c r="X40" s="24">
        <v>1</v>
      </c>
      <c r="Y40" s="12">
        <v>83</v>
      </c>
    </row>
    <row r="41" spans="1:30" x14ac:dyDescent="0.25">
      <c r="X41" s="24">
        <v>0</v>
      </c>
      <c r="Y41" s="12">
        <v>87</v>
      </c>
    </row>
    <row r="42" spans="1:30" x14ac:dyDescent="0.25">
      <c r="X42" s="24">
        <v>0</v>
      </c>
      <c r="Y42" s="12">
        <v>90</v>
      </c>
    </row>
    <row r="43" spans="1:30" x14ac:dyDescent="0.25">
      <c r="X43" s="23">
        <v>1</v>
      </c>
      <c r="Y43" s="12">
        <v>91</v>
      </c>
    </row>
    <row r="44" spans="1:30" x14ac:dyDescent="0.25">
      <c r="X44" s="24">
        <v>1</v>
      </c>
      <c r="Y44" s="12">
        <v>94</v>
      </c>
    </row>
    <row r="45" spans="1:30" x14ac:dyDescent="0.25">
      <c r="X45" s="24">
        <v>0</v>
      </c>
      <c r="Y45" s="12">
        <v>95</v>
      </c>
    </row>
    <row r="46" spans="1:30" x14ac:dyDescent="0.25">
      <c r="X46" s="24">
        <v>0</v>
      </c>
      <c r="Y46" s="12">
        <v>100</v>
      </c>
    </row>
    <row r="47" spans="1:30" s="6" customFormat="1" x14ac:dyDescent="0.25">
      <c r="A47" s="2">
        <v>3</v>
      </c>
      <c r="B47" s="3" t="s">
        <v>0</v>
      </c>
      <c r="C47" s="3" t="s">
        <v>1</v>
      </c>
      <c r="D47" s="3" t="s">
        <v>2</v>
      </c>
      <c r="E47" s="3" t="s">
        <v>3</v>
      </c>
      <c r="F47" s="3" t="s">
        <v>4</v>
      </c>
      <c r="G47" s="3" t="s">
        <v>5</v>
      </c>
      <c r="H47" s="4"/>
      <c r="I47" s="4"/>
      <c r="J47" s="4"/>
      <c r="K47" s="3" t="s">
        <v>6</v>
      </c>
      <c r="L47" s="3" t="s">
        <v>7</v>
      </c>
      <c r="M47" s="10" t="s">
        <v>23</v>
      </c>
      <c r="N47" s="3" t="s">
        <v>8</v>
      </c>
      <c r="O47" s="3" t="s">
        <v>9</v>
      </c>
      <c r="P47" s="5"/>
      <c r="Q47" s="3" t="s">
        <v>10</v>
      </c>
      <c r="R47" s="3" t="s">
        <v>11</v>
      </c>
      <c r="S47" s="5"/>
      <c r="T47" s="3" t="s">
        <v>12</v>
      </c>
      <c r="U47" s="3" t="s">
        <v>13</v>
      </c>
      <c r="V47" s="3" t="s">
        <v>14</v>
      </c>
      <c r="W47" s="3" t="s">
        <v>15</v>
      </c>
      <c r="X47" s="3" t="s">
        <v>16</v>
      </c>
      <c r="Y47" s="3" t="s">
        <v>17</v>
      </c>
      <c r="Z47" s="5"/>
      <c r="AA47" s="3" t="s">
        <v>18</v>
      </c>
      <c r="AB47" s="3" t="s">
        <v>19</v>
      </c>
      <c r="AC47" s="3" t="s">
        <v>20</v>
      </c>
      <c r="AD47" s="3" t="s">
        <v>21</v>
      </c>
    </row>
    <row r="48" spans="1:30" s="6" customFormat="1" x14ac:dyDescent="0.25">
      <c r="B48" s="7">
        <v>15750</v>
      </c>
      <c r="C48" s="7">
        <v>25</v>
      </c>
      <c r="D48" s="7">
        <v>1000000</v>
      </c>
      <c r="E48" s="7">
        <v>10000</v>
      </c>
      <c r="F48" s="7">
        <v>100</v>
      </c>
      <c r="G48" s="7">
        <v>600</v>
      </c>
      <c r="H48" s="8"/>
      <c r="K48" s="7">
        <v>140</v>
      </c>
      <c r="L48" s="7">
        <v>1</v>
      </c>
      <c r="M48" s="7">
        <v>805</v>
      </c>
      <c r="N48" s="7">
        <v>0.81899999999999995</v>
      </c>
      <c r="O48" s="7">
        <v>1</v>
      </c>
      <c r="P48" s="9"/>
      <c r="Q48" s="7">
        <v>1</v>
      </c>
      <c r="R48" s="7">
        <v>1</v>
      </c>
      <c r="S48" s="9"/>
      <c r="T48" s="7">
        <v>0</v>
      </c>
      <c r="U48" s="7">
        <v>1</v>
      </c>
      <c r="V48" s="7">
        <v>1.5</v>
      </c>
      <c r="W48" s="7">
        <v>1</v>
      </c>
      <c r="X48" s="13">
        <v>1</v>
      </c>
      <c r="Y48" s="7">
        <v>1</v>
      </c>
      <c r="Z48" s="9"/>
      <c r="AA48" s="7">
        <v>0.1</v>
      </c>
      <c r="AB48" s="7">
        <v>1</v>
      </c>
      <c r="AC48" s="7">
        <v>1</v>
      </c>
      <c r="AD48" s="7">
        <v>1</v>
      </c>
    </row>
    <row r="49" spans="2:30" s="6" customFormat="1" x14ac:dyDescent="0.25">
      <c r="B49" s="7"/>
      <c r="C49" s="7"/>
      <c r="D49" s="7"/>
      <c r="E49" s="7"/>
      <c r="F49" s="7"/>
      <c r="G49" s="7"/>
      <c r="H49" s="8"/>
      <c r="K49" s="7">
        <v>35</v>
      </c>
      <c r="L49" s="7">
        <v>150</v>
      </c>
      <c r="M49" s="7"/>
      <c r="N49" s="7">
        <v>0.73799999999999999</v>
      </c>
      <c r="O49" s="7">
        <v>50</v>
      </c>
      <c r="P49" s="9"/>
      <c r="Q49" s="7">
        <v>1</v>
      </c>
      <c r="R49" s="7">
        <v>100</v>
      </c>
      <c r="S49" s="9"/>
      <c r="T49" s="7">
        <v>0</v>
      </c>
      <c r="U49" s="7">
        <v>600</v>
      </c>
      <c r="V49" s="7">
        <v>1.5</v>
      </c>
      <c r="W49" s="7">
        <v>600</v>
      </c>
      <c r="X49" s="13">
        <v>1</v>
      </c>
      <c r="Y49" s="7">
        <v>8</v>
      </c>
      <c r="Z49" s="9"/>
      <c r="AA49" s="7">
        <v>0.1</v>
      </c>
      <c r="AB49" s="7">
        <v>600</v>
      </c>
      <c r="AC49" s="7">
        <v>1</v>
      </c>
      <c r="AD49" s="7">
        <v>100</v>
      </c>
    </row>
    <row r="50" spans="2:30" s="6" customFormat="1" x14ac:dyDescent="0.25">
      <c r="B50" s="7"/>
      <c r="C50" s="7"/>
      <c r="D50" s="7"/>
      <c r="E50" s="7"/>
      <c r="F50" s="7"/>
      <c r="G50" s="7"/>
      <c r="H50" s="8"/>
      <c r="K50" s="7">
        <v>0</v>
      </c>
      <c r="L50" s="7">
        <v>300</v>
      </c>
      <c r="M50" s="7"/>
      <c r="N50" s="7">
        <v>0.65700000000000003</v>
      </c>
      <c r="O50" s="7">
        <v>100</v>
      </c>
      <c r="P50" s="9"/>
      <c r="Q50" s="7"/>
      <c r="R50" s="7"/>
      <c r="S50" s="9"/>
      <c r="T50" s="7"/>
      <c r="U50" s="7"/>
      <c r="V50" s="7"/>
      <c r="W50" s="7"/>
      <c r="X50" s="13">
        <v>0</v>
      </c>
      <c r="Y50" s="7">
        <v>11</v>
      </c>
      <c r="Z50" s="9"/>
      <c r="AA50" s="7"/>
      <c r="AB50" s="7"/>
      <c r="AC50" s="7"/>
      <c r="AD50" s="7"/>
    </row>
    <row r="51" spans="2:30" s="6" customFormat="1" x14ac:dyDescent="0.25">
      <c r="B51" s="7"/>
      <c r="C51" s="7"/>
      <c r="D51" s="7"/>
      <c r="E51" s="7"/>
      <c r="F51" s="7"/>
      <c r="G51" s="7"/>
      <c r="H51" s="8"/>
      <c r="K51" s="7">
        <v>35</v>
      </c>
      <c r="L51" s="7">
        <v>450</v>
      </c>
      <c r="M51" s="7"/>
      <c r="N51" s="7">
        <v>0.53100000000000003</v>
      </c>
      <c r="O51" s="7">
        <v>150</v>
      </c>
      <c r="P51" s="9"/>
      <c r="Q51" s="7"/>
      <c r="R51" s="7"/>
      <c r="S51" s="9"/>
      <c r="T51" s="7"/>
      <c r="U51" s="7"/>
      <c r="V51" s="7"/>
      <c r="W51" s="7"/>
      <c r="X51" s="13">
        <v>0</v>
      </c>
      <c r="Y51" s="7">
        <v>15</v>
      </c>
      <c r="Z51" s="9"/>
      <c r="AA51" s="7"/>
      <c r="AB51" s="7"/>
      <c r="AC51" s="7"/>
      <c r="AD51" s="7"/>
    </row>
    <row r="52" spans="2:30" s="6" customFormat="1" x14ac:dyDescent="0.25">
      <c r="B52" s="7"/>
      <c r="C52" s="7"/>
      <c r="D52" s="7"/>
      <c r="E52" s="7"/>
      <c r="F52" s="7"/>
      <c r="G52" s="7"/>
      <c r="H52" s="8"/>
      <c r="K52" s="7">
        <v>144</v>
      </c>
      <c r="L52" s="11">
        <v>650</v>
      </c>
      <c r="M52" s="9"/>
      <c r="N52" s="7">
        <v>0.34200000000000003</v>
      </c>
      <c r="O52" s="7">
        <v>200</v>
      </c>
      <c r="P52" s="9"/>
      <c r="Q52" s="7"/>
      <c r="R52" s="7"/>
      <c r="S52" s="9"/>
      <c r="T52" s="7"/>
      <c r="U52" s="7"/>
      <c r="V52" s="7"/>
      <c r="W52" s="7"/>
      <c r="X52" s="16">
        <v>1</v>
      </c>
      <c r="Y52" s="7">
        <v>16</v>
      </c>
      <c r="Z52" s="9"/>
      <c r="AA52" s="7"/>
      <c r="AB52" s="7"/>
      <c r="AC52" s="7"/>
      <c r="AD52" s="7"/>
    </row>
    <row r="53" spans="2:30" s="6" customFormat="1" x14ac:dyDescent="0.25">
      <c r="B53" s="9"/>
      <c r="C53" s="9"/>
      <c r="D53" s="9"/>
      <c r="E53" s="9"/>
      <c r="F53" s="9"/>
      <c r="G53" s="9"/>
      <c r="H53" s="8"/>
      <c r="K53" s="7"/>
      <c r="L53" s="7"/>
      <c r="M53" s="9"/>
      <c r="N53" s="7">
        <v>0.15300000000000002</v>
      </c>
      <c r="O53" s="7">
        <v>250</v>
      </c>
      <c r="P53" s="9"/>
      <c r="Q53" s="7"/>
      <c r="R53" s="7"/>
      <c r="S53" s="9"/>
      <c r="T53" s="7"/>
      <c r="U53" s="7"/>
      <c r="V53" s="7"/>
      <c r="W53" s="7"/>
      <c r="X53" s="16">
        <v>1</v>
      </c>
      <c r="Y53" s="7">
        <v>23</v>
      </c>
      <c r="Z53" s="9"/>
      <c r="AA53" s="7"/>
      <c r="AB53" s="7"/>
      <c r="AC53" s="7"/>
      <c r="AD53" s="7"/>
    </row>
    <row r="54" spans="2:30" x14ac:dyDescent="0.25">
      <c r="N54" s="7">
        <v>1.8000000000000002E-2</v>
      </c>
      <c r="O54" s="12">
        <v>300</v>
      </c>
      <c r="X54" s="17">
        <v>0</v>
      </c>
      <c r="Y54" s="12">
        <v>26</v>
      </c>
    </row>
    <row r="55" spans="2:30" x14ac:dyDescent="0.25">
      <c r="N55" s="7">
        <v>0</v>
      </c>
      <c r="O55" s="12">
        <v>320</v>
      </c>
      <c r="X55" s="17">
        <v>0</v>
      </c>
      <c r="Y55" s="12">
        <v>30</v>
      </c>
    </row>
    <row r="56" spans="2:30" x14ac:dyDescent="0.25">
      <c r="N56" s="7">
        <v>2.7E-2</v>
      </c>
      <c r="O56" s="12">
        <v>350</v>
      </c>
      <c r="X56" s="18">
        <v>1</v>
      </c>
      <c r="Y56" s="12">
        <v>31</v>
      </c>
    </row>
    <row r="57" spans="2:30" x14ac:dyDescent="0.25">
      <c r="N57" s="7">
        <v>0.15300000000000002</v>
      </c>
      <c r="O57" s="12">
        <v>400</v>
      </c>
      <c r="X57" s="18">
        <v>1</v>
      </c>
      <c r="Y57" s="12">
        <v>38</v>
      </c>
    </row>
    <row r="58" spans="2:30" x14ac:dyDescent="0.25">
      <c r="N58" s="7">
        <v>0.36899999999999999</v>
      </c>
      <c r="O58" s="12">
        <v>450</v>
      </c>
      <c r="X58" s="19">
        <v>0</v>
      </c>
      <c r="Y58" s="12">
        <v>41</v>
      </c>
    </row>
    <row r="59" spans="2:30" x14ac:dyDescent="0.25">
      <c r="N59" s="7">
        <v>0.65700000000000003</v>
      </c>
      <c r="O59" s="12">
        <v>500</v>
      </c>
      <c r="X59" s="19">
        <v>0</v>
      </c>
      <c r="Y59" s="12">
        <v>45</v>
      </c>
    </row>
    <row r="60" spans="2:30" x14ac:dyDescent="0.25">
      <c r="N60" s="7">
        <v>0.82800000000000007</v>
      </c>
      <c r="O60" s="12">
        <v>550</v>
      </c>
      <c r="X60" s="20">
        <v>1</v>
      </c>
      <c r="Y60" s="12">
        <v>46</v>
      </c>
    </row>
    <row r="61" spans="2:30" x14ac:dyDescent="0.25">
      <c r="N61" s="7">
        <v>0.9</v>
      </c>
      <c r="O61" s="12">
        <v>600</v>
      </c>
      <c r="X61" s="20">
        <v>1</v>
      </c>
      <c r="Y61" s="12">
        <v>53</v>
      </c>
    </row>
    <row r="62" spans="2:30" x14ac:dyDescent="0.25">
      <c r="X62" s="21">
        <v>0</v>
      </c>
      <c r="Y62" s="12">
        <v>54</v>
      </c>
    </row>
    <row r="63" spans="2:30" x14ac:dyDescent="0.25">
      <c r="X63" s="21">
        <v>0</v>
      </c>
      <c r="Y63" s="12">
        <v>58</v>
      </c>
    </row>
    <row r="64" spans="2:30" x14ac:dyDescent="0.25">
      <c r="X64" s="22">
        <v>1</v>
      </c>
      <c r="Y64" s="12">
        <v>59</v>
      </c>
    </row>
    <row r="65" spans="1:30" x14ac:dyDescent="0.25">
      <c r="X65" s="22">
        <v>1</v>
      </c>
      <c r="Y65" s="12">
        <v>66</v>
      </c>
    </row>
    <row r="66" spans="1:30" x14ac:dyDescent="0.25">
      <c r="X66" s="23">
        <v>0</v>
      </c>
      <c r="Y66" s="12">
        <v>69</v>
      </c>
    </row>
    <row r="67" spans="1:30" x14ac:dyDescent="0.25">
      <c r="X67" s="23">
        <v>0</v>
      </c>
      <c r="Y67" s="12">
        <v>74</v>
      </c>
    </row>
    <row r="68" spans="1:30" x14ac:dyDescent="0.25">
      <c r="X68" s="24">
        <v>1</v>
      </c>
      <c r="Y68" s="12">
        <v>75</v>
      </c>
    </row>
    <row r="69" spans="1:30" x14ac:dyDescent="0.25">
      <c r="X69" s="24">
        <v>1</v>
      </c>
      <c r="Y69" s="12">
        <v>79</v>
      </c>
    </row>
    <row r="70" spans="1:30" x14ac:dyDescent="0.25">
      <c r="X70" s="24">
        <v>0</v>
      </c>
      <c r="Y70" s="12">
        <v>80</v>
      </c>
    </row>
    <row r="71" spans="1:30" x14ac:dyDescent="0.25">
      <c r="X71" s="24">
        <v>0</v>
      </c>
      <c r="Y71" s="12">
        <v>85</v>
      </c>
    </row>
    <row r="72" spans="1:30" x14ac:dyDescent="0.25">
      <c r="X72" s="15">
        <v>1</v>
      </c>
      <c r="Y72" s="12">
        <v>86</v>
      </c>
    </row>
    <row r="73" spans="1:30" x14ac:dyDescent="0.25">
      <c r="X73" s="15">
        <v>1</v>
      </c>
      <c r="Y73" s="12">
        <v>94</v>
      </c>
    </row>
    <row r="74" spans="1:30" x14ac:dyDescent="0.25">
      <c r="X74" s="15">
        <v>0</v>
      </c>
      <c r="Y74" s="12">
        <v>95</v>
      </c>
    </row>
    <row r="75" spans="1:30" x14ac:dyDescent="0.25">
      <c r="J75">
        <v>0</v>
      </c>
      <c r="X75" s="15">
        <v>0</v>
      </c>
      <c r="Y75" s="12">
        <v>100</v>
      </c>
    </row>
    <row r="76" spans="1:30" s="6" customFormat="1" x14ac:dyDescent="0.25">
      <c r="A76" s="2">
        <v>4</v>
      </c>
      <c r="B76" s="3" t="s">
        <v>0</v>
      </c>
      <c r="C76" s="3" t="s">
        <v>1</v>
      </c>
      <c r="D76" s="3" t="s">
        <v>2</v>
      </c>
      <c r="E76" s="3" t="s">
        <v>3</v>
      </c>
      <c r="F76" s="3" t="s">
        <v>4</v>
      </c>
      <c r="G76" s="3" t="s">
        <v>5</v>
      </c>
      <c r="H76" s="4"/>
      <c r="I76" s="4"/>
      <c r="J76" s="4"/>
      <c r="K76" s="3" t="s">
        <v>6</v>
      </c>
      <c r="L76" s="3" t="s">
        <v>7</v>
      </c>
      <c r="M76" s="10" t="s">
        <v>23</v>
      </c>
      <c r="N76" s="3" t="s">
        <v>8</v>
      </c>
      <c r="O76" s="3" t="s">
        <v>9</v>
      </c>
      <c r="P76" s="5"/>
      <c r="Q76" s="3" t="s">
        <v>10</v>
      </c>
      <c r="R76" s="3" t="s">
        <v>11</v>
      </c>
      <c r="S76" s="5"/>
      <c r="T76" s="3" t="s">
        <v>12</v>
      </c>
      <c r="U76" s="3" t="s">
        <v>13</v>
      </c>
      <c r="V76" s="3" t="s">
        <v>14</v>
      </c>
      <c r="W76" s="3" t="s">
        <v>15</v>
      </c>
      <c r="X76" s="3" t="s">
        <v>16</v>
      </c>
      <c r="Y76" s="3" t="s">
        <v>17</v>
      </c>
      <c r="Z76" s="5"/>
      <c r="AA76" s="3" t="s">
        <v>18</v>
      </c>
      <c r="AB76" s="3" t="s">
        <v>19</v>
      </c>
      <c r="AC76" s="3" t="s">
        <v>20</v>
      </c>
      <c r="AD76" s="3" t="s">
        <v>21</v>
      </c>
    </row>
    <row r="77" spans="1:30" s="6" customFormat="1" x14ac:dyDescent="0.25">
      <c r="B77" s="7">
        <v>15750</v>
      </c>
      <c r="C77" s="7">
        <v>25</v>
      </c>
      <c r="D77" s="7">
        <v>1000000</v>
      </c>
      <c r="E77" s="7">
        <v>10000</v>
      </c>
      <c r="F77" s="7">
        <v>100</v>
      </c>
      <c r="G77" s="7">
        <v>600</v>
      </c>
      <c r="H77" s="8"/>
      <c r="K77" s="7">
        <v>140</v>
      </c>
      <c r="L77" s="7">
        <v>1</v>
      </c>
      <c r="M77" s="7">
        <v>805</v>
      </c>
      <c r="N77" s="7">
        <f>SUM(N4*0.7)</f>
        <v>0.63700000000000001</v>
      </c>
      <c r="O77" s="7">
        <v>1</v>
      </c>
      <c r="P77" s="9"/>
      <c r="Q77" s="7">
        <v>1</v>
      </c>
      <c r="R77" s="7">
        <v>1</v>
      </c>
      <c r="S77" s="9"/>
      <c r="T77" s="7">
        <v>0</v>
      </c>
      <c r="U77" s="7">
        <v>1</v>
      </c>
      <c r="V77" s="7">
        <v>2</v>
      </c>
      <c r="W77" s="7">
        <v>1</v>
      </c>
      <c r="X77" s="13">
        <v>1</v>
      </c>
      <c r="Y77" s="7">
        <v>1</v>
      </c>
      <c r="Z77" s="9"/>
      <c r="AA77" s="7">
        <v>0.1</v>
      </c>
      <c r="AB77" s="7">
        <v>1</v>
      </c>
      <c r="AC77" s="7">
        <v>1</v>
      </c>
      <c r="AD77" s="7">
        <v>1</v>
      </c>
    </row>
    <row r="78" spans="1:30" s="6" customFormat="1" x14ac:dyDescent="0.25">
      <c r="B78" s="7"/>
      <c r="C78" s="7"/>
      <c r="D78" s="7"/>
      <c r="E78" s="7"/>
      <c r="F78" s="7"/>
      <c r="G78" s="7"/>
      <c r="H78" s="8"/>
      <c r="K78" s="7">
        <v>35</v>
      </c>
      <c r="L78" s="7">
        <v>150</v>
      </c>
      <c r="M78" s="7"/>
      <c r="N78" s="7">
        <f t="shared" ref="N78:N90" si="1">SUM(N5*0.7)</f>
        <v>0.57399999999999995</v>
      </c>
      <c r="O78" s="7">
        <v>50</v>
      </c>
      <c r="P78" s="9"/>
      <c r="Q78" s="7">
        <v>1</v>
      </c>
      <c r="R78" s="7">
        <v>100</v>
      </c>
      <c r="S78" s="9"/>
      <c r="T78" s="7">
        <v>0</v>
      </c>
      <c r="U78" s="7">
        <v>600</v>
      </c>
      <c r="V78" s="7">
        <v>2</v>
      </c>
      <c r="W78" s="7">
        <v>600</v>
      </c>
      <c r="X78" s="13">
        <v>1</v>
      </c>
      <c r="Y78" s="7">
        <v>8</v>
      </c>
      <c r="Z78" s="9"/>
      <c r="AA78" s="7">
        <v>0.1</v>
      </c>
      <c r="AB78" s="7">
        <v>600</v>
      </c>
      <c r="AC78" s="7">
        <v>1</v>
      </c>
      <c r="AD78" s="7">
        <v>100</v>
      </c>
    </row>
    <row r="79" spans="1:30" s="6" customFormat="1" x14ac:dyDescent="0.25">
      <c r="B79" s="7"/>
      <c r="C79" s="7"/>
      <c r="D79" s="7"/>
      <c r="E79" s="7"/>
      <c r="F79" s="7"/>
      <c r="G79" s="7"/>
      <c r="H79" s="8"/>
      <c r="K79" s="7">
        <v>0</v>
      </c>
      <c r="L79" s="7">
        <v>300</v>
      </c>
      <c r="M79" s="7"/>
      <c r="N79" s="7">
        <f t="shared" si="1"/>
        <v>0.51100000000000001</v>
      </c>
      <c r="O79" s="7">
        <v>100</v>
      </c>
      <c r="P79" s="9"/>
      <c r="Q79" s="7"/>
      <c r="R79" s="7"/>
      <c r="S79" s="9"/>
      <c r="T79" s="7"/>
      <c r="U79" s="7"/>
      <c r="V79" s="7"/>
      <c r="W79" s="7"/>
      <c r="X79" s="13">
        <v>0</v>
      </c>
      <c r="Y79" s="7">
        <v>11</v>
      </c>
      <c r="Z79" s="9"/>
      <c r="AA79" s="7"/>
      <c r="AB79" s="7"/>
      <c r="AC79" s="7"/>
      <c r="AD79" s="7"/>
    </row>
    <row r="80" spans="1:30" s="6" customFormat="1" x14ac:dyDescent="0.25">
      <c r="B80" s="7"/>
      <c r="C80" s="7"/>
      <c r="D80" s="7"/>
      <c r="E80" s="7"/>
      <c r="F80" s="7"/>
      <c r="G80" s="7"/>
      <c r="H80" s="8"/>
      <c r="K80" s="7">
        <v>35</v>
      </c>
      <c r="L80" s="7">
        <v>450</v>
      </c>
      <c r="M80" s="7"/>
      <c r="N80" s="7">
        <f t="shared" si="1"/>
        <v>0.41299999999999998</v>
      </c>
      <c r="O80" s="7">
        <v>150</v>
      </c>
      <c r="P80" s="9"/>
      <c r="Q80" s="7"/>
      <c r="R80" s="7"/>
      <c r="S80" s="9"/>
      <c r="T80" s="7"/>
      <c r="U80" s="7"/>
      <c r="V80" s="7"/>
      <c r="W80" s="7"/>
      <c r="X80" s="13">
        <v>0</v>
      </c>
      <c r="Y80" s="7">
        <v>15</v>
      </c>
      <c r="Z80" s="9"/>
      <c r="AA80" s="7"/>
      <c r="AB80" s="7"/>
      <c r="AC80" s="7"/>
      <c r="AD80" s="7"/>
    </row>
    <row r="81" spans="2:30" s="6" customFormat="1" x14ac:dyDescent="0.25">
      <c r="B81" s="7"/>
      <c r="C81" s="7"/>
      <c r="D81" s="7"/>
      <c r="E81" s="7"/>
      <c r="F81" s="7"/>
      <c r="G81" s="7"/>
      <c r="H81" s="8"/>
      <c r="K81" s="7">
        <v>144</v>
      </c>
      <c r="L81" s="11">
        <v>650</v>
      </c>
      <c r="M81" s="9"/>
      <c r="N81" s="7">
        <f t="shared" si="1"/>
        <v>0.26599999999999996</v>
      </c>
      <c r="O81" s="7">
        <v>200</v>
      </c>
      <c r="P81" s="9"/>
      <c r="Q81" s="7"/>
      <c r="R81" s="7"/>
      <c r="S81" s="9"/>
      <c r="T81" s="7"/>
      <c r="U81" s="7"/>
      <c r="V81" s="7"/>
      <c r="W81" s="7"/>
      <c r="X81" s="16">
        <v>1</v>
      </c>
      <c r="Y81" s="7">
        <v>16</v>
      </c>
      <c r="Z81" s="9"/>
      <c r="AA81" s="7"/>
      <c r="AB81" s="7"/>
      <c r="AC81" s="7"/>
      <c r="AD81" s="7"/>
    </row>
    <row r="82" spans="2:30" s="6" customFormat="1" x14ac:dyDescent="0.25">
      <c r="B82" s="9"/>
      <c r="C82" s="9"/>
      <c r="D82" s="9"/>
      <c r="E82" s="9"/>
      <c r="F82" s="9"/>
      <c r="G82" s="9"/>
      <c r="H82" s="8"/>
      <c r="K82" s="7"/>
      <c r="L82" s="7"/>
      <c r="M82" s="9"/>
      <c r="N82" s="7">
        <f t="shared" si="1"/>
        <v>0.11899999999999999</v>
      </c>
      <c r="O82" s="7">
        <v>250</v>
      </c>
      <c r="P82" s="9"/>
      <c r="Q82" s="7"/>
      <c r="R82" s="7"/>
      <c r="S82" s="9"/>
      <c r="T82" s="7"/>
      <c r="U82" s="7"/>
      <c r="V82" s="7"/>
      <c r="W82" s="7"/>
      <c r="X82" s="16">
        <v>1</v>
      </c>
      <c r="Y82" s="7">
        <v>23</v>
      </c>
      <c r="Z82" s="9"/>
      <c r="AA82" s="7"/>
      <c r="AB82" s="7"/>
      <c r="AC82" s="7"/>
      <c r="AD82" s="7"/>
    </row>
    <row r="83" spans="2:30" x14ac:dyDescent="0.25">
      <c r="N83" s="7">
        <f t="shared" si="1"/>
        <v>1.3999999999999999E-2</v>
      </c>
      <c r="O83" s="12">
        <v>300</v>
      </c>
      <c r="X83" s="16">
        <v>0</v>
      </c>
      <c r="Y83" s="7">
        <v>26</v>
      </c>
    </row>
    <row r="84" spans="2:30" x14ac:dyDescent="0.25">
      <c r="N84" s="7">
        <f t="shared" si="1"/>
        <v>0</v>
      </c>
      <c r="O84" s="12">
        <v>320</v>
      </c>
      <c r="X84" s="16">
        <v>0</v>
      </c>
      <c r="Y84" s="7">
        <v>30</v>
      </c>
    </row>
    <row r="85" spans="2:30" x14ac:dyDescent="0.25">
      <c r="N85" s="7">
        <f t="shared" si="1"/>
        <v>2.0999999999999998E-2</v>
      </c>
      <c r="O85" s="12">
        <v>350</v>
      </c>
      <c r="X85" s="18">
        <v>1</v>
      </c>
      <c r="Y85" s="7">
        <v>31</v>
      </c>
    </row>
    <row r="86" spans="2:30" x14ac:dyDescent="0.25">
      <c r="N86" s="7">
        <f t="shared" si="1"/>
        <v>0.11899999999999999</v>
      </c>
      <c r="O86" s="12">
        <v>400</v>
      </c>
      <c r="X86" s="18">
        <v>1</v>
      </c>
      <c r="Y86" s="7">
        <v>38</v>
      </c>
    </row>
    <row r="87" spans="2:30" x14ac:dyDescent="0.25">
      <c r="N87" s="7">
        <f t="shared" si="1"/>
        <v>0.28699999999999998</v>
      </c>
      <c r="O87" s="12">
        <v>450</v>
      </c>
      <c r="X87" s="18">
        <v>0</v>
      </c>
      <c r="Y87" s="7">
        <v>41</v>
      </c>
    </row>
    <row r="88" spans="2:30" x14ac:dyDescent="0.25">
      <c r="N88" s="7">
        <f t="shared" si="1"/>
        <v>0.51100000000000001</v>
      </c>
      <c r="O88" s="12">
        <v>500</v>
      </c>
      <c r="X88" s="18">
        <v>0</v>
      </c>
      <c r="Y88" s="7">
        <v>45</v>
      </c>
    </row>
    <row r="89" spans="2:30" x14ac:dyDescent="0.25">
      <c r="N89" s="7">
        <f t="shared" si="1"/>
        <v>0.64400000000000002</v>
      </c>
      <c r="O89" s="12">
        <v>550</v>
      </c>
      <c r="X89" s="20">
        <v>1</v>
      </c>
      <c r="Y89" s="7">
        <v>46</v>
      </c>
    </row>
    <row r="90" spans="2:30" x14ac:dyDescent="0.25">
      <c r="N90" s="7">
        <f t="shared" si="1"/>
        <v>0.7</v>
      </c>
      <c r="O90" s="12">
        <v>600</v>
      </c>
      <c r="X90" s="20">
        <v>1</v>
      </c>
      <c r="Y90" s="7">
        <v>53</v>
      </c>
    </row>
    <row r="91" spans="2:30" x14ac:dyDescent="0.25">
      <c r="X91" s="20">
        <v>0</v>
      </c>
      <c r="Y91" s="7">
        <v>54</v>
      </c>
    </row>
    <row r="92" spans="2:30" x14ac:dyDescent="0.25">
      <c r="X92" s="20">
        <v>0</v>
      </c>
      <c r="Y92" s="7">
        <v>58</v>
      </c>
    </row>
    <row r="93" spans="2:30" x14ac:dyDescent="0.25">
      <c r="X93" s="22">
        <v>1</v>
      </c>
      <c r="Y93" s="7">
        <v>59</v>
      </c>
    </row>
    <row r="94" spans="2:30" x14ac:dyDescent="0.25">
      <c r="X94" s="22">
        <v>1</v>
      </c>
      <c r="Y94" s="7">
        <v>66</v>
      </c>
    </row>
    <row r="95" spans="2:30" x14ac:dyDescent="0.25">
      <c r="X95" s="22">
        <v>0</v>
      </c>
      <c r="Y95" s="7">
        <v>69</v>
      </c>
    </row>
    <row r="96" spans="2:30" x14ac:dyDescent="0.25">
      <c r="X96" s="22">
        <v>0</v>
      </c>
      <c r="Y96" s="7">
        <v>74</v>
      </c>
    </row>
    <row r="97" spans="1:30" x14ac:dyDescent="0.25">
      <c r="X97" s="25">
        <v>1</v>
      </c>
      <c r="Y97" s="7">
        <v>75</v>
      </c>
    </row>
    <row r="98" spans="1:30" x14ac:dyDescent="0.25">
      <c r="X98" s="25">
        <v>1</v>
      </c>
      <c r="Y98" s="7">
        <v>79</v>
      </c>
    </row>
    <row r="99" spans="1:30" x14ac:dyDescent="0.25">
      <c r="X99" s="25">
        <v>0</v>
      </c>
      <c r="Y99" s="7">
        <v>80</v>
      </c>
    </row>
    <row r="100" spans="1:30" x14ac:dyDescent="0.25">
      <c r="X100" s="25">
        <v>0</v>
      </c>
      <c r="Y100" s="7">
        <v>85</v>
      </c>
    </row>
    <row r="101" spans="1:30" x14ac:dyDescent="0.25">
      <c r="X101" s="14">
        <v>1</v>
      </c>
      <c r="Y101" s="7">
        <v>86</v>
      </c>
    </row>
    <row r="102" spans="1:30" x14ac:dyDescent="0.25">
      <c r="X102" s="14">
        <v>1</v>
      </c>
      <c r="Y102" s="7">
        <v>90</v>
      </c>
    </row>
    <row r="103" spans="1:30" x14ac:dyDescent="0.25">
      <c r="X103" s="14">
        <v>0</v>
      </c>
      <c r="Y103" s="7">
        <v>91</v>
      </c>
    </row>
    <row r="104" spans="1:30" x14ac:dyDescent="0.25">
      <c r="X104" s="14">
        <v>0</v>
      </c>
      <c r="Y104" s="7">
        <v>100</v>
      </c>
    </row>
    <row r="106" spans="1:30" s="6" customFormat="1" x14ac:dyDescent="0.25">
      <c r="A106" s="2">
        <v>5</v>
      </c>
      <c r="B106" s="3" t="s">
        <v>0</v>
      </c>
      <c r="C106" s="3" t="s">
        <v>1</v>
      </c>
      <c r="D106" s="3" t="s">
        <v>2</v>
      </c>
      <c r="E106" s="3" t="s">
        <v>3</v>
      </c>
      <c r="F106" s="3" t="s">
        <v>4</v>
      </c>
      <c r="G106" s="3" t="s">
        <v>5</v>
      </c>
      <c r="H106" s="4"/>
      <c r="I106" s="4"/>
      <c r="J106" s="4"/>
      <c r="K106" s="3" t="s">
        <v>6</v>
      </c>
      <c r="L106" s="3" t="s">
        <v>7</v>
      </c>
      <c r="M106" s="10" t="s">
        <v>23</v>
      </c>
      <c r="N106" s="3" t="s">
        <v>8</v>
      </c>
      <c r="O106" s="3" t="s">
        <v>9</v>
      </c>
      <c r="P106" s="5"/>
      <c r="Q106" s="3" t="s">
        <v>10</v>
      </c>
      <c r="R106" s="3" t="s">
        <v>11</v>
      </c>
      <c r="S106" s="5"/>
      <c r="T106" s="3" t="s">
        <v>12</v>
      </c>
      <c r="U106" s="3" t="s">
        <v>13</v>
      </c>
      <c r="V106" s="3" t="s">
        <v>14</v>
      </c>
      <c r="W106" s="3" t="s">
        <v>15</v>
      </c>
      <c r="X106" s="3" t="s">
        <v>16</v>
      </c>
      <c r="Y106" s="3" t="s">
        <v>17</v>
      </c>
      <c r="Z106" s="5"/>
      <c r="AA106" s="3" t="s">
        <v>18</v>
      </c>
      <c r="AB106" s="3" t="s">
        <v>19</v>
      </c>
      <c r="AC106" s="3" t="s">
        <v>20</v>
      </c>
      <c r="AD106" s="3" t="s">
        <v>21</v>
      </c>
    </row>
    <row r="107" spans="1:30" s="6" customFormat="1" x14ac:dyDescent="0.25">
      <c r="B107" s="7">
        <v>15750</v>
      </c>
      <c r="C107" s="7">
        <v>25</v>
      </c>
      <c r="D107" s="7">
        <v>1000000</v>
      </c>
      <c r="E107" s="7">
        <v>10000</v>
      </c>
      <c r="F107" s="7">
        <v>100</v>
      </c>
      <c r="G107" s="7">
        <v>600</v>
      </c>
      <c r="H107" s="8"/>
      <c r="K107" s="7">
        <v>140</v>
      </c>
      <c r="L107" s="7">
        <v>1</v>
      </c>
      <c r="M107" s="7">
        <v>805</v>
      </c>
      <c r="N107" s="7">
        <v>0.63700000000000001</v>
      </c>
      <c r="O107" s="7">
        <v>1</v>
      </c>
      <c r="P107" s="9"/>
      <c r="Q107" s="7">
        <v>1</v>
      </c>
      <c r="R107" s="7">
        <v>1</v>
      </c>
      <c r="S107" s="9"/>
      <c r="T107" s="7">
        <v>0</v>
      </c>
      <c r="U107" s="7">
        <v>1</v>
      </c>
      <c r="V107" s="7">
        <v>2</v>
      </c>
      <c r="W107" s="7">
        <v>1</v>
      </c>
      <c r="X107" s="13">
        <v>1</v>
      </c>
      <c r="Y107" s="7">
        <v>1</v>
      </c>
      <c r="Z107" s="9"/>
      <c r="AA107" s="7">
        <v>0.1</v>
      </c>
      <c r="AB107" s="7">
        <v>1</v>
      </c>
      <c r="AC107" s="7">
        <v>1</v>
      </c>
      <c r="AD107" s="7">
        <v>1</v>
      </c>
    </row>
    <row r="108" spans="1:30" s="6" customFormat="1" x14ac:dyDescent="0.25">
      <c r="B108" s="7"/>
      <c r="C108" s="7"/>
      <c r="D108" s="7"/>
      <c r="E108" s="7"/>
      <c r="F108" s="7"/>
      <c r="G108" s="7"/>
      <c r="H108" s="8"/>
      <c r="K108" s="7">
        <v>35</v>
      </c>
      <c r="L108" s="7">
        <v>150</v>
      </c>
      <c r="M108" s="7"/>
      <c r="N108" s="7">
        <v>0.57399999999999995</v>
      </c>
      <c r="O108" s="7">
        <v>50</v>
      </c>
      <c r="P108" s="9"/>
      <c r="Q108" s="7">
        <v>1</v>
      </c>
      <c r="R108" s="7">
        <v>100</v>
      </c>
      <c r="S108" s="9"/>
      <c r="T108" s="7">
        <v>0</v>
      </c>
      <c r="U108" s="7">
        <v>600</v>
      </c>
      <c r="V108" s="7">
        <v>2</v>
      </c>
      <c r="W108" s="7">
        <v>600</v>
      </c>
      <c r="X108" s="13">
        <v>1</v>
      </c>
      <c r="Y108" s="7">
        <v>8</v>
      </c>
      <c r="Z108" s="9"/>
      <c r="AA108" s="7">
        <v>0.1</v>
      </c>
      <c r="AB108" s="7">
        <v>600</v>
      </c>
      <c r="AC108" s="7">
        <v>1</v>
      </c>
      <c r="AD108" s="7">
        <v>100</v>
      </c>
    </row>
    <row r="109" spans="1:30" s="6" customFormat="1" x14ac:dyDescent="0.25">
      <c r="B109" s="7"/>
      <c r="C109" s="7"/>
      <c r="D109" s="7"/>
      <c r="E109" s="7"/>
      <c r="F109" s="7"/>
      <c r="G109" s="7"/>
      <c r="H109" s="8"/>
      <c r="K109" s="7">
        <v>0</v>
      </c>
      <c r="L109" s="7">
        <v>300</v>
      </c>
      <c r="M109" s="7"/>
      <c r="N109" s="7">
        <v>0.51100000000000001</v>
      </c>
      <c r="O109" s="7">
        <v>100</v>
      </c>
      <c r="P109" s="9"/>
      <c r="Q109" s="7"/>
      <c r="R109" s="7"/>
      <c r="S109" s="9"/>
      <c r="T109" s="7"/>
      <c r="U109" s="7"/>
      <c r="V109" s="7"/>
      <c r="W109" s="7"/>
      <c r="X109" s="13">
        <v>0</v>
      </c>
      <c r="Y109" s="7">
        <v>11</v>
      </c>
      <c r="Z109" s="9"/>
      <c r="AA109" s="7"/>
      <c r="AB109" s="7"/>
      <c r="AC109" s="7"/>
      <c r="AD109" s="7"/>
    </row>
    <row r="110" spans="1:30" s="6" customFormat="1" x14ac:dyDescent="0.25">
      <c r="B110" s="7"/>
      <c r="C110" s="7"/>
      <c r="D110" s="7"/>
      <c r="E110" s="7"/>
      <c r="F110" s="7"/>
      <c r="G110" s="7"/>
      <c r="H110" s="8"/>
      <c r="K110" s="7">
        <v>35</v>
      </c>
      <c r="L110" s="7">
        <v>450</v>
      </c>
      <c r="M110" s="7"/>
      <c r="N110" s="7">
        <v>0.41299999999999998</v>
      </c>
      <c r="O110" s="7">
        <v>150</v>
      </c>
      <c r="P110" s="9"/>
      <c r="Q110" s="7"/>
      <c r="R110" s="7"/>
      <c r="S110" s="9"/>
      <c r="T110" s="7"/>
      <c r="U110" s="7"/>
      <c r="V110" s="7"/>
      <c r="W110" s="7"/>
      <c r="X110" s="13">
        <v>0</v>
      </c>
      <c r="Y110" s="7">
        <v>15</v>
      </c>
      <c r="Z110" s="9"/>
      <c r="AA110" s="7"/>
      <c r="AB110" s="7"/>
      <c r="AC110" s="7"/>
      <c r="AD110" s="7"/>
    </row>
    <row r="111" spans="1:30" s="6" customFormat="1" x14ac:dyDescent="0.25">
      <c r="B111" s="7"/>
      <c r="C111" s="7"/>
      <c r="D111" s="7"/>
      <c r="E111" s="7"/>
      <c r="F111" s="7"/>
      <c r="G111" s="7"/>
      <c r="H111" s="8"/>
      <c r="K111" s="7">
        <v>144</v>
      </c>
      <c r="L111" s="11">
        <v>650</v>
      </c>
      <c r="M111" s="9"/>
      <c r="N111" s="7">
        <v>0.26599999999999996</v>
      </c>
      <c r="O111" s="7">
        <v>200</v>
      </c>
      <c r="P111" s="9"/>
      <c r="Q111" s="7"/>
      <c r="R111" s="7"/>
      <c r="S111" s="9"/>
      <c r="T111" s="7"/>
      <c r="U111" s="7"/>
      <c r="V111" s="7"/>
      <c r="W111" s="7"/>
      <c r="X111" s="16">
        <v>1</v>
      </c>
      <c r="Y111" s="7">
        <v>16</v>
      </c>
      <c r="Z111" s="9"/>
      <c r="AA111" s="7"/>
      <c r="AB111" s="7"/>
      <c r="AC111" s="7"/>
      <c r="AD111" s="7"/>
    </row>
    <row r="112" spans="1:30" s="6" customFormat="1" x14ac:dyDescent="0.25">
      <c r="B112" s="9"/>
      <c r="C112" s="9"/>
      <c r="D112" s="9"/>
      <c r="E112" s="9"/>
      <c r="F112" s="9"/>
      <c r="G112" s="9"/>
      <c r="H112" s="8"/>
      <c r="K112" s="7"/>
      <c r="L112" s="7"/>
      <c r="M112" s="9"/>
      <c r="N112" s="7">
        <v>0.11899999999999999</v>
      </c>
      <c r="O112" s="7">
        <v>250</v>
      </c>
      <c r="P112" s="9"/>
      <c r="Q112" s="7"/>
      <c r="R112" s="7"/>
      <c r="S112" s="9"/>
      <c r="T112" s="7"/>
      <c r="U112" s="7"/>
      <c r="V112" s="7"/>
      <c r="W112" s="7"/>
      <c r="X112" s="16">
        <v>1</v>
      </c>
      <c r="Y112" s="7">
        <v>23</v>
      </c>
      <c r="Z112" s="9"/>
      <c r="AA112" s="7"/>
      <c r="AB112" s="7"/>
      <c r="AC112" s="7"/>
      <c r="AD112" s="7"/>
    </row>
    <row r="113" spans="14:25" x14ac:dyDescent="0.25">
      <c r="N113" s="7">
        <v>1.3999999999999999E-2</v>
      </c>
      <c r="O113" s="12">
        <v>300</v>
      </c>
      <c r="X113" s="16">
        <v>0</v>
      </c>
      <c r="Y113" s="7">
        <v>26</v>
      </c>
    </row>
    <row r="114" spans="14:25" x14ac:dyDescent="0.25">
      <c r="N114" s="7">
        <v>0</v>
      </c>
      <c r="O114" s="12">
        <v>320</v>
      </c>
      <c r="X114" s="16">
        <v>0</v>
      </c>
      <c r="Y114" s="7">
        <v>30</v>
      </c>
    </row>
    <row r="115" spans="14:25" x14ac:dyDescent="0.25">
      <c r="N115" s="7">
        <v>2.0999999999999998E-2</v>
      </c>
      <c r="O115" s="12">
        <v>350</v>
      </c>
      <c r="X115" s="18">
        <v>1</v>
      </c>
      <c r="Y115" s="7">
        <v>31</v>
      </c>
    </row>
    <row r="116" spans="14:25" x14ac:dyDescent="0.25">
      <c r="N116" s="7">
        <v>0.11899999999999999</v>
      </c>
      <c r="O116" s="12">
        <v>400</v>
      </c>
      <c r="X116" s="18">
        <v>1</v>
      </c>
      <c r="Y116" s="7">
        <v>38</v>
      </c>
    </row>
    <row r="117" spans="14:25" x14ac:dyDescent="0.25">
      <c r="N117" s="7">
        <v>0.28699999999999998</v>
      </c>
      <c r="O117" s="12">
        <v>450</v>
      </c>
      <c r="X117" s="18">
        <v>0</v>
      </c>
      <c r="Y117" s="7">
        <v>41</v>
      </c>
    </row>
    <row r="118" spans="14:25" x14ac:dyDescent="0.25">
      <c r="N118" s="7">
        <v>0.51100000000000001</v>
      </c>
      <c r="O118" s="12">
        <v>500</v>
      </c>
      <c r="X118" s="18">
        <v>0</v>
      </c>
      <c r="Y118" s="7">
        <v>45</v>
      </c>
    </row>
    <row r="119" spans="14:25" x14ac:dyDescent="0.25">
      <c r="N119" s="7">
        <v>0.64400000000000002</v>
      </c>
      <c r="O119" s="12">
        <v>550</v>
      </c>
      <c r="X119" s="20">
        <v>1</v>
      </c>
      <c r="Y119" s="7">
        <v>46</v>
      </c>
    </row>
    <row r="120" spans="14:25" x14ac:dyDescent="0.25">
      <c r="N120" s="7">
        <v>0.7</v>
      </c>
      <c r="O120" s="12">
        <v>600</v>
      </c>
      <c r="X120" s="20">
        <v>1</v>
      </c>
      <c r="Y120" s="7">
        <v>53</v>
      </c>
    </row>
    <row r="121" spans="14:25" x14ac:dyDescent="0.25">
      <c r="X121" s="20">
        <v>0</v>
      </c>
      <c r="Y121" s="7">
        <v>54</v>
      </c>
    </row>
    <row r="122" spans="14:25" x14ac:dyDescent="0.25">
      <c r="X122" s="20">
        <v>0</v>
      </c>
      <c r="Y122" s="7">
        <v>58</v>
      </c>
    </row>
    <row r="123" spans="14:25" x14ac:dyDescent="0.25">
      <c r="X123" s="22">
        <v>1</v>
      </c>
      <c r="Y123" s="7">
        <v>59</v>
      </c>
    </row>
    <row r="124" spans="14:25" x14ac:dyDescent="0.25">
      <c r="X124" s="22">
        <v>1</v>
      </c>
      <c r="Y124" s="7">
        <v>66</v>
      </c>
    </row>
    <row r="125" spans="14:25" x14ac:dyDescent="0.25">
      <c r="X125" s="22">
        <v>0</v>
      </c>
      <c r="Y125" s="7">
        <v>69</v>
      </c>
    </row>
    <row r="126" spans="14:25" x14ac:dyDescent="0.25">
      <c r="X126" s="22">
        <v>0</v>
      </c>
      <c r="Y126" s="7">
        <v>74</v>
      </c>
    </row>
    <row r="127" spans="14:25" x14ac:dyDescent="0.25">
      <c r="X127" s="25">
        <v>1</v>
      </c>
      <c r="Y127" s="7">
        <v>75</v>
      </c>
    </row>
    <row r="128" spans="14:25" x14ac:dyDescent="0.25">
      <c r="X128" s="25">
        <v>1</v>
      </c>
      <c r="Y128" s="7">
        <v>79</v>
      </c>
    </row>
    <row r="129" spans="1:30" x14ac:dyDescent="0.25">
      <c r="X129" s="25">
        <v>0</v>
      </c>
      <c r="Y129" s="7">
        <v>80</v>
      </c>
    </row>
    <row r="130" spans="1:30" x14ac:dyDescent="0.25">
      <c r="X130" s="25">
        <v>0</v>
      </c>
      <c r="Y130" s="7">
        <v>85</v>
      </c>
    </row>
    <row r="131" spans="1:30" x14ac:dyDescent="0.25">
      <c r="X131" s="14">
        <v>1</v>
      </c>
      <c r="Y131" s="7">
        <v>86</v>
      </c>
    </row>
    <row r="132" spans="1:30" x14ac:dyDescent="0.25">
      <c r="X132" s="14">
        <v>1</v>
      </c>
      <c r="Y132" s="7">
        <v>90</v>
      </c>
    </row>
    <row r="133" spans="1:30" x14ac:dyDescent="0.25">
      <c r="X133" s="14">
        <v>0</v>
      </c>
      <c r="Y133" s="7">
        <v>91</v>
      </c>
    </row>
    <row r="134" spans="1:30" x14ac:dyDescent="0.25">
      <c r="X134" s="14">
        <v>0</v>
      </c>
      <c r="Y134" s="7">
        <v>100</v>
      </c>
    </row>
    <row r="135" spans="1:30" s="6" customFormat="1" x14ac:dyDescent="0.25">
      <c r="A135" s="2">
        <v>6</v>
      </c>
      <c r="B135" s="3" t="s">
        <v>0</v>
      </c>
      <c r="C135" s="3" t="s">
        <v>1</v>
      </c>
      <c r="D135" s="3" t="s">
        <v>2</v>
      </c>
      <c r="E135" s="3" t="s">
        <v>3</v>
      </c>
      <c r="F135" s="3" t="s">
        <v>4</v>
      </c>
      <c r="G135" s="3" t="s">
        <v>5</v>
      </c>
      <c r="H135" s="4"/>
      <c r="I135" s="4"/>
      <c r="J135" s="4"/>
      <c r="K135" s="3" t="s">
        <v>6</v>
      </c>
      <c r="L135" s="3" t="s">
        <v>7</v>
      </c>
      <c r="M135" s="10" t="s">
        <v>23</v>
      </c>
      <c r="N135" s="3" t="s">
        <v>8</v>
      </c>
      <c r="O135" s="3" t="s">
        <v>9</v>
      </c>
      <c r="P135" s="5"/>
      <c r="Q135" s="3" t="s">
        <v>10</v>
      </c>
      <c r="R135" s="3" t="s">
        <v>11</v>
      </c>
      <c r="S135" s="5"/>
      <c r="T135" s="3" t="s">
        <v>12</v>
      </c>
      <c r="U135" s="3" t="s">
        <v>13</v>
      </c>
      <c r="V135" s="3" t="s">
        <v>14</v>
      </c>
      <c r="W135" s="3" t="s">
        <v>15</v>
      </c>
      <c r="X135" s="3" t="s">
        <v>16</v>
      </c>
      <c r="Y135" s="3" t="s">
        <v>17</v>
      </c>
      <c r="Z135" s="5"/>
      <c r="AA135" s="3" t="s">
        <v>18</v>
      </c>
      <c r="AB135" s="3" t="s">
        <v>19</v>
      </c>
      <c r="AC135" s="3" t="s">
        <v>20</v>
      </c>
      <c r="AD135" s="3" t="s">
        <v>21</v>
      </c>
    </row>
    <row r="136" spans="1:30" s="6" customFormat="1" x14ac:dyDescent="0.25">
      <c r="B136" s="7">
        <v>15750</v>
      </c>
      <c r="C136" s="7">
        <v>25</v>
      </c>
      <c r="D136" s="7">
        <v>1000000</v>
      </c>
      <c r="E136" s="7">
        <v>10000</v>
      </c>
      <c r="F136" s="7">
        <v>100</v>
      </c>
      <c r="G136" s="7">
        <v>600</v>
      </c>
      <c r="H136" s="8"/>
      <c r="K136" s="7">
        <v>140</v>
      </c>
      <c r="L136" s="7">
        <v>1</v>
      </c>
      <c r="M136" s="7">
        <v>805</v>
      </c>
      <c r="N136" s="7">
        <v>0.63700000000000001</v>
      </c>
      <c r="O136" s="7">
        <v>1</v>
      </c>
      <c r="P136" s="9"/>
      <c r="Q136" s="7">
        <v>1</v>
      </c>
      <c r="R136" s="7">
        <v>1</v>
      </c>
      <c r="S136" s="9"/>
      <c r="T136" s="7">
        <v>0</v>
      </c>
      <c r="U136" s="7">
        <v>1</v>
      </c>
      <c r="V136" s="7">
        <v>1.5</v>
      </c>
      <c r="W136" s="7">
        <v>1</v>
      </c>
      <c r="X136" s="13">
        <v>1.5</v>
      </c>
      <c r="Y136" s="7">
        <v>1</v>
      </c>
      <c r="Z136" s="9"/>
      <c r="AA136" s="7">
        <v>0.1</v>
      </c>
      <c r="AB136" s="7">
        <v>1</v>
      </c>
      <c r="AC136" s="7">
        <v>1</v>
      </c>
      <c r="AD136" s="7">
        <v>1</v>
      </c>
    </row>
    <row r="137" spans="1:30" s="6" customFormat="1" x14ac:dyDescent="0.25">
      <c r="B137" s="7"/>
      <c r="C137" s="7"/>
      <c r="D137" s="7"/>
      <c r="E137" s="7"/>
      <c r="F137" s="7"/>
      <c r="G137" s="7"/>
      <c r="H137" s="8"/>
      <c r="K137" s="7">
        <v>35</v>
      </c>
      <c r="L137" s="7">
        <v>150</v>
      </c>
      <c r="M137" s="7"/>
      <c r="N137" s="7">
        <v>0.57399999999999995</v>
      </c>
      <c r="O137" s="7">
        <v>50</v>
      </c>
      <c r="P137" s="9"/>
      <c r="Q137" s="7">
        <v>1</v>
      </c>
      <c r="R137" s="7">
        <v>100</v>
      </c>
      <c r="S137" s="9"/>
      <c r="T137" s="7">
        <v>0</v>
      </c>
      <c r="U137" s="7">
        <v>600</v>
      </c>
      <c r="V137" s="7">
        <v>1.5</v>
      </c>
      <c r="W137" s="7">
        <v>600</v>
      </c>
      <c r="X137" s="13">
        <v>1.5</v>
      </c>
      <c r="Y137" s="7">
        <v>11</v>
      </c>
      <c r="Z137" s="9"/>
      <c r="AA137" s="7">
        <v>0.1</v>
      </c>
      <c r="AB137" s="7">
        <v>600</v>
      </c>
      <c r="AC137" s="7">
        <v>1</v>
      </c>
      <c r="AD137" s="7">
        <v>100</v>
      </c>
    </row>
    <row r="138" spans="1:30" s="6" customFormat="1" x14ac:dyDescent="0.25">
      <c r="B138" s="7"/>
      <c r="C138" s="7"/>
      <c r="D138" s="7"/>
      <c r="E138" s="7"/>
      <c r="F138" s="7"/>
      <c r="G138" s="7"/>
      <c r="H138" s="8"/>
      <c r="K138" s="7">
        <v>0</v>
      </c>
      <c r="L138" s="7">
        <v>300</v>
      </c>
      <c r="M138" s="7"/>
      <c r="N138" s="7">
        <v>0.51100000000000001</v>
      </c>
      <c r="O138" s="7">
        <v>100</v>
      </c>
      <c r="P138" s="9"/>
      <c r="Q138" s="7"/>
      <c r="R138" s="7"/>
      <c r="S138" s="9"/>
      <c r="T138" s="7"/>
      <c r="U138" s="7"/>
      <c r="V138" s="7"/>
      <c r="W138" s="7"/>
      <c r="X138" s="13">
        <v>0</v>
      </c>
      <c r="Y138" s="7">
        <v>15</v>
      </c>
      <c r="Z138" s="9"/>
      <c r="AA138" s="7"/>
      <c r="AB138" s="7"/>
      <c r="AC138" s="7"/>
      <c r="AD138" s="7"/>
    </row>
    <row r="139" spans="1:30" s="6" customFormat="1" x14ac:dyDescent="0.25">
      <c r="B139" s="7"/>
      <c r="C139" s="7"/>
      <c r="D139" s="7"/>
      <c r="E139" s="7"/>
      <c r="F139" s="7"/>
      <c r="G139" s="7"/>
      <c r="H139" s="8"/>
      <c r="K139" s="7">
        <v>35</v>
      </c>
      <c r="L139" s="7">
        <v>450</v>
      </c>
      <c r="M139" s="7"/>
      <c r="N139" s="7">
        <v>0.41299999999999998</v>
      </c>
      <c r="O139" s="7">
        <v>150</v>
      </c>
      <c r="P139" s="9"/>
      <c r="Q139" s="7"/>
      <c r="R139" s="7"/>
      <c r="S139" s="9"/>
      <c r="T139" s="7"/>
      <c r="U139" s="7"/>
      <c r="V139" s="7"/>
      <c r="W139" s="7"/>
      <c r="X139" s="13">
        <v>0</v>
      </c>
      <c r="Y139" s="7">
        <v>18</v>
      </c>
      <c r="Z139" s="9"/>
      <c r="AA139" s="7"/>
      <c r="AB139" s="7"/>
      <c r="AC139" s="7"/>
      <c r="AD139" s="7"/>
    </row>
    <row r="140" spans="1:30" s="6" customFormat="1" x14ac:dyDescent="0.25">
      <c r="B140" s="7"/>
      <c r="C140" s="7"/>
      <c r="D140" s="7"/>
      <c r="E140" s="7"/>
      <c r="F140" s="7"/>
      <c r="G140" s="7"/>
      <c r="H140" s="8"/>
      <c r="K140" s="7">
        <v>144</v>
      </c>
      <c r="L140" s="11">
        <v>650</v>
      </c>
      <c r="M140" s="9"/>
      <c r="N140" s="7">
        <v>0.26599999999999996</v>
      </c>
      <c r="O140" s="7">
        <v>200</v>
      </c>
      <c r="P140" s="9"/>
      <c r="Q140" s="7"/>
      <c r="R140" s="7"/>
      <c r="S140" s="9"/>
      <c r="T140" s="7"/>
      <c r="U140" s="7"/>
      <c r="V140" s="7"/>
      <c r="W140" s="7"/>
      <c r="X140" s="16">
        <v>0.9</v>
      </c>
      <c r="Y140" s="7">
        <v>19</v>
      </c>
      <c r="Z140" s="9"/>
      <c r="AA140" s="7"/>
      <c r="AB140" s="7"/>
      <c r="AC140" s="7"/>
      <c r="AD140" s="7"/>
    </row>
    <row r="141" spans="1:30" s="6" customFormat="1" x14ac:dyDescent="0.25">
      <c r="B141" s="9"/>
      <c r="C141" s="9"/>
      <c r="D141" s="9"/>
      <c r="E141" s="9"/>
      <c r="F141" s="9"/>
      <c r="G141" s="9"/>
      <c r="H141" s="8"/>
      <c r="K141" s="7"/>
      <c r="L141" s="7"/>
      <c r="M141" s="9"/>
      <c r="N141" s="7">
        <v>0.11899999999999999</v>
      </c>
      <c r="O141" s="7">
        <v>250</v>
      </c>
      <c r="P141" s="9"/>
      <c r="Q141" s="7"/>
      <c r="R141" s="7"/>
      <c r="S141" s="9"/>
      <c r="T141" s="7"/>
      <c r="U141" s="7"/>
      <c r="V141" s="7"/>
      <c r="W141" s="7"/>
      <c r="X141" s="16">
        <v>0.9</v>
      </c>
      <c r="Y141" s="7">
        <v>30</v>
      </c>
      <c r="Z141" s="9"/>
      <c r="AA141" s="7"/>
      <c r="AB141" s="7"/>
      <c r="AC141" s="7"/>
      <c r="AD141" s="7"/>
    </row>
    <row r="142" spans="1:30" x14ac:dyDescent="0.25">
      <c r="N142" s="7">
        <v>1.3999999999999999E-2</v>
      </c>
      <c r="O142" s="12">
        <v>300</v>
      </c>
      <c r="X142" s="16">
        <v>0</v>
      </c>
      <c r="Y142" s="7">
        <v>33</v>
      </c>
    </row>
    <row r="143" spans="1:30" x14ac:dyDescent="0.25">
      <c r="N143" s="7">
        <v>0</v>
      </c>
      <c r="O143" s="12">
        <v>320</v>
      </c>
      <c r="X143" s="16">
        <v>0</v>
      </c>
      <c r="Y143" s="7">
        <v>36</v>
      </c>
    </row>
    <row r="144" spans="1:30" x14ac:dyDescent="0.25">
      <c r="N144" s="7">
        <v>2.0999999999999998E-2</v>
      </c>
      <c r="O144" s="12">
        <v>350</v>
      </c>
      <c r="X144" s="18">
        <v>1</v>
      </c>
      <c r="Y144" s="7">
        <v>37</v>
      </c>
    </row>
    <row r="145" spans="14:25" x14ac:dyDescent="0.25">
      <c r="N145" s="7">
        <v>0.11899999999999999</v>
      </c>
      <c r="O145" s="12">
        <v>400</v>
      </c>
      <c r="X145" s="18">
        <v>1</v>
      </c>
      <c r="Y145" s="7">
        <v>48</v>
      </c>
    </row>
    <row r="146" spans="14:25" x14ac:dyDescent="0.25">
      <c r="N146" s="7">
        <v>0.28699999999999998</v>
      </c>
      <c r="O146" s="12">
        <v>450</v>
      </c>
      <c r="X146" s="18">
        <v>0</v>
      </c>
      <c r="Y146" s="7">
        <v>51</v>
      </c>
    </row>
    <row r="147" spans="14:25" x14ac:dyDescent="0.25">
      <c r="N147" s="7">
        <v>0.51100000000000001</v>
      </c>
      <c r="O147" s="12">
        <v>500</v>
      </c>
      <c r="X147" s="18">
        <v>0</v>
      </c>
      <c r="Y147" s="7">
        <v>55</v>
      </c>
    </row>
    <row r="148" spans="14:25" x14ac:dyDescent="0.25">
      <c r="N148" s="7">
        <v>0.64400000000000002</v>
      </c>
      <c r="O148" s="12">
        <v>550</v>
      </c>
      <c r="X148" s="20">
        <v>1</v>
      </c>
      <c r="Y148" s="7">
        <v>56</v>
      </c>
    </row>
    <row r="149" spans="14:25" x14ac:dyDescent="0.25">
      <c r="N149" s="7">
        <v>0.7</v>
      </c>
      <c r="O149" s="12">
        <v>600</v>
      </c>
      <c r="X149" s="20">
        <v>1</v>
      </c>
      <c r="Y149" s="7">
        <v>67</v>
      </c>
    </row>
    <row r="150" spans="14:25" x14ac:dyDescent="0.25">
      <c r="X150" s="20">
        <v>0</v>
      </c>
      <c r="Y150" s="7">
        <v>71</v>
      </c>
    </row>
    <row r="151" spans="14:25" x14ac:dyDescent="0.25">
      <c r="X151" s="20">
        <v>0</v>
      </c>
      <c r="Y151" s="7">
        <v>74</v>
      </c>
    </row>
    <row r="152" spans="14:25" x14ac:dyDescent="0.25">
      <c r="X152" s="22">
        <v>0.5</v>
      </c>
      <c r="Y152" s="7">
        <v>75</v>
      </c>
    </row>
    <row r="153" spans="14:25" x14ac:dyDescent="0.25">
      <c r="X153" s="22">
        <v>0.5</v>
      </c>
      <c r="Y153" s="7">
        <v>86</v>
      </c>
    </row>
    <row r="154" spans="14:25" x14ac:dyDescent="0.25">
      <c r="X154" s="22">
        <v>0</v>
      </c>
      <c r="Y154" s="7">
        <v>90</v>
      </c>
    </row>
    <row r="155" spans="14:25" x14ac:dyDescent="0.25">
      <c r="X155" s="22">
        <v>0</v>
      </c>
      <c r="Y155" s="7">
        <v>93</v>
      </c>
    </row>
    <row r="156" spans="14:25" x14ac:dyDescent="0.25">
      <c r="X156" s="25">
        <v>0.5</v>
      </c>
      <c r="Y156" s="7">
        <v>94</v>
      </c>
    </row>
    <row r="157" spans="14:25" x14ac:dyDescent="0.25">
      <c r="X157" s="25">
        <v>0.5</v>
      </c>
      <c r="Y157" s="7">
        <v>96</v>
      </c>
    </row>
    <row r="158" spans="14:25" x14ac:dyDescent="0.25">
      <c r="X158" s="25">
        <v>0</v>
      </c>
      <c r="Y158" s="7">
        <v>97</v>
      </c>
    </row>
    <row r="159" spans="14:25" x14ac:dyDescent="0.25">
      <c r="X159" s="25">
        <v>0</v>
      </c>
      <c r="Y159" s="7">
        <v>100</v>
      </c>
    </row>
    <row r="162" spans="1:30" s="6" customFormat="1" x14ac:dyDescent="0.25">
      <c r="A162" s="2">
        <v>7</v>
      </c>
      <c r="B162" s="3" t="s">
        <v>0</v>
      </c>
      <c r="C162" s="3" t="s">
        <v>1</v>
      </c>
      <c r="D162" s="3" t="s">
        <v>2</v>
      </c>
      <c r="E162" s="3" t="s">
        <v>3</v>
      </c>
      <c r="F162" s="3" t="s">
        <v>4</v>
      </c>
      <c r="G162" s="3" t="s">
        <v>5</v>
      </c>
      <c r="H162" s="4"/>
      <c r="I162" s="4"/>
      <c r="J162" s="4"/>
      <c r="K162" s="3" t="s">
        <v>6</v>
      </c>
      <c r="L162" s="3" t="s">
        <v>7</v>
      </c>
      <c r="M162" s="10" t="s">
        <v>23</v>
      </c>
      <c r="N162" s="3" t="s">
        <v>8</v>
      </c>
      <c r="O162" s="3" t="s">
        <v>9</v>
      </c>
      <c r="P162" s="5"/>
      <c r="Q162" s="3" t="s">
        <v>10</v>
      </c>
      <c r="R162" s="3" t="s">
        <v>11</v>
      </c>
      <c r="S162" s="5"/>
      <c r="T162" s="3" t="s">
        <v>12</v>
      </c>
      <c r="U162" s="3" t="s">
        <v>13</v>
      </c>
      <c r="V162" s="3" t="s">
        <v>14</v>
      </c>
      <c r="W162" s="3" t="s">
        <v>15</v>
      </c>
      <c r="X162" s="3" t="s">
        <v>16</v>
      </c>
      <c r="Y162" s="3" t="s">
        <v>17</v>
      </c>
      <c r="Z162" s="5"/>
      <c r="AA162" s="3" t="s">
        <v>18</v>
      </c>
      <c r="AB162" s="3" t="s">
        <v>19</v>
      </c>
      <c r="AC162" s="3" t="s">
        <v>20</v>
      </c>
      <c r="AD162" s="3" t="s">
        <v>21</v>
      </c>
    </row>
    <row r="163" spans="1:30" s="6" customFormat="1" x14ac:dyDescent="0.25">
      <c r="B163" s="7">
        <v>15750</v>
      </c>
      <c r="C163" s="7">
        <v>25</v>
      </c>
      <c r="D163" s="7">
        <v>1000000</v>
      </c>
      <c r="E163" s="7">
        <v>10000</v>
      </c>
      <c r="F163" s="7">
        <v>100</v>
      </c>
      <c r="G163" s="7">
        <v>600</v>
      </c>
      <c r="H163" s="8"/>
      <c r="K163" s="7">
        <v>140</v>
      </c>
      <c r="L163" s="7">
        <v>1</v>
      </c>
      <c r="M163" s="7">
        <v>805</v>
      </c>
      <c r="N163" s="7">
        <v>0.63700000000000001</v>
      </c>
      <c r="O163" s="7">
        <v>1</v>
      </c>
      <c r="P163" s="9"/>
      <c r="Q163" s="7">
        <v>1</v>
      </c>
      <c r="R163" s="7">
        <v>1</v>
      </c>
      <c r="S163" s="9"/>
      <c r="T163" s="7">
        <v>0</v>
      </c>
      <c r="U163" s="7">
        <v>1</v>
      </c>
      <c r="V163" s="7">
        <v>1.5</v>
      </c>
      <c r="W163" s="7">
        <v>1</v>
      </c>
      <c r="X163" s="13">
        <v>2</v>
      </c>
      <c r="Y163" s="7">
        <v>1</v>
      </c>
      <c r="Z163" s="9"/>
      <c r="AA163" s="7">
        <v>0.1</v>
      </c>
      <c r="AB163" s="7">
        <v>1</v>
      </c>
      <c r="AC163" s="7">
        <v>1</v>
      </c>
      <c r="AD163" s="7">
        <v>1</v>
      </c>
    </row>
    <row r="164" spans="1:30" s="6" customFormat="1" x14ac:dyDescent="0.25">
      <c r="B164" s="7"/>
      <c r="C164" s="7"/>
      <c r="D164" s="7"/>
      <c r="E164" s="7"/>
      <c r="F164" s="7"/>
      <c r="G164" s="7"/>
      <c r="H164" s="8"/>
      <c r="K164" s="7">
        <v>35</v>
      </c>
      <c r="L164" s="7">
        <v>150</v>
      </c>
      <c r="M164" s="7"/>
      <c r="N164" s="7">
        <v>0.57399999999999995</v>
      </c>
      <c r="O164" s="7">
        <v>50</v>
      </c>
      <c r="P164" s="9"/>
      <c r="Q164" s="7">
        <v>1</v>
      </c>
      <c r="R164" s="7">
        <v>100</v>
      </c>
      <c r="S164" s="9"/>
      <c r="T164" s="7">
        <v>0</v>
      </c>
      <c r="U164" s="7">
        <v>600</v>
      </c>
      <c r="V164" s="7">
        <v>1.5</v>
      </c>
      <c r="W164" s="7">
        <v>600</v>
      </c>
      <c r="X164" s="13">
        <v>2</v>
      </c>
      <c r="Y164" s="7">
        <v>8</v>
      </c>
      <c r="Z164" s="9"/>
      <c r="AA164" s="7">
        <v>0.1</v>
      </c>
      <c r="AB164" s="7">
        <v>600</v>
      </c>
      <c r="AC164" s="7">
        <v>1</v>
      </c>
      <c r="AD164" s="7">
        <v>100</v>
      </c>
    </row>
    <row r="165" spans="1:30" s="6" customFormat="1" x14ac:dyDescent="0.25">
      <c r="B165" s="7"/>
      <c r="C165" s="7"/>
      <c r="D165" s="7"/>
      <c r="E165" s="7"/>
      <c r="F165" s="7"/>
      <c r="G165" s="7"/>
      <c r="H165" s="8"/>
      <c r="K165" s="7">
        <v>0</v>
      </c>
      <c r="L165" s="7">
        <v>300</v>
      </c>
      <c r="M165" s="7"/>
      <c r="N165" s="7">
        <v>0.51100000000000001</v>
      </c>
      <c r="O165" s="7">
        <v>100</v>
      </c>
      <c r="P165" s="9"/>
      <c r="Q165" s="7"/>
      <c r="R165" s="7"/>
      <c r="S165" s="9"/>
      <c r="T165" s="7"/>
      <c r="U165" s="7"/>
      <c r="V165" s="7"/>
      <c r="W165" s="7"/>
      <c r="X165" s="13">
        <v>0</v>
      </c>
      <c r="Y165" s="7">
        <v>12</v>
      </c>
      <c r="Z165" s="9"/>
      <c r="AA165" s="7"/>
      <c r="AB165" s="7"/>
      <c r="AC165" s="7"/>
      <c r="AD165" s="7"/>
    </row>
    <row r="166" spans="1:30" s="6" customFormat="1" x14ac:dyDescent="0.25">
      <c r="B166" s="7"/>
      <c r="C166" s="7"/>
      <c r="D166" s="7"/>
      <c r="E166" s="7"/>
      <c r="F166" s="7"/>
      <c r="G166" s="7"/>
      <c r="H166" s="8"/>
      <c r="K166" s="7">
        <v>35</v>
      </c>
      <c r="L166" s="7">
        <v>450</v>
      </c>
      <c r="M166" s="7"/>
      <c r="N166" s="7">
        <v>0.41299999999999998</v>
      </c>
      <c r="O166" s="7">
        <v>150</v>
      </c>
      <c r="P166" s="9"/>
      <c r="Q166" s="7"/>
      <c r="R166" s="7"/>
      <c r="S166" s="9"/>
      <c r="T166" s="7"/>
      <c r="U166" s="7"/>
      <c r="V166" s="7"/>
      <c r="W166" s="7"/>
      <c r="X166" s="13">
        <v>0</v>
      </c>
      <c r="Y166" s="7">
        <v>18</v>
      </c>
      <c r="Z166" s="9"/>
      <c r="AA166" s="7"/>
      <c r="AB166" s="7"/>
      <c r="AC166" s="7"/>
      <c r="AD166" s="7"/>
    </row>
    <row r="167" spans="1:30" s="6" customFormat="1" x14ac:dyDescent="0.25">
      <c r="B167" s="7"/>
      <c r="C167" s="7"/>
      <c r="D167" s="7"/>
      <c r="E167" s="7"/>
      <c r="F167" s="7"/>
      <c r="G167" s="7"/>
      <c r="H167" s="8"/>
      <c r="K167" s="7">
        <v>144</v>
      </c>
      <c r="L167" s="11">
        <v>650</v>
      </c>
      <c r="M167" s="9"/>
      <c r="N167" s="7">
        <v>0.26599999999999996</v>
      </c>
      <c r="O167" s="7">
        <v>200</v>
      </c>
      <c r="P167" s="9"/>
      <c r="Q167" s="7"/>
      <c r="R167" s="7"/>
      <c r="S167" s="9"/>
      <c r="T167" s="7"/>
      <c r="U167" s="7"/>
      <c r="V167" s="7"/>
      <c r="W167" s="7"/>
      <c r="X167" s="16">
        <v>0.9</v>
      </c>
      <c r="Y167" s="7">
        <v>19</v>
      </c>
      <c r="Z167" s="9"/>
      <c r="AA167" s="7"/>
      <c r="AB167" s="7"/>
      <c r="AC167" s="7"/>
      <c r="AD167" s="7"/>
    </row>
    <row r="168" spans="1:30" s="6" customFormat="1" x14ac:dyDescent="0.25">
      <c r="B168" s="9"/>
      <c r="C168" s="9"/>
      <c r="D168" s="9"/>
      <c r="E168" s="9"/>
      <c r="F168" s="9"/>
      <c r="G168" s="9"/>
      <c r="H168" s="8"/>
      <c r="K168" s="7"/>
      <c r="L168" s="7"/>
      <c r="M168" s="9"/>
      <c r="N168" s="7">
        <v>0.11899999999999999</v>
      </c>
      <c r="O168" s="7">
        <v>250</v>
      </c>
      <c r="P168" s="9"/>
      <c r="Q168" s="7"/>
      <c r="R168" s="7"/>
      <c r="S168" s="9"/>
      <c r="T168" s="7"/>
      <c r="U168" s="7"/>
      <c r="V168" s="7"/>
      <c r="W168" s="7"/>
      <c r="X168" s="16">
        <v>0.9</v>
      </c>
      <c r="Y168" s="7">
        <v>27</v>
      </c>
      <c r="Z168" s="9"/>
      <c r="AA168" s="7"/>
      <c r="AB168" s="7"/>
      <c r="AC168" s="7"/>
      <c r="AD168" s="7"/>
    </row>
    <row r="169" spans="1:30" x14ac:dyDescent="0.25">
      <c r="N169" s="7">
        <v>1.3999999999999999E-2</v>
      </c>
      <c r="O169" s="12">
        <v>300</v>
      </c>
      <c r="X169" s="16">
        <v>0</v>
      </c>
      <c r="Y169" s="7">
        <v>31</v>
      </c>
    </row>
    <row r="170" spans="1:30" x14ac:dyDescent="0.25">
      <c r="N170" s="7">
        <v>0</v>
      </c>
      <c r="O170" s="12">
        <v>320</v>
      </c>
      <c r="X170" s="16">
        <v>0</v>
      </c>
      <c r="Y170" s="7">
        <v>36</v>
      </c>
    </row>
    <row r="171" spans="1:30" x14ac:dyDescent="0.25">
      <c r="N171" s="7">
        <v>2.0999999999999998E-2</v>
      </c>
      <c r="O171" s="12">
        <v>350</v>
      </c>
      <c r="X171" s="18">
        <v>1.1000000000000001</v>
      </c>
      <c r="Y171" s="7">
        <v>37</v>
      </c>
    </row>
    <row r="172" spans="1:30" x14ac:dyDescent="0.25">
      <c r="N172" s="7">
        <v>0.11899999999999999</v>
      </c>
      <c r="O172" s="12">
        <v>400</v>
      </c>
      <c r="X172" s="18">
        <v>1.1000000000000001</v>
      </c>
      <c r="Y172" s="7">
        <v>44</v>
      </c>
    </row>
    <row r="173" spans="1:30" x14ac:dyDescent="0.25">
      <c r="N173" s="7">
        <v>0.28699999999999998</v>
      </c>
      <c r="O173" s="12">
        <v>450</v>
      </c>
      <c r="X173" s="18">
        <v>0</v>
      </c>
      <c r="Y173" s="7">
        <v>48</v>
      </c>
    </row>
    <row r="174" spans="1:30" x14ac:dyDescent="0.25">
      <c r="N174" s="7">
        <v>0.51100000000000001</v>
      </c>
      <c r="O174" s="12">
        <v>500</v>
      </c>
      <c r="X174" s="18">
        <v>0</v>
      </c>
      <c r="Y174" s="7">
        <v>55</v>
      </c>
      <c r="AA174">
        <v>7</v>
      </c>
    </row>
    <row r="175" spans="1:30" x14ac:dyDescent="0.25">
      <c r="N175" s="7">
        <v>0.64400000000000002</v>
      </c>
      <c r="O175" s="12">
        <v>550</v>
      </c>
      <c r="X175" s="20">
        <v>1.1000000000000001</v>
      </c>
      <c r="Y175" s="7">
        <v>56</v>
      </c>
      <c r="AA175">
        <v>4</v>
      </c>
    </row>
    <row r="176" spans="1:30" x14ac:dyDescent="0.25">
      <c r="N176" s="7">
        <v>0.7</v>
      </c>
      <c r="O176" s="12">
        <v>600</v>
      </c>
      <c r="X176" s="20">
        <v>1.1000000000000001</v>
      </c>
      <c r="Y176" s="7">
        <v>63</v>
      </c>
      <c r="AA176">
        <v>6</v>
      </c>
    </row>
    <row r="177" spans="1:30" x14ac:dyDescent="0.25">
      <c r="X177" s="20">
        <v>0</v>
      </c>
      <c r="Y177" s="7">
        <v>67</v>
      </c>
    </row>
    <row r="178" spans="1:30" x14ac:dyDescent="0.25">
      <c r="X178" s="20">
        <v>0</v>
      </c>
      <c r="Y178" s="7">
        <v>74</v>
      </c>
    </row>
    <row r="179" spans="1:30" x14ac:dyDescent="0.25">
      <c r="X179" s="22">
        <v>0.75</v>
      </c>
      <c r="Y179" s="7">
        <v>75</v>
      </c>
    </row>
    <row r="180" spans="1:30" x14ac:dyDescent="0.25">
      <c r="X180" s="22">
        <v>0.75</v>
      </c>
      <c r="Y180" s="7">
        <v>82</v>
      </c>
    </row>
    <row r="181" spans="1:30" x14ac:dyDescent="0.25">
      <c r="X181" s="22">
        <v>0</v>
      </c>
      <c r="Y181" s="7">
        <v>86</v>
      </c>
    </row>
    <row r="182" spans="1:30" x14ac:dyDescent="0.25">
      <c r="X182" s="22">
        <v>0</v>
      </c>
      <c r="Y182" s="7">
        <v>93</v>
      </c>
    </row>
    <row r="183" spans="1:30" x14ac:dyDescent="0.25">
      <c r="X183" s="25">
        <v>0.75</v>
      </c>
      <c r="Y183" s="7">
        <v>94</v>
      </c>
    </row>
    <row r="184" spans="1:30" x14ac:dyDescent="0.25">
      <c r="X184" s="25">
        <v>0.75</v>
      </c>
      <c r="Y184" s="7">
        <v>96</v>
      </c>
    </row>
    <row r="185" spans="1:30" x14ac:dyDescent="0.25">
      <c r="X185" s="25">
        <v>0</v>
      </c>
      <c r="Y185" s="7">
        <v>97</v>
      </c>
    </row>
    <row r="186" spans="1:30" x14ac:dyDescent="0.25">
      <c r="X186" s="25">
        <v>0</v>
      </c>
      <c r="Y186" s="7">
        <v>100</v>
      </c>
    </row>
    <row r="187" spans="1:30" s="6" customFormat="1" x14ac:dyDescent="0.25">
      <c r="A187" s="2">
        <v>8</v>
      </c>
      <c r="B187" s="3" t="s">
        <v>0</v>
      </c>
      <c r="C187" s="3" t="s">
        <v>1</v>
      </c>
      <c r="D187" s="3" t="s">
        <v>2</v>
      </c>
      <c r="E187" s="3" t="s">
        <v>3</v>
      </c>
      <c r="F187" s="3" t="s">
        <v>4</v>
      </c>
      <c r="G187" s="3" t="s">
        <v>5</v>
      </c>
      <c r="H187" s="4"/>
      <c r="I187" s="4"/>
      <c r="J187" s="4"/>
      <c r="K187" s="3" t="s">
        <v>6</v>
      </c>
      <c r="L187" s="3" t="s">
        <v>7</v>
      </c>
      <c r="M187" s="10" t="s">
        <v>23</v>
      </c>
      <c r="N187" s="3" t="s">
        <v>8</v>
      </c>
      <c r="O187" s="3" t="s">
        <v>9</v>
      </c>
      <c r="P187" s="5"/>
      <c r="Q187" s="3" t="s">
        <v>10</v>
      </c>
      <c r="R187" s="3" t="s">
        <v>11</v>
      </c>
      <c r="S187" s="5"/>
      <c r="T187" s="3" t="s">
        <v>12</v>
      </c>
      <c r="U187" s="3" t="s">
        <v>13</v>
      </c>
      <c r="V187" s="3" t="s">
        <v>14</v>
      </c>
      <c r="W187" s="3" t="s">
        <v>15</v>
      </c>
      <c r="X187" s="3" t="s">
        <v>16</v>
      </c>
      <c r="Y187" s="3" t="s">
        <v>17</v>
      </c>
      <c r="Z187" s="5"/>
      <c r="AA187" s="3" t="s">
        <v>18</v>
      </c>
      <c r="AB187" s="3" t="s">
        <v>19</v>
      </c>
      <c r="AC187" s="3" t="s">
        <v>20</v>
      </c>
      <c r="AD187" s="3" t="s">
        <v>21</v>
      </c>
    </row>
    <row r="188" spans="1:30" s="6" customFormat="1" x14ac:dyDescent="0.25">
      <c r="B188" s="7">
        <v>15750</v>
      </c>
      <c r="C188" s="7">
        <v>25</v>
      </c>
      <c r="D188" s="7">
        <v>1000000</v>
      </c>
      <c r="E188" s="7">
        <v>10000</v>
      </c>
      <c r="F188" s="7">
        <v>100</v>
      </c>
      <c r="G188" s="7">
        <v>600</v>
      </c>
      <c r="H188" s="8"/>
      <c r="K188" s="7">
        <v>140</v>
      </c>
      <c r="L188" s="7">
        <v>1</v>
      </c>
      <c r="M188" s="7">
        <v>805</v>
      </c>
      <c r="N188" s="7">
        <v>0.63700000000000001</v>
      </c>
      <c r="O188" s="7">
        <v>1</v>
      </c>
      <c r="P188" s="9"/>
      <c r="Q188" s="7">
        <v>1</v>
      </c>
      <c r="R188" s="7">
        <v>1</v>
      </c>
      <c r="S188" s="9"/>
      <c r="T188" s="7">
        <v>0</v>
      </c>
      <c r="U188" s="7">
        <v>1</v>
      </c>
      <c r="V188" s="7">
        <v>1.5</v>
      </c>
      <c r="W188" s="7">
        <v>1</v>
      </c>
      <c r="X188" s="13">
        <v>1.8</v>
      </c>
      <c r="Y188" s="7">
        <v>1</v>
      </c>
      <c r="Z188" s="9"/>
      <c r="AA188" s="7">
        <v>0.1</v>
      </c>
      <c r="AB188" s="7">
        <v>1</v>
      </c>
      <c r="AC188" s="7">
        <v>1</v>
      </c>
      <c r="AD188" s="7">
        <v>1</v>
      </c>
    </row>
    <row r="189" spans="1:30" s="6" customFormat="1" x14ac:dyDescent="0.25">
      <c r="B189" s="7"/>
      <c r="C189" s="7"/>
      <c r="D189" s="7"/>
      <c r="E189" s="7"/>
      <c r="F189" s="7"/>
      <c r="G189" s="7"/>
      <c r="H189" s="8"/>
      <c r="K189" s="7">
        <v>35</v>
      </c>
      <c r="L189" s="7">
        <v>150</v>
      </c>
      <c r="M189" s="7"/>
      <c r="N189" s="7">
        <v>0.57399999999999995</v>
      </c>
      <c r="O189" s="7">
        <v>50</v>
      </c>
      <c r="P189" s="9"/>
      <c r="Q189" s="7">
        <v>1</v>
      </c>
      <c r="R189" s="7">
        <v>100</v>
      </c>
      <c r="S189" s="9"/>
      <c r="T189" s="7">
        <v>0</v>
      </c>
      <c r="U189" s="7">
        <v>600</v>
      </c>
      <c r="V189" s="7">
        <v>1.5</v>
      </c>
      <c r="W189" s="7">
        <v>600</v>
      </c>
      <c r="X189" s="13">
        <v>1.8</v>
      </c>
      <c r="Y189" s="7">
        <v>8</v>
      </c>
      <c r="Z189" s="9"/>
      <c r="AA189" s="7">
        <v>0.1</v>
      </c>
      <c r="AB189" s="7">
        <v>600</v>
      </c>
      <c r="AC189" s="7">
        <v>1</v>
      </c>
      <c r="AD189" s="7">
        <v>100</v>
      </c>
    </row>
    <row r="190" spans="1:30" s="6" customFormat="1" x14ac:dyDescent="0.25">
      <c r="B190" s="7"/>
      <c r="C190" s="7"/>
      <c r="D190" s="7"/>
      <c r="E190" s="7"/>
      <c r="F190" s="7"/>
      <c r="G190" s="7"/>
      <c r="H190" s="8"/>
      <c r="K190" s="7">
        <v>0</v>
      </c>
      <c r="L190" s="7">
        <v>300</v>
      </c>
      <c r="M190" s="7"/>
      <c r="N190" s="7">
        <v>0.51100000000000001</v>
      </c>
      <c r="O190" s="7">
        <v>100</v>
      </c>
      <c r="P190" s="9"/>
      <c r="Q190" s="7"/>
      <c r="R190" s="7"/>
      <c r="S190" s="9"/>
      <c r="T190" s="7"/>
      <c r="U190" s="7"/>
      <c r="V190" s="7"/>
      <c r="W190" s="7"/>
      <c r="X190" s="13">
        <v>0</v>
      </c>
      <c r="Y190" s="7">
        <v>12</v>
      </c>
      <c r="Z190" s="9"/>
      <c r="AA190" s="7"/>
      <c r="AB190" s="7"/>
      <c r="AC190" s="7"/>
      <c r="AD190" s="7"/>
    </row>
    <row r="191" spans="1:30" s="6" customFormat="1" x14ac:dyDescent="0.25">
      <c r="B191" s="7"/>
      <c r="C191" s="7"/>
      <c r="D191" s="7"/>
      <c r="E191" s="7"/>
      <c r="F191" s="7"/>
      <c r="G191" s="7"/>
      <c r="H191" s="8"/>
      <c r="K191" s="7">
        <v>35</v>
      </c>
      <c r="L191" s="7">
        <v>450</v>
      </c>
      <c r="M191" s="7"/>
      <c r="N191" s="7">
        <v>0.41299999999999998</v>
      </c>
      <c r="O191" s="7">
        <v>150</v>
      </c>
      <c r="P191" s="9"/>
      <c r="Q191" s="7"/>
      <c r="R191" s="7"/>
      <c r="S191" s="9"/>
      <c r="T191" s="7"/>
      <c r="U191" s="7"/>
      <c r="V191" s="7"/>
      <c r="W191" s="7"/>
      <c r="X191" s="13">
        <v>0</v>
      </c>
      <c r="Y191" s="7">
        <v>18</v>
      </c>
      <c r="Z191" s="9"/>
      <c r="AA191" s="7"/>
      <c r="AB191" s="7"/>
      <c r="AC191" s="7"/>
      <c r="AD191" s="7"/>
    </row>
    <row r="192" spans="1:30" s="6" customFormat="1" x14ac:dyDescent="0.25">
      <c r="B192" s="7"/>
      <c r="C192" s="7"/>
      <c r="D192" s="7"/>
      <c r="E192" s="7"/>
      <c r="F192" s="7"/>
      <c r="G192" s="7"/>
      <c r="H192" s="8"/>
      <c r="K192" s="7">
        <v>144</v>
      </c>
      <c r="L192" s="11">
        <v>650</v>
      </c>
      <c r="M192" s="9"/>
      <c r="N192" s="7">
        <v>0.26599999999999996</v>
      </c>
      <c r="O192" s="7">
        <v>200</v>
      </c>
      <c r="P192" s="9"/>
      <c r="Q192" s="7"/>
      <c r="R192" s="7"/>
      <c r="S192" s="9"/>
      <c r="T192" s="7"/>
      <c r="U192" s="7"/>
      <c r="V192" s="7"/>
      <c r="W192" s="7"/>
      <c r="X192" s="16">
        <v>1</v>
      </c>
      <c r="Y192" s="7">
        <v>19</v>
      </c>
      <c r="Z192" s="9"/>
      <c r="AA192" s="7"/>
      <c r="AB192" s="7"/>
      <c r="AC192" s="7"/>
      <c r="AD192" s="7"/>
    </row>
    <row r="193" spans="2:30" s="6" customFormat="1" x14ac:dyDescent="0.25">
      <c r="B193" s="9"/>
      <c r="C193" s="9"/>
      <c r="D193" s="9"/>
      <c r="E193" s="9"/>
      <c r="F193" s="9"/>
      <c r="G193" s="9"/>
      <c r="H193" s="8"/>
      <c r="K193" s="7"/>
      <c r="L193" s="7"/>
      <c r="M193" s="9"/>
      <c r="N193" s="7">
        <v>0.11899999999999999</v>
      </c>
      <c r="O193" s="7">
        <v>250</v>
      </c>
      <c r="P193" s="9"/>
      <c r="Q193" s="7"/>
      <c r="R193" s="7"/>
      <c r="S193" s="9"/>
      <c r="T193" s="7"/>
      <c r="U193" s="7"/>
      <c r="V193" s="7"/>
      <c r="W193" s="7"/>
      <c r="X193" s="16">
        <v>1</v>
      </c>
      <c r="Y193" s="7">
        <v>27</v>
      </c>
      <c r="Z193" s="9"/>
      <c r="AA193" s="7"/>
      <c r="AB193" s="7"/>
      <c r="AC193" s="7"/>
      <c r="AD193" s="7"/>
    </row>
    <row r="194" spans="2:30" x14ac:dyDescent="0.25">
      <c r="N194" s="7">
        <v>1.3999999999999999E-2</v>
      </c>
      <c r="O194" s="12">
        <v>300</v>
      </c>
      <c r="X194" s="16">
        <v>0</v>
      </c>
      <c r="Y194" s="7">
        <v>31</v>
      </c>
    </row>
    <row r="195" spans="2:30" x14ac:dyDescent="0.25">
      <c r="N195" s="7">
        <v>0</v>
      </c>
      <c r="O195" s="12">
        <v>320</v>
      </c>
      <c r="X195" s="16">
        <v>0</v>
      </c>
      <c r="Y195" s="7">
        <v>36</v>
      </c>
    </row>
    <row r="196" spans="2:30" x14ac:dyDescent="0.25">
      <c r="N196" s="7">
        <v>2.0999999999999998E-2</v>
      </c>
      <c r="O196" s="12">
        <v>350</v>
      </c>
      <c r="X196" s="18">
        <v>1.1000000000000001</v>
      </c>
      <c r="Y196" s="7">
        <v>37</v>
      </c>
    </row>
    <row r="197" spans="2:30" x14ac:dyDescent="0.25">
      <c r="N197" s="7">
        <v>0.11899999999999999</v>
      </c>
      <c r="O197" s="12">
        <v>400</v>
      </c>
      <c r="X197" s="18">
        <v>1.1000000000000001</v>
      </c>
      <c r="Y197" s="7">
        <v>44</v>
      </c>
    </row>
    <row r="198" spans="2:30" x14ac:dyDescent="0.25">
      <c r="N198" s="7">
        <v>0.28699999999999998</v>
      </c>
      <c r="O198" s="12">
        <v>450</v>
      </c>
      <c r="X198" s="18">
        <v>0</v>
      </c>
      <c r="Y198" s="7">
        <v>48</v>
      </c>
    </row>
    <row r="199" spans="2:30" x14ac:dyDescent="0.25">
      <c r="N199" s="7">
        <v>0.51100000000000001</v>
      </c>
      <c r="O199" s="12">
        <v>500</v>
      </c>
      <c r="X199" s="18">
        <v>0</v>
      </c>
      <c r="Y199" s="7">
        <v>55</v>
      </c>
    </row>
    <row r="200" spans="2:30" x14ac:dyDescent="0.25">
      <c r="N200" s="7">
        <v>0.64400000000000002</v>
      </c>
      <c r="O200" s="12">
        <v>550</v>
      </c>
      <c r="X200" s="20">
        <v>1.1000000000000001</v>
      </c>
      <c r="Y200" s="7">
        <v>56</v>
      </c>
    </row>
    <row r="201" spans="2:30" x14ac:dyDescent="0.25">
      <c r="N201" s="7">
        <v>0.7</v>
      </c>
      <c r="O201" s="12">
        <v>600</v>
      </c>
      <c r="X201" s="20">
        <v>1.1000000000000001</v>
      </c>
      <c r="Y201" s="7">
        <v>63</v>
      </c>
    </row>
    <row r="202" spans="2:30" x14ac:dyDescent="0.25">
      <c r="X202" s="20">
        <v>0</v>
      </c>
      <c r="Y202" s="7">
        <v>67</v>
      </c>
    </row>
    <row r="203" spans="2:30" x14ac:dyDescent="0.25">
      <c r="X203" s="20">
        <v>0</v>
      </c>
      <c r="Y203" s="7">
        <v>74</v>
      </c>
    </row>
    <row r="204" spans="2:30" x14ac:dyDescent="0.25">
      <c r="X204" s="22">
        <v>1</v>
      </c>
      <c r="Y204" s="7">
        <v>75</v>
      </c>
    </row>
    <row r="205" spans="2:30" x14ac:dyDescent="0.25">
      <c r="X205" s="22">
        <v>1</v>
      </c>
      <c r="Y205" s="7">
        <v>80</v>
      </c>
    </row>
    <row r="206" spans="2:30" x14ac:dyDescent="0.25">
      <c r="X206" s="22">
        <v>0</v>
      </c>
      <c r="Y206" s="7">
        <v>83</v>
      </c>
    </row>
    <row r="207" spans="2:30" x14ac:dyDescent="0.25">
      <c r="X207" s="22">
        <v>0</v>
      </c>
      <c r="Y207" s="7">
        <v>90</v>
      </c>
    </row>
    <row r="208" spans="2:30" x14ac:dyDescent="0.25">
      <c r="X208" s="25">
        <v>0.75</v>
      </c>
      <c r="Y208" s="7">
        <v>91</v>
      </c>
    </row>
    <row r="209" spans="1:30" x14ac:dyDescent="0.25">
      <c r="X209" s="25">
        <v>0.75</v>
      </c>
      <c r="Y209" s="7">
        <v>93</v>
      </c>
    </row>
    <row r="210" spans="1:30" x14ac:dyDescent="0.25">
      <c r="X210" s="25">
        <v>0</v>
      </c>
      <c r="Y210" s="7">
        <v>94</v>
      </c>
    </row>
    <row r="211" spans="1:30" x14ac:dyDescent="0.25">
      <c r="X211" s="25">
        <v>0</v>
      </c>
      <c r="Y211" s="7">
        <v>100</v>
      </c>
    </row>
    <row r="213" spans="1:30" s="6" customFormat="1" x14ac:dyDescent="0.25">
      <c r="A213" s="2">
        <v>9</v>
      </c>
      <c r="B213" s="3" t="s">
        <v>0</v>
      </c>
      <c r="C213" s="3" t="s">
        <v>1</v>
      </c>
      <c r="D213" s="3" t="s">
        <v>2</v>
      </c>
      <c r="E213" s="3" t="s">
        <v>3</v>
      </c>
      <c r="F213" s="3" t="s">
        <v>4</v>
      </c>
      <c r="G213" s="3" t="s">
        <v>5</v>
      </c>
      <c r="H213" s="4"/>
      <c r="I213" s="4"/>
      <c r="J213" s="4"/>
      <c r="K213" s="3" t="s">
        <v>6</v>
      </c>
      <c r="L213" s="3" t="s">
        <v>7</v>
      </c>
      <c r="M213" s="10" t="s">
        <v>23</v>
      </c>
      <c r="N213" s="3" t="s">
        <v>8</v>
      </c>
      <c r="O213" s="3" t="s">
        <v>9</v>
      </c>
      <c r="P213" s="5"/>
      <c r="Q213" s="3" t="s">
        <v>10</v>
      </c>
      <c r="R213" s="3" t="s">
        <v>11</v>
      </c>
      <c r="S213" s="5"/>
      <c r="T213" s="3" t="s">
        <v>12</v>
      </c>
      <c r="U213" s="3" t="s">
        <v>13</v>
      </c>
      <c r="V213" s="3" t="s">
        <v>14</v>
      </c>
      <c r="W213" s="3" t="s">
        <v>15</v>
      </c>
      <c r="X213" s="3" t="s">
        <v>16</v>
      </c>
      <c r="Y213" s="3" t="s">
        <v>17</v>
      </c>
      <c r="Z213" s="5"/>
      <c r="AA213" s="3" t="s">
        <v>18</v>
      </c>
      <c r="AB213" s="3" t="s">
        <v>19</v>
      </c>
      <c r="AC213" s="3" t="s">
        <v>20</v>
      </c>
      <c r="AD213" s="3" t="s">
        <v>21</v>
      </c>
    </row>
    <row r="214" spans="1:30" s="6" customFormat="1" x14ac:dyDescent="0.25">
      <c r="B214" s="7">
        <v>15750</v>
      </c>
      <c r="C214" s="7">
        <v>25</v>
      </c>
      <c r="D214" s="7">
        <v>1000000</v>
      </c>
      <c r="E214" s="7">
        <v>10000</v>
      </c>
      <c r="F214" s="7">
        <v>100</v>
      </c>
      <c r="G214" s="7">
        <v>600</v>
      </c>
      <c r="H214" s="8"/>
      <c r="K214" s="7">
        <v>140</v>
      </c>
      <c r="L214" s="7">
        <v>1</v>
      </c>
      <c r="M214" s="7">
        <v>805</v>
      </c>
      <c r="N214" s="7">
        <v>0.65974999999999995</v>
      </c>
      <c r="O214" s="7">
        <v>1</v>
      </c>
      <c r="P214" s="9"/>
      <c r="Q214" s="7">
        <v>1</v>
      </c>
      <c r="R214" s="7">
        <v>1</v>
      </c>
      <c r="S214" s="9"/>
      <c r="T214" s="7">
        <v>0</v>
      </c>
      <c r="U214" s="7">
        <v>1</v>
      </c>
      <c r="V214" s="7">
        <v>1.5</v>
      </c>
      <c r="W214" s="7">
        <v>1</v>
      </c>
      <c r="X214" s="13">
        <v>0</v>
      </c>
      <c r="Y214" s="7">
        <v>1</v>
      </c>
      <c r="Z214" s="9"/>
      <c r="AA214" s="7">
        <v>0.1</v>
      </c>
      <c r="AB214" s="7">
        <v>1</v>
      </c>
      <c r="AC214" s="7">
        <v>1</v>
      </c>
      <c r="AD214" s="7">
        <v>1</v>
      </c>
    </row>
    <row r="215" spans="1:30" s="6" customFormat="1" x14ac:dyDescent="0.25">
      <c r="B215" s="7"/>
      <c r="C215" s="7"/>
      <c r="D215" s="7"/>
      <c r="E215" s="7"/>
      <c r="F215" s="7"/>
      <c r="G215" s="7"/>
      <c r="H215" s="8"/>
      <c r="K215" s="7">
        <v>35</v>
      </c>
      <c r="L215" s="7">
        <v>150</v>
      </c>
      <c r="M215" s="7"/>
      <c r="N215" s="7">
        <v>0.59449999999999992</v>
      </c>
      <c r="O215" s="7">
        <v>50</v>
      </c>
      <c r="P215" s="9"/>
      <c r="Q215" s="7">
        <v>1</v>
      </c>
      <c r="R215" s="7">
        <v>100</v>
      </c>
      <c r="S215" s="9"/>
      <c r="T215" s="7">
        <v>0</v>
      </c>
      <c r="U215" s="7">
        <v>600</v>
      </c>
      <c r="V215" s="7">
        <v>1.5</v>
      </c>
      <c r="W215" s="7">
        <v>600</v>
      </c>
      <c r="X215" s="13">
        <v>0</v>
      </c>
      <c r="Y215" s="7">
        <v>10</v>
      </c>
      <c r="Z215" s="9"/>
      <c r="AA215" s="7">
        <v>0.1</v>
      </c>
      <c r="AB215" s="7">
        <v>600</v>
      </c>
      <c r="AC215" s="7">
        <v>1</v>
      </c>
      <c r="AD215" s="7">
        <v>100</v>
      </c>
    </row>
    <row r="216" spans="1:30" s="6" customFormat="1" x14ac:dyDescent="0.25">
      <c r="B216" s="7"/>
      <c r="C216" s="7"/>
      <c r="D216" s="7"/>
      <c r="E216" s="7"/>
      <c r="F216" s="7"/>
      <c r="G216" s="7"/>
      <c r="H216" s="8"/>
      <c r="K216" s="7">
        <v>0</v>
      </c>
      <c r="L216" s="7">
        <v>300</v>
      </c>
      <c r="M216" s="7"/>
      <c r="N216" s="7">
        <v>0.52925</v>
      </c>
      <c r="O216" s="7">
        <v>100</v>
      </c>
      <c r="P216" s="9"/>
      <c r="Q216" s="7"/>
      <c r="R216" s="7"/>
      <c r="S216" s="9"/>
      <c r="T216" s="7"/>
      <c r="U216" s="7"/>
      <c r="V216" s="7"/>
      <c r="W216" s="7"/>
      <c r="X216" s="13">
        <v>3</v>
      </c>
      <c r="Y216" s="7">
        <v>11</v>
      </c>
      <c r="Z216" s="9"/>
      <c r="AA216" s="7"/>
      <c r="AB216" s="7"/>
      <c r="AC216" s="7"/>
      <c r="AD216" s="7"/>
    </row>
    <row r="217" spans="1:30" s="6" customFormat="1" x14ac:dyDescent="0.25">
      <c r="B217" s="7"/>
      <c r="C217" s="7"/>
      <c r="D217" s="7"/>
      <c r="E217" s="7"/>
      <c r="F217" s="7"/>
      <c r="G217" s="7"/>
      <c r="H217" s="8"/>
      <c r="K217" s="7">
        <v>35</v>
      </c>
      <c r="L217" s="7">
        <v>450</v>
      </c>
      <c r="M217" s="7"/>
      <c r="N217" s="7">
        <v>0.42774999999999996</v>
      </c>
      <c r="O217" s="7">
        <v>150</v>
      </c>
      <c r="P217" s="9"/>
      <c r="Q217" s="7"/>
      <c r="R217" s="7"/>
      <c r="S217" s="9"/>
      <c r="T217" s="7"/>
      <c r="U217" s="7"/>
      <c r="V217" s="7"/>
      <c r="W217" s="7"/>
      <c r="X217" s="13">
        <v>3</v>
      </c>
      <c r="Y217" s="7">
        <v>14</v>
      </c>
      <c r="Z217" s="9"/>
      <c r="AA217" s="7"/>
      <c r="AB217" s="7"/>
      <c r="AC217" s="7"/>
      <c r="AD217" s="7"/>
    </row>
    <row r="218" spans="1:30" s="6" customFormat="1" x14ac:dyDescent="0.25">
      <c r="B218" s="7"/>
      <c r="C218" s="7"/>
      <c r="D218" s="7"/>
      <c r="E218" s="7"/>
      <c r="F218" s="7"/>
      <c r="G218" s="7"/>
      <c r="H218" s="8"/>
      <c r="K218" s="7">
        <v>144</v>
      </c>
      <c r="L218" s="11">
        <v>650</v>
      </c>
      <c r="M218" s="9"/>
      <c r="N218" s="7">
        <v>0.27549999999999997</v>
      </c>
      <c r="O218" s="7">
        <v>200</v>
      </c>
      <c r="P218" s="9"/>
      <c r="Q218" s="7"/>
      <c r="R218" s="7"/>
      <c r="S218" s="9"/>
      <c r="T218" s="7"/>
      <c r="U218" s="7"/>
      <c r="V218" s="7"/>
      <c r="W218" s="7"/>
      <c r="X218" s="6">
        <v>0</v>
      </c>
      <c r="Y218" s="6">
        <v>15</v>
      </c>
      <c r="Z218" s="9"/>
      <c r="AA218" s="7"/>
      <c r="AB218" s="7"/>
      <c r="AC218" s="7"/>
      <c r="AD218" s="7"/>
    </row>
    <row r="219" spans="1:30" s="6" customFormat="1" x14ac:dyDescent="0.25">
      <c r="B219" s="9"/>
      <c r="C219" s="9"/>
      <c r="D219" s="9"/>
      <c r="E219" s="9"/>
      <c r="F219" s="9"/>
      <c r="G219" s="9"/>
      <c r="H219" s="8"/>
      <c r="K219" s="7"/>
      <c r="L219" s="7"/>
      <c r="M219" s="9"/>
      <c r="N219" s="7">
        <v>0.12325</v>
      </c>
      <c r="O219" s="7">
        <v>250</v>
      </c>
      <c r="P219" s="9"/>
      <c r="Q219" s="7"/>
      <c r="R219" s="7"/>
      <c r="S219" s="9"/>
      <c r="T219" s="7"/>
      <c r="U219" s="7"/>
      <c r="V219" s="7"/>
      <c r="W219" s="7"/>
      <c r="X219" s="6">
        <v>0</v>
      </c>
      <c r="Y219" s="6">
        <v>18</v>
      </c>
      <c r="Z219" s="9"/>
      <c r="AA219" s="7"/>
      <c r="AB219" s="7"/>
      <c r="AC219" s="7"/>
      <c r="AD219" s="7"/>
    </row>
    <row r="220" spans="1:30" x14ac:dyDescent="0.25">
      <c r="N220" s="7">
        <v>1.4499999999999999E-2</v>
      </c>
      <c r="O220" s="12">
        <v>300</v>
      </c>
      <c r="X220" s="16">
        <v>1</v>
      </c>
      <c r="Y220" s="7">
        <v>19</v>
      </c>
    </row>
    <row r="221" spans="1:30" x14ac:dyDescent="0.25">
      <c r="N221" s="7">
        <v>0</v>
      </c>
      <c r="O221" s="12">
        <v>320</v>
      </c>
      <c r="X221" s="16">
        <v>1</v>
      </c>
      <c r="Y221" s="7">
        <v>27</v>
      </c>
    </row>
    <row r="222" spans="1:30" x14ac:dyDescent="0.25">
      <c r="N222" s="7">
        <v>2.1749999999999999E-2</v>
      </c>
      <c r="O222" s="12">
        <v>350</v>
      </c>
      <c r="X222" s="16">
        <v>0</v>
      </c>
      <c r="Y222" s="7">
        <v>31</v>
      </c>
    </row>
    <row r="223" spans="1:30" x14ac:dyDescent="0.25">
      <c r="N223" s="7">
        <v>0.12325</v>
      </c>
      <c r="O223" s="12">
        <v>400</v>
      </c>
      <c r="X223" s="16">
        <v>0</v>
      </c>
      <c r="Y223" s="7">
        <v>36</v>
      </c>
    </row>
    <row r="224" spans="1:30" x14ac:dyDescent="0.25">
      <c r="N224" s="7">
        <v>0.29724999999999996</v>
      </c>
      <c r="O224" s="12">
        <v>450</v>
      </c>
      <c r="X224" s="18">
        <v>1.1000000000000001</v>
      </c>
      <c r="Y224" s="7">
        <v>37</v>
      </c>
    </row>
    <row r="225" spans="14:25" x14ac:dyDescent="0.25">
      <c r="N225" s="7">
        <v>0.52925</v>
      </c>
      <c r="O225" s="12">
        <v>500</v>
      </c>
      <c r="X225" s="18">
        <v>1.1000000000000001</v>
      </c>
      <c r="Y225" s="7">
        <v>44</v>
      </c>
    </row>
    <row r="226" spans="14:25" x14ac:dyDescent="0.25">
      <c r="N226" s="7">
        <v>0.66700000000000004</v>
      </c>
      <c r="O226" s="12">
        <v>550</v>
      </c>
      <c r="X226" s="18">
        <v>0</v>
      </c>
      <c r="Y226" s="7">
        <v>48</v>
      </c>
    </row>
    <row r="227" spans="14:25" x14ac:dyDescent="0.25">
      <c r="N227" s="7">
        <v>0.72499999999999998</v>
      </c>
      <c r="O227" s="12">
        <v>600</v>
      </c>
      <c r="X227" s="18">
        <v>0</v>
      </c>
      <c r="Y227" s="7">
        <v>55</v>
      </c>
    </row>
    <row r="228" spans="14:25" x14ac:dyDescent="0.25">
      <c r="X228" s="20">
        <v>1.1000000000000001</v>
      </c>
      <c r="Y228" s="7">
        <v>56</v>
      </c>
    </row>
    <row r="229" spans="14:25" x14ac:dyDescent="0.25">
      <c r="X229" s="20">
        <v>1.1000000000000001</v>
      </c>
      <c r="Y229" s="7">
        <v>63</v>
      </c>
    </row>
    <row r="230" spans="14:25" x14ac:dyDescent="0.25">
      <c r="X230" s="20">
        <v>0</v>
      </c>
      <c r="Y230" s="7">
        <v>67</v>
      </c>
    </row>
    <row r="231" spans="14:25" x14ac:dyDescent="0.25">
      <c r="X231" s="20">
        <v>0</v>
      </c>
      <c r="Y231" s="7">
        <v>74</v>
      </c>
    </row>
    <row r="232" spans="14:25" x14ac:dyDescent="0.25">
      <c r="X232" s="22">
        <v>1</v>
      </c>
      <c r="Y232" s="7">
        <v>75</v>
      </c>
    </row>
    <row r="233" spans="14:25" x14ac:dyDescent="0.25">
      <c r="X233" s="22">
        <v>1</v>
      </c>
      <c r="Y233" s="7">
        <v>80</v>
      </c>
    </row>
    <row r="234" spans="14:25" x14ac:dyDescent="0.25">
      <c r="X234" s="22">
        <v>0</v>
      </c>
      <c r="Y234" s="7">
        <v>83</v>
      </c>
    </row>
    <row r="235" spans="14:25" x14ac:dyDescent="0.25">
      <c r="X235" s="22">
        <v>0</v>
      </c>
      <c r="Y235" s="7">
        <v>90</v>
      </c>
    </row>
    <row r="236" spans="14:25" x14ac:dyDescent="0.25">
      <c r="X236" s="25">
        <v>0.75</v>
      </c>
      <c r="Y236" s="7">
        <v>91</v>
      </c>
    </row>
    <row r="237" spans="14:25" x14ac:dyDescent="0.25">
      <c r="X237" s="25">
        <v>0.75</v>
      </c>
      <c r="Y237" s="7">
        <v>93</v>
      </c>
    </row>
    <row r="238" spans="14:25" x14ac:dyDescent="0.25">
      <c r="X238" s="25">
        <v>0</v>
      </c>
      <c r="Y238" s="7">
        <v>94</v>
      </c>
    </row>
    <row r="239" spans="14:25" x14ac:dyDescent="0.25">
      <c r="X239" s="25">
        <v>0</v>
      </c>
      <c r="Y239" s="7">
        <v>100</v>
      </c>
    </row>
    <row r="241" spans="1:30" s="6" customFormat="1" x14ac:dyDescent="0.25">
      <c r="A241" s="2">
        <v>10</v>
      </c>
      <c r="B241" s="3" t="s">
        <v>0</v>
      </c>
      <c r="C241" s="3" t="s">
        <v>1</v>
      </c>
      <c r="D241" s="3" t="s">
        <v>2</v>
      </c>
      <c r="E241" s="3" t="s">
        <v>3</v>
      </c>
      <c r="F241" s="3" t="s">
        <v>4</v>
      </c>
      <c r="G241" s="3" t="s">
        <v>5</v>
      </c>
      <c r="H241" s="4"/>
      <c r="I241" s="4"/>
      <c r="J241" s="4"/>
      <c r="K241" s="3" t="s">
        <v>6</v>
      </c>
      <c r="L241" s="3" t="s">
        <v>7</v>
      </c>
      <c r="M241" s="10" t="s">
        <v>23</v>
      </c>
      <c r="N241" s="3" t="s">
        <v>8</v>
      </c>
      <c r="O241" s="3" t="s">
        <v>9</v>
      </c>
      <c r="P241" s="5"/>
      <c r="Q241" s="3" t="s">
        <v>10</v>
      </c>
      <c r="R241" s="3" t="s">
        <v>11</v>
      </c>
      <c r="S241" s="5"/>
      <c r="T241" s="3" t="s">
        <v>12</v>
      </c>
      <c r="U241" s="3" t="s">
        <v>13</v>
      </c>
      <c r="V241" s="3" t="s">
        <v>14</v>
      </c>
      <c r="W241" s="3" t="s">
        <v>15</v>
      </c>
      <c r="X241" s="3" t="s">
        <v>16</v>
      </c>
      <c r="Y241" s="3" t="s">
        <v>17</v>
      </c>
      <c r="Z241" s="5"/>
      <c r="AA241" s="3" t="s">
        <v>18</v>
      </c>
      <c r="AB241" s="3" t="s">
        <v>19</v>
      </c>
      <c r="AC241" s="3" t="s">
        <v>20</v>
      </c>
      <c r="AD241" s="3" t="s">
        <v>21</v>
      </c>
    </row>
    <row r="242" spans="1:30" s="6" customFormat="1" x14ac:dyDescent="0.25">
      <c r="B242" s="7">
        <v>15750</v>
      </c>
      <c r="C242" s="7">
        <v>25</v>
      </c>
      <c r="D242" s="7">
        <v>1000000</v>
      </c>
      <c r="E242" s="7">
        <v>10000</v>
      </c>
      <c r="F242" s="7">
        <v>100</v>
      </c>
      <c r="G242" s="7">
        <v>600</v>
      </c>
      <c r="H242" s="8"/>
      <c r="K242" s="7">
        <v>140</v>
      </c>
      <c r="L242" s="7">
        <v>1</v>
      </c>
      <c r="M242" s="7">
        <v>805</v>
      </c>
      <c r="N242" s="7">
        <v>1.2072831224999998</v>
      </c>
      <c r="O242" s="7">
        <v>1</v>
      </c>
      <c r="P242" s="9"/>
      <c r="Q242" s="7">
        <v>0.1</v>
      </c>
      <c r="R242" s="7">
        <v>1</v>
      </c>
      <c r="S242" s="9"/>
      <c r="T242" s="7">
        <v>0</v>
      </c>
      <c r="U242" s="7">
        <v>1</v>
      </c>
      <c r="V242" s="7">
        <v>1.5</v>
      </c>
      <c r="W242" s="7">
        <v>1</v>
      </c>
      <c r="X242" s="13">
        <v>0</v>
      </c>
      <c r="Y242" s="7">
        <v>1</v>
      </c>
      <c r="Z242" s="9"/>
      <c r="AA242" s="7">
        <v>0.1</v>
      </c>
      <c r="AB242" s="7">
        <v>1</v>
      </c>
      <c r="AC242" s="7">
        <v>1</v>
      </c>
      <c r="AD242" s="7">
        <v>1</v>
      </c>
    </row>
    <row r="243" spans="1:30" s="6" customFormat="1" x14ac:dyDescent="0.25">
      <c r="B243" s="7"/>
      <c r="C243" s="7"/>
      <c r="D243" s="7"/>
      <c r="E243" s="7"/>
      <c r="F243" s="7"/>
      <c r="G243" s="7"/>
      <c r="H243" s="8"/>
      <c r="K243" s="7">
        <v>35</v>
      </c>
      <c r="L243" s="7">
        <v>150</v>
      </c>
      <c r="M243" s="7"/>
      <c r="N243" s="7">
        <v>1.0878814949999998</v>
      </c>
      <c r="O243" s="7">
        <v>50</v>
      </c>
      <c r="P243" s="9"/>
      <c r="Q243" s="7">
        <v>1</v>
      </c>
      <c r="R243" s="7">
        <v>100</v>
      </c>
      <c r="S243" s="9"/>
      <c r="T243" s="7">
        <v>0</v>
      </c>
      <c r="U243" s="7">
        <v>600</v>
      </c>
      <c r="V243" s="7">
        <v>1.5</v>
      </c>
      <c r="W243" s="7">
        <v>600</v>
      </c>
      <c r="X243" s="13">
        <v>0</v>
      </c>
      <c r="Y243" s="7">
        <v>10</v>
      </c>
      <c r="Z243" s="9"/>
      <c r="AA243" s="7">
        <v>0.1</v>
      </c>
      <c r="AB243" s="7">
        <v>600</v>
      </c>
      <c r="AC243" s="7">
        <v>1</v>
      </c>
      <c r="AD243" s="7">
        <v>100</v>
      </c>
    </row>
    <row r="244" spans="1:30" s="6" customFormat="1" x14ac:dyDescent="0.25">
      <c r="B244" s="7"/>
      <c r="C244" s="7"/>
      <c r="D244" s="7"/>
      <c r="E244" s="7"/>
      <c r="F244" s="7"/>
      <c r="G244" s="7"/>
      <c r="H244" s="8"/>
      <c r="K244" s="7">
        <v>0</v>
      </c>
      <c r="L244" s="7">
        <v>300</v>
      </c>
      <c r="M244" s="7"/>
      <c r="N244" s="7">
        <v>0.96847986749999992</v>
      </c>
      <c r="O244" s="7">
        <v>100</v>
      </c>
      <c r="P244" s="9"/>
      <c r="Q244" s="7"/>
      <c r="R244" s="7"/>
      <c r="S244" s="9"/>
      <c r="T244" s="7"/>
      <c r="U244" s="7"/>
      <c r="V244" s="7"/>
      <c r="W244" s="7"/>
      <c r="X244" s="13">
        <v>3</v>
      </c>
      <c r="Y244" s="7">
        <v>11</v>
      </c>
      <c r="Z244" s="9"/>
      <c r="AA244" s="7"/>
      <c r="AB244" s="7"/>
      <c r="AC244" s="7"/>
      <c r="AD244" s="7"/>
    </row>
    <row r="245" spans="1:30" s="6" customFormat="1" x14ac:dyDescent="0.25">
      <c r="B245" s="7"/>
      <c r="C245" s="7"/>
      <c r="D245" s="7"/>
      <c r="E245" s="7"/>
      <c r="F245" s="7"/>
      <c r="G245" s="7"/>
      <c r="H245" s="8"/>
      <c r="K245" s="7">
        <v>35</v>
      </c>
      <c r="L245" s="7">
        <v>450</v>
      </c>
      <c r="M245" s="7"/>
      <c r="N245" s="7">
        <v>0.78274400249999998</v>
      </c>
      <c r="O245" s="7">
        <v>150</v>
      </c>
      <c r="P245" s="9"/>
      <c r="Q245" s="7"/>
      <c r="R245" s="7"/>
      <c r="S245" s="9"/>
      <c r="T245" s="7"/>
      <c r="U245" s="7"/>
      <c r="V245" s="7"/>
      <c r="W245" s="7"/>
      <c r="X245" s="13">
        <v>3</v>
      </c>
      <c r="Y245" s="7">
        <v>14</v>
      </c>
      <c r="Z245" s="9"/>
      <c r="AA245" s="7"/>
      <c r="AB245" s="7"/>
      <c r="AC245" s="7"/>
      <c r="AD245" s="7"/>
    </row>
    <row r="246" spans="1:30" s="6" customFormat="1" x14ac:dyDescent="0.25">
      <c r="B246" s="7"/>
      <c r="C246" s="7"/>
      <c r="D246" s="7"/>
      <c r="E246" s="7"/>
      <c r="F246" s="7"/>
      <c r="G246" s="7"/>
      <c r="H246" s="8"/>
      <c r="K246" s="7">
        <v>144</v>
      </c>
      <c r="L246" s="11">
        <v>650</v>
      </c>
      <c r="M246" s="9"/>
      <c r="N246" s="7">
        <v>0.5041402049999999</v>
      </c>
      <c r="O246" s="7">
        <v>200</v>
      </c>
      <c r="P246" s="9"/>
      <c r="Q246" s="7"/>
      <c r="R246" s="7"/>
      <c r="S246" s="9"/>
      <c r="T246" s="7"/>
      <c r="U246" s="7"/>
      <c r="V246" s="7"/>
      <c r="W246" s="7"/>
      <c r="X246" s="6">
        <v>0</v>
      </c>
      <c r="Y246" s="6">
        <v>15</v>
      </c>
      <c r="Z246" s="9"/>
      <c r="AA246" s="7"/>
      <c r="AB246" s="7"/>
      <c r="AC246" s="7"/>
      <c r="AD246" s="7"/>
    </row>
    <row r="247" spans="1:30" s="6" customFormat="1" x14ac:dyDescent="0.25">
      <c r="B247" s="9"/>
      <c r="C247" s="9"/>
      <c r="D247" s="9"/>
      <c r="E247" s="9"/>
      <c r="F247" s="9"/>
      <c r="G247" s="9"/>
      <c r="H247" s="8"/>
      <c r="K247" s="7"/>
      <c r="L247" s="7"/>
      <c r="M247" s="9"/>
      <c r="N247" s="7">
        <v>0.22553640750000001</v>
      </c>
      <c r="O247" s="7">
        <v>250</v>
      </c>
      <c r="P247" s="9"/>
      <c r="Q247" s="7"/>
      <c r="R247" s="7"/>
      <c r="S247" s="9"/>
      <c r="T247" s="7"/>
      <c r="U247" s="7"/>
      <c r="V247" s="7"/>
      <c r="W247" s="7"/>
      <c r="X247" s="6">
        <v>0</v>
      </c>
      <c r="Y247" s="6">
        <v>18</v>
      </c>
      <c r="Z247" s="9"/>
      <c r="AA247" s="7"/>
      <c r="AB247" s="7"/>
      <c r="AC247" s="7"/>
      <c r="AD247" s="7"/>
    </row>
    <row r="248" spans="1:30" x14ac:dyDescent="0.25">
      <c r="N248" s="7">
        <v>2.6533695E-2</v>
      </c>
      <c r="O248" s="12">
        <v>300</v>
      </c>
      <c r="X248" s="16">
        <v>1</v>
      </c>
      <c r="Y248" s="7">
        <v>19</v>
      </c>
    </row>
    <row r="249" spans="1:30" x14ac:dyDescent="0.25">
      <c r="N249" s="7">
        <v>0</v>
      </c>
      <c r="O249" s="12">
        <v>320</v>
      </c>
      <c r="X249" s="16">
        <v>1</v>
      </c>
      <c r="Y249" s="7">
        <v>27</v>
      </c>
    </row>
    <row r="250" spans="1:30" x14ac:dyDescent="0.25">
      <c r="N250" s="7">
        <v>3.93675E-2</v>
      </c>
      <c r="O250" s="12">
        <v>350</v>
      </c>
      <c r="X250" s="16">
        <v>0</v>
      </c>
      <c r="Y250" s="7">
        <v>31</v>
      </c>
    </row>
    <row r="251" spans="1:30" x14ac:dyDescent="0.25">
      <c r="N251" s="7">
        <v>0.22308250000000002</v>
      </c>
      <c r="O251" s="12">
        <v>400</v>
      </c>
      <c r="X251" s="16">
        <v>0</v>
      </c>
      <c r="Y251" s="7">
        <v>36</v>
      </c>
    </row>
    <row r="252" spans="1:30" x14ac:dyDescent="0.25">
      <c r="N252" s="7">
        <v>0.53802249999999996</v>
      </c>
      <c r="O252" s="12">
        <v>450</v>
      </c>
      <c r="X252" s="18">
        <v>1.1000000000000001</v>
      </c>
      <c r="Y252" s="7">
        <v>37</v>
      </c>
    </row>
    <row r="253" spans="1:30" x14ac:dyDescent="0.25">
      <c r="N253" s="7">
        <v>0.95794250000000003</v>
      </c>
      <c r="O253" s="12">
        <v>500</v>
      </c>
      <c r="X253" s="18">
        <v>1.1000000000000001</v>
      </c>
      <c r="Y253" s="7">
        <v>44</v>
      </c>
    </row>
    <row r="254" spans="1:30" x14ac:dyDescent="0.25">
      <c r="N254" s="7">
        <v>1.2072700000000001</v>
      </c>
      <c r="O254" s="12">
        <v>550</v>
      </c>
      <c r="X254" s="18">
        <v>0</v>
      </c>
      <c r="Y254" s="7">
        <v>48</v>
      </c>
    </row>
    <row r="255" spans="1:30" x14ac:dyDescent="0.25">
      <c r="N255" s="7">
        <v>1.3122499999999999</v>
      </c>
      <c r="O255" s="12">
        <v>600</v>
      </c>
      <c r="X255" s="18">
        <v>0</v>
      </c>
      <c r="Y255" s="7">
        <v>55</v>
      </c>
    </row>
    <row r="256" spans="1:30" x14ac:dyDescent="0.25">
      <c r="X256" s="20">
        <v>1.1000000000000001</v>
      </c>
      <c r="Y256" s="7">
        <v>56</v>
      </c>
    </row>
    <row r="257" spans="1:30" x14ac:dyDescent="0.25">
      <c r="X257" s="20">
        <v>1.1000000000000001</v>
      </c>
      <c r="Y257" s="7">
        <v>63</v>
      </c>
    </row>
    <row r="258" spans="1:30" x14ac:dyDescent="0.25">
      <c r="X258" s="20">
        <v>0</v>
      </c>
      <c r="Y258" s="7">
        <v>67</v>
      </c>
    </row>
    <row r="259" spans="1:30" x14ac:dyDescent="0.25">
      <c r="X259" s="20">
        <v>0</v>
      </c>
      <c r="Y259" s="7">
        <v>74</v>
      </c>
    </row>
    <row r="260" spans="1:30" x14ac:dyDescent="0.25">
      <c r="X260" s="22">
        <v>1</v>
      </c>
      <c r="Y260" s="7">
        <v>75</v>
      </c>
    </row>
    <row r="261" spans="1:30" x14ac:dyDescent="0.25">
      <c r="X261" s="22">
        <v>1</v>
      </c>
      <c r="Y261" s="7">
        <v>80</v>
      </c>
    </row>
    <row r="262" spans="1:30" x14ac:dyDescent="0.25">
      <c r="X262" s="22">
        <v>0</v>
      </c>
      <c r="Y262" s="7">
        <v>83</v>
      </c>
    </row>
    <row r="263" spans="1:30" x14ac:dyDescent="0.25">
      <c r="X263" s="22">
        <v>0</v>
      </c>
      <c r="Y263" s="7">
        <v>90</v>
      </c>
    </row>
    <row r="264" spans="1:30" x14ac:dyDescent="0.25">
      <c r="X264" s="25">
        <v>0.75</v>
      </c>
      <c r="Y264" s="7">
        <v>91</v>
      </c>
    </row>
    <row r="265" spans="1:30" x14ac:dyDescent="0.25">
      <c r="X265" s="25">
        <v>0.75</v>
      </c>
      <c r="Y265" s="7">
        <v>93</v>
      </c>
    </row>
    <row r="266" spans="1:30" x14ac:dyDescent="0.25">
      <c r="X266" s="25">
        <v>0</v>
      </c>
      <c r="Y266" s="7">
        <v>94</v>
      </c>
    </row>
    <row r="267" spans="1:30" x14ac:dyDescent="0.25">
      <c r="X267" s="25">
        <v>0</v>
      </c>
      <c r="Y267" s="7">
        <v>100</v>
      </c>
    </row>
    <row r="269" spans="1:30" s="6" customFormat="1" x14ac:dyDescent="0.25">
      <c r="A269" s="2">
        <v>11</v>
      </c>
      <c r="B269" s="3" t="s">
        <v>0</v>
      </c>
      <c r="C269" s="3" t="s">
        <v>1</v>
      </c>
      <c r="D269" s="3" t="s">
        <v>2</v>
      </c>
      <c r="E269" s="3" t="s">
        <v>3</v>
      </c>
      <c r="F269" s="3" t="s">
        <v>4</v>
      </c>
      <c r="G269" s="3" t="s">
        <v>5</v>
      </c>
      <c r="H269" s="4"/>
      <c r="I269" s="4"/>
      <c r="J269" s="4"/>
      <c r="K269" s="3" t="s">
        <v>6</v>
      </c>
      <c r="L269" s="3" t="s">
        <v>7</v>
      </c>
      <c r="M269" s="10" t="s">
        <v>23</v>
      </c>
      <c r="N269" s="3" t="s">
        <v>8</v>
      </c>
      <c r="O269" s="3" t="s">
        <v>9</v>
      </c>
      <c r="P269" s="5"/>
      <c r="Q269" s="3" t="s">
        <v>10</v>
      </c>
      <c r="R269" s="3" t="s">
        <v>11</v>
      </c>
      <c r="S269" s="5"/>
      <c r="T269" s="3" t="s">
        <v>12</v>
      </c>
      <c r="U269" s="3" t="s">
        <v>13</v>
      </c>
      <c r="V269" s="3" t="s">
        <v>14</v>
      </c>
      <c r="W269" s="3" t="s">
        <v>15</v>
      </c>
      <c r="X269" s="3" t="s">
        <v>16</v>
      </c>
      <c r="Y269" s="3" t="s">
        <v>17</v>
      </c>
      <c r="Z269" s="5"/>
      <c r="AA269" s="3" t="s">
        <v>18</v>
      </c>
      <c r="AB269" s="3" t="s">
        <v>19</v>
      </c>
      <c r="AC269" s="3" t="s">
        <v>20</v>
      </c>
      <c r="AD269" s="3" t="s">
        <v>21</v>
      </c>
    </row>
    <row r="270" spans="1:30" s="6" customFormat="1" x14ac:dyDescent="0.25">
      <c r="B270" s="7">
        <v>15750</v>
      </c>
      <c r="C270" s="7">
        <v>25</v>
      </c>
      <c r="D270" s="7">
        <v>1000000</v>
      </c>
      <c r="E270" s="7">
        <v>10000</v>
      </c>
      <c r="F270" s="7">
        <v>100</v>
      </c>
      <c r="G270" s="7">
        <v>600</v>
      </c>
      <c r="H270" s="8"/>
      <c r="K270" s="7">
        <v>65</v>
      </c>
      <c r="L270" s="7">
        <v>1</v>
      </c>
      <c r="M270" s="7">
        <v>805</v>
      </c>
      <c r="N270" s="7">
        <v>1.2072831224999998</v>
      </c>
      <c r="O270" s="7">
        <v>1</v>
      </c>
      <c r="P270" s="9"/>
      <c r="Q270" s="7">
        <v>0.1</v>
      </c>
      <c r="R270" s="7">
        <v>1</v>
      </c>
      <c r="S270" s="9"/>
      <c r="T270" s="7">
        <v>0</v>
      </c>
      <c r="U270" s="7">
        <v>1</v>
      </c>
      <c r="V270" s="7">
        <v>1.5</v>
      </c>
      <c r="W270" s="7">
        <v>1</v>
      </c>
      <c r="X270" s="13">
        <v>0</v>
      </c>
      <c r="Y270" s="7">
        <v>1</v>
      </c>
      <c r="Z270" s="9"/>
      <c r="AA270" s="7">
        <v>0.1</v>
      </c>
      <c r="AB270" s="7">
        <v>1</v>
      </c>
      <c r="AC270" s="7">
        <v>1</v>
      </c>
      <c r="AD270" s="7">
        <v>1</v>
      </c>
    </row>
    <row r="271" spans="1:30" s="6" customFormat="1" x14ac:dyDescent="0.25">
      <c r="B271" s="7"/>
      <c r="C271" s="7"/>
      <c r="D271" s="7"/>
      <c r="E271" s="7"/>
      <c r="F271" s="7"/>
      <c r="G271" s="7"/>
      <c r="H271" s="8"/>
      <c r="K271" s="7">
        <v>65</v>
      </c>
      <c r="L271" s="7">
        <v>173</v>
      </c>
      <c r="M271" s="7"/>
      <c r="N271" s="7">
        <v>1.0878814949999998</v>
      </c>
      <c r="O271" s="7">
        <v>50</v>
      </c>
      <c r="P271" s="9"/>
      <c r="Q271" s="7">
        <v>1</v>
      </c>
      <c r="R271" s="7">
        <v>100</v>
      </c>
      <c r="S271" s="9"/>
      <c r="T271" s="7">
        <v>0</v>
      </c>
      <c r="U271" s="7">
        <v>600</v>
      </c>
      <c r="V271" s="7">
        <v>1.5</v>
      </c>
      <c r="W271" s="7">
        <v>600</v>
      </c>
      <c r="X271" s="13">
        <v>0</v>
      </c>
      <c r="Y271" s="7">
        <v>9</v>
      </c>
      <c r="Z271" s="9"/>
      <c r="AA271" s="7">
        <v>0.1</v>
      </c>
      <c r="AB271" s="7">
        <v>600</v>
      </c>
      <c r="AC271" s="7">
        <v>1</v>
      </c>
      <c r="AD271" s="7">
        <v>100</v>
      </c>
    </row>
    <row r="272" spans="1:30" s="6" customFormat="1" x14ac:dyDescent="0.25">
      <c r="B272" s="7"/>
      <c r="C272" s="7"/>
      <c r="D272" s="7"/>
      <c r="E272" s="7"/>
      <c r="F272" s="7"/>
      <c r="G272" s="7"/>
      <c r="H272" s="8"/>
      <c r="K272" s="7">
        <v>0</v>
      </c>
      <c r="L272" s="7">
        <v>285</v>
      </c>
      <c r="M272" s="7"/>
      <c r="N272" s="7">
        <v>0.96847986749999992</v>
      </c>
      <c r="O272" s="7">
        <v>100</v>
      </c>
      <c r="P272" s="9"/>
      <c r="Q272" s="7"/>
      <c r="R272" s="7"/>
      <c r="S272" s="9"/>
      <c r="T272" s="7"/>
      <c r="U272" s="7"/>
      <c r="V272" s="7"/>
      <c r="W272" s="7"/>
      <c r="X272" s="13">
        <v>3</v>
      </c>
      <c r="Y272" s="7">
        <v>10</v>
      </c>
      <c r="Z272" s="9"/>
      <c r="AA272" s="7"/>
      <c r="AB272" s="7"/>
      <c r="AC272" s="7"/>
      <c r="AD272" s="7"/>
    </row>
    <row r="273" spans="2:30" s="6" customFormat="1" x14ac:dyDescent="0.25">
      <c r="B273" s="7"/>
      <c r="C273" s="7"/>
      <c r="D273" s="7"/>
      <c r="E273" s="7"/>
      <c r="F273" s="7"/>
      <c r="G273" s="7"/>
      <c r="H273" s="8"/>
      <c r="K273" s="7">
        <v>14</v>
      </c>
      <c r="L273" s="7">
        <v>330</v>
      </c>
      <c r="M273" s="7"/>
      <c r="N273" s="7">
        <v>0.78274400249999998</v>
      </c>
      <c r="O273" s="7">
        <v>150</v>
      </c>
      <c r="P273" s="9"/>
      <c r="Q273" s="7"/>
      <c r="R273" s="7"/>
      <c r="S273" s="9"/>
      <c r="T273" s="7"/>
      <c r="U273" s="7"/>
      <c r="V273" s="7"/>
      <c r="W273" s="7"/>
      <c r="X273" s="13">
        <v>3</v>
      </c>
      <c r="Y273" s="7">
        <v>14</v>
      </c>
      <c r="Z273" s="9"/>
      <c r="AA273" s="7"/>
      <c r="AB273" s="7"/>
      <c r="AC273" s="7"/>
      <c r="AD273" s="7"/>
    </row>
    <row r="274" spans="2:30" s="6" customFormat="1" x14ac:dyDescent="0.25">
      <c r="B274" s="7"/>
      <c r="C274" s="7"/>
      <c r="D274" s="7"/>
      <c r="E274" s="7"/>
      <c r="F274" s="7"/>
      <c r="G274" s="7"/>
      <c r="H274" s="8"/>
      <c r="K274" s="7">
        <v>28</v>
      </c>
      <c r="L274" s="11">
        <v>440</v>
      </c>
      <c r="M274" s="9"/>
      <c r="N274" s="7">
        <v>0.5041402049999999</v>
      </c>
      <c r="O274" s="7">
        <v>200</v>
      </c>
      <c r="P274" s="9"/>
      <c r="Q274" s="7"/>
      <c r="R274" s="7"/>
      <c r="S274" s="9"/>
      <c r="T274" s="7"/>
      <c r="U274" s="7"/>
      <c r="V274" s="7"/>
      <c r="W274" s="7"/>
      <c r="X274" s="6">
        <v>0</v>
      </c>
      <c r="Y274" s="6">
        <v>15</v>
      </c>
      <c r="Z274" s="9"/>
      <c r="AA274" s="7"/>
      <c r="AB274" s="7"/>
      <c r="AC274" s="7"/>
      <c r="AD274" s="7"/>
    </row>
    <row r="275" spans="2:30" s="6" customFormat="1" x14ac:dyDescent="0.25">
      <c r="B275" s="9"/>
      <c r="C275" s="9"/>
      <c r="D275" s="9"/>
      <c r="E275" s="9"/>
      <c r="F275" s="9"/>
      <c r="G275" s="9"/>
      <c r="H275" s="8"/>
      <c r="K275" s="7">
        <v>65</v>
      </c>
      <c r="L275" s="7">
        <v>526</v>
      </c>
      <c r="M275" s="9"/>
      <c r="N275" s="7">
        <v>0.22553640750000001</v>
      </c>
      <c r="O275" s="7">
        <v>250</v>
      </c>
      <c r="P275" s="9"/>
      <c r="Q275" s="7"/>
      <c r="R275" s="7"/>
      <c r="S275" s="9"/>
      <c r="T275" s="7"/>
      <c r="U275" s="7"/>
      <c r="V275" s="7"/>
      <c r="W275" s="7"/>
      <c r="X275" s="6">
        <v>0</v>
      </c>
      <c r="Y275" s="6">
        <v>18</v>
      </c>
      <c r="Z275" s="9"/>
      <c r="AA275" s="7"/>
      <c r="AB275" s="7"/>
      <c r="AC275" s="7"/>
      <c r="AD275" s="7"/>
    </row>
    <row r="276" spans="2:30" x14ac:dyDescent="0.25">
      <c r="K276" s="12">
        <v>65</v>
      </c>
      <c r="L276" s="12">
        <v>600</v>
      </c>
      <c r="N276" s="7">
        <v>2.6533695E-2</v>
      </c>
      <c r="O276" s="12">
        <v>300</v>
      </c>
      <c r="X276" s="16">
        <v>2</v>
      </c>
      <c r="Y276" s="7">
        <v>19</v>
      </c>
    </row>
    <row r="277" spans="2:30" x14ac:dyDescent="0.25">
      <c r="N277" s="7">
        <v>0</v>
      </c>
      <c r="O277" s="12">
        <v>320</v>
      </c>
      <c r="X277" s="16">
        <v>1</v>
      </c>
      <c r="Y277" s="7">
        <v>20</v>
      </c>
    </row>
    <row r="278" spans="2:30" x14ac:dyDescent="0.25">
      <c r="N278" s="7">
        <v>3.93675E-2</v>
      </c>
      <c r="O278" s="12">
        <v>350</v>
      </c>
      <c r="X278">
        <v>0</v>
      </c>
      <c r="Y278" s="9">
        <v>21</v>
      </c>
    </row>
    <row r="279" spans="2:30" x14ac:dyDescent="0.25">
      <c r="N279" s="7">
        <v>0.22308250000000002</v>
      </c>
      <c r="O279" s="12">
        <v>400</v>
      </c>
      <c r="X279">
        <v>0</v>
      </c>
      <c r="Y279" s="9">
        <v>25</v>
      </c>
    </row>
    <row r="280" spans="2:30" x14ac:dyDescent="0.25">
      <c r="N280" s="7">
        <v>0.53802249999999996</v>
      </c>
      <c r="O280" s="12">
        <v>450</v>
      </c>
      <c r="X280">
        <v>2</v>
      </c>
      <c r="Y280" s="9">
        <v>26</v>
      </c>
    </row>
    <row r="281" spans="2:30" x14ac:dyDescent="0.25">
      <c r="N281" s="7">
        <v>0.95794250000000003</v>
      </c>
      <c r="O281" s="12">
        <v>500</v>
      </c>
      <c r="X281" s="16">
        <v>0</v>
      </c>
      <c r="Y281" s="7">
        <v>27</v>
      </c>
    </row>
    <row r="282" spans="2:30" x14ac:dyDescent="0.25">
      <c r="N282" s="7">
        <v>1.2072700000000001</v>
      </c>
      <c r="O282" s="12">
        <v>550</v>
      </c>
      <c r="X282" s="16">
        <v>0</v>
      </c>
      <c r="Y282" s="7">
        <v>36</v>
      </c>
    </row>
    <row r="283" spans="2:30" x14ac:dyDescent="0.25">
      <c r="N283" s="7">
        <v>1.3122499999999999</v>
      </c>
      <c r="O283" s="12">
        <v>600</v>
      </c>
      <c r="X283" s="18">
        <v>0.9</v>
      </c>
      <c r="Y283" s="7">
        <v>37</v>
      </c>
    </row>
    <row r="284" spans="2:30" x14ac:dyDescent="0.25">
      <c r="X284" s="18">
        <v>0.9</v>
      </c>
      <c r="Y284" s="7">
        <v>44</v>
      </c>
    </row>
    <row r="285" spans="2:30" x14ac:dyDescent="0.25">
      <c r="X285" s="18">
        <v>0</v>
      </c>
      <c r="Y285" s="7">
        <v>48</v>
      </c>
    </row>
    <row r="286" spans="2:30" x14ac:dyDescent="0.25">
      <c r="X286" s="18">
        <v>0</v>
      </c>
      <c r="Y286" s="7">
        <v>55</v>
      </c>
    </row>
    <row r="287" spans="2:30" x14ac:dyDescent="0.25">
      <c r="X287" s="20">
        <v>0.9</v>
      </c>
      <c r="Y287" s="7">
        <v>56</v>
      </c>
    </row>
    <row r="288" spans="2:30" x14ac:dyDescent="0.25">
      <c r="X288" s="20">
        <v>0.9</v>
      </c>
      <c r="Y288" s="7">
        <v>63</v>
      </c>
    </row>
    <row r="289" spans="1:30" x14ac:dyDescent="0.25">
      <c r="X289" s="20">
        <v>0</v>
      </c>
      <c r="Y289" s="7">
        <v>67</v>
      </c>
    </row>
    <row r="290" spans="1:30" x14ac:dyDescent="0.25">
      <c r="X290" s="20">
        <v>0</v>
      </c>
      <c r="Y290" s="7">
        <v>74</v>
      </c>
    </row>
    <row r="291" spans="1:30" x14ac:dyDescent="0.25">
      <c r="X291" s="22">
        <v>0.8</v>
      </c>
      <c r="Y291" s="7">
        <v>75</v>
      </c>
    </row>
    <row r="292" spans="1:30" x14ac:dyDescent="0.25">
      <c r="X292" s="22">
        <v>0.8</v>
      </c>
      <c r="Y292" s="7">
        <v>80</v>
      </c>
    </row>
    <row r="293" spans="1:30" x14ac:dyDescent="0.25">
      <c r="X293" s="22">
        <v>0</v>
      </c>
      <c r="Y293" s="7">
        <v>83</v>
      </c>
    </row>
    <row r="294" spans="1:30" x14ac:dyDescent="0.25">
      <c r="X294" s="22">
        <v>0</v>
      </c>
      <c r="Y294" s="7">
        <v>90</v>
      </c>
    </row>
    <row r="295" spans="1:30" x14ac:dyDescent="0.25">
      <c r="X295" s="25">
        <v>0.75</v>
      </c>
      <c r="Y295" s="7">
        <v>91</v>
      </c>
    </row>
    <row r="296" spans="1:30" x14ac:dyDescent="0.25">
      <c r="X296" s="25">
        <v>0.75</v>
      </c>
      <c r="Y296" s="7">
        <v>93</v>
      </c>
    </row>
    <row r="297" spans="1:30" x14ac:dyDescent="0.25">
      <c r="X297" s="25">
        <v>0</v>
      </c>
      <c r="Y297" s="7">
        <v>94</v>
      </c>
    </row>
    <row r="298" spans="1:30" x14ac:dyDescent="0.25">
      <c r="X298" s="25">
        <v>0</v>
      </c>
      <c r="Y298" s="7">
        <v>100</v>
      </c>
    </row>
    <row r="300" spans="1:30" s="6" customFormat="1" x14ac:dyDescent="0.25">
      <c r="A300" s="2">
        <v>12</v>
      </c>
      <c r="B300" s="3" t="s">
        <v>0</v>
      </c>
      <c r="C300" s="3" t="s">
        <v>1</v>
      </c>
      <c r="D300" s="3" t="s">
        <v>2</v>
      </c>
      <c r="E300" s="3" t="s">
        <v>3</v>
      </c>
      <c r="F300" s="3" t="s">
        <v>4</v>
      </c>
      <c r="G300" s="3" t="s">
        <v>5</v>
      </c>
      <c r="H300" s="4"/>
      <c r="I300" s="4"/>
      <c r="J300" s="4"/>
      <c r="K300" s="3" t="s">
        <v>6</v>
      </c>
      <c r="L300" s="3" t="s">
        <v>7</v>
      </c>
      <c r="M300" s="10" t="s">
        <v>23</v>
      </c>
      <c r="N300" s="3" t="s">
        <v>8</v>
      </c>
      <c r="O300" s="3" t="s">
        <v>9</v>
      </c>
      <c r="P300" s="5"/>
      <c r="Q300" s="3" t="s">
        <v>10</v>
      </c>
      <c r="R300" s="3" t="s">
        <v>11</v>
      </c>
      <c r="S300" s="5"/>
      <c r="T300" s="3" t="s">
        <v>12</v>
      </c>
      <c r="U300" s="3" t="s">
        <v>13</v>
      </c>
      <c r="V300" s="3" t="s">
        <v>14</v>
      </c>
      <c r="W300" s="3" t="s">
        <v>15</v>
      </c>
      <c r="X300" s="3" t="s">
        <v>16</v>
      </c>
      <c r="Y300" s="3" t="s">
        <v>17</v>
      </c>
      <c r="Z300" s="5"/>
      <c r="AA300" s="3" t="s">
        <v>18</v>
      </c>
      <c r="AB300" s="3" t="s">
        <v>19</v>
      </c>
      <c r="AC300" s="3" t="s">
        <v>20</v>
      </c>
      <c r="AD300" s="3" t="s">
        <v>21</v>
      </c>
    </row>
    <row r="301" spans="1:30" s="6" customFormat="1" x14ac:dyDescent="0.25">
      <c r="B301" s="7">
        <v>15750</v>
      </c>
      <c r="C301" s="7">
        <v>25</v>
      </c>
      <c r="D301" s="7">
        <v>1000000</v>
      </c>
      <c r="E301" s="7">
        <v>10000</v>
      </c>
      <c r="F301" s="7">
        <v>100</v>
      </c>
      <c r="G301" s="7">
        <v>600</v>
      </c>
      <c r="H301" s="8"/>
      <c r="K301" s="7">
        <v>65</v>
      </c>
      <c r="L301" s="7">
        <v>1</v>
      </c>
      <c r="M301" s="7">
        <v>805</v>
      </c>
      <c r="N301" s="7">
        <v>0.65974999999999995</v>
      </c>
      <c r="O301" s="7">
        <v>1</v>
      </c>
      <c r="P301" s="9"/>
      <c r="Q301" s="7">
        <v>1</v>
      </c>
      <c r="R301" s="7">
        <v>1</v>
      </c>
      <c r="S301" s="9"/>
      <c r="T301" s="7">
        <v>0</v>
      </c>
      <c r="U301" s="7">
        <v>1</v>
      </c>
      <c r="V301" s="7">
        <v>1.5</v>
      </c>
      <c r="W301" s="7">
        <v>1</v>
      </c>
      <c r="X301" s="13">
        <v>0</v>
      </c>
      <c r="Y301" s="7">
        <v>1</v>
      </c>
      <c r="Z301" s="9"/>
      <c r="AA301" s="7">
        <v>0.1</v>
      </c>
      <c r="AB301" s="7">
        <v>1</v>
      </c>
      <c r="AC301" s="7">
        <v>1</v>
      </c>
      <c r="AD301" s="7">
        <v>1</v>
      </c>
    </row>
    <row r="302" spans="1:30" s="6" customFormat="1" x14ac:dyDescent="0.25">
      <c r="B302" s="7"/>
      <c r="C302" s="7"/>
      <c r="D302" s="7"/>
      <c r="E302" s="7"/>
      <c r="F302" s="7"/>
      <c r="G302" s="7"/>
      <c r="H302" s="8"/>
      <c r="K302" s="7">
        <v>65</v>
      </c>
      <c r="L302" s="7">
        <v>173</v>
      </c>
      <c r="M302" s="7"/>
      <c r="N302" s="7">
        <v>0.59449999999999992</v>
      </c>
      <c r="O302" s="7">
        <v>50</v>
      </c>
      <c r="P302" s="9"/>
      <c r="Q302" s="7">
        <v>1</v>
      </c>
      <c r="R302" s="7">
        <v>100</v>
      </c>
      <c r="S302" s="9"/>
      <c r="T302" s="7">
        <v>0</v>
      </c>
      <c r="U302" s="7">
        <v>600</v>
      </c>
      <c r="V302" s="7">
        <v>1.5</v>
      </c>
      <c r="W302" s="7">
        <v>600</v>
      </c>
      <c r="X302" s="13">
        <v>0</v>
      </c>
      <c r="Y302" s="7">
        <v>9</v>
      </c>
      <c r="Z302" s="9"/>
      <c r="AA302" s="7">
        <v>0.1</v>
      </c>
      <c r="AB302" s="7">
        <v>600</v>
      </c>
      <c r="AC302" s="7">
        <v>1</v>
      </c>
      <c r="AD302" s="7">
        <v>100</v>
      </c>
    </row>
    <row r="303" spans="1:30" s="6" customFormat="1" x14ac:dyDescent="0.25">
      <c r="B303" s="7"/>
      <c r="C303" s="7"/>
      <c r="D303" s="7"/>
      <c r="E303" s="7"/>
      <c r="F303" s="7"/>
      <c r="G303" s="7"/>
      <c r="H303" s="8"/>
      <c r="K303" s="7">
        <v>0</v>
      </c>
      <c r="L303" s="7">
        <v>285</v>
      </c>
      <c r="M303" s="7"/>
      <c r="N303" s="7">
        <v>0.52925</v>
      </c>
      <c r="O303" s="7">
        <v>100</v>
      </c>
      <c r="P303" s="9"/>
      <c r="Q303" s="7"/>
      <c r="R303" s="7"/>
      <c r="S303" s="9"/>
      <c r="T303" s="7"/>
      <c r="U303" s="7"/>
      <c r="V303" s="7"/>
      <c r="W303" s="7"/>
      <c r="X303" s="13">
        <v>3</v>
      </c>
      <c r="Y303" s="7">
        <v>10</v>
      </c>
      <c r="Z303" s="9"/>
      <c r="AA303" s="7"/>
      <c r="AB303" s="7"/>
      <c r="AC303" s="7"/>
      <c r="AD303" s="7"/>
    </row>
    <row r="304" spans="1:30" s="6" customFormat="1" x14ac:dyDescent="0.25">
      <c r="B304" s="7"/>
      <c r="C304" s="7"/>
      <c r="D304" s="7"/>
      <c r="E304" s="7"/>
      <c r="F304" s="7"/>
      <c r="G304" s="7"/>
      <c r="H304" s="8"/>
      <c r="K304" s="7">
        <v>14</v>
      </c>
      <c r="L304" s="7">
        <v>330</v>
      </c>
      <c r="M304" s="7"/>
      <c r="N304" s="7">
        <v>0.42774999999999996</v>
      </c>
      <c r="O304" s="7">
        <v>150</v>
      </c>
      <c r="P304" s="9"/>
      <c r="Q304" s="7"/>
      <c r="R304" s="7"/>
      <c r="S304" s="9"/>
      <c r="T304" s="7"/>
      <c r="U304" s="7"/>
      <c r="V304" s="7"/>
      <c r="W304" s="7"/>
      <c r="X304" s="13">
        <v>1</v>
      </c>
      <c r="Y304" s="7">
        <v>14</v>
      </c>
      <c r="Z304" s="9"/>
      <c r="AA304" s="7"/>
      <c r="AB304" s="7"/>
      <c r="AC304" s="7"/>
      <c r="AD304" s="7"/>
    </row>
    <row r="305" spans="2:30" s="6" customFormat="1" x14ac:dyDescent="0.25">
      <c r="B305" s="7"/>
      <c r="C305" s="7"/>
      <c r="D305" s="7"/>
      <c r="E305" s="7"/>
      <c r="F305" s="7"/>
      <c r="G305" s="7"/>
      <c r="H305" s="8"/>
      <c r="K305" s="7">
        <v>28</v>
      </c>
      <c r="L305" s="11">
        <v>440</v>
      </c>
      <c r="M305" s="9"/>
      <c r="N305" s="7">
        <v>0.27549999999999997</v>
      </c>
      <c r="O305" s="7">
        <v>200</v>
      </c>
      <c r="P305" s="9"/>
      <c r="Q305" s="7"/>
      <c r="R305" s="7"/>
      <c r="S305" s="9"/>
      <c r="T305" s="7"/>
      <c r="U305" s="7"/>
      <c r="V305" s="7"/>
      <c r="W305" s="7"/>
      <c r="X305" s="6">
        <v>0</v>
      </c>
      <c r="Y305" s="6">
        <v>15</v>
      </c>
      <c r="Z305" s="9"/>
      <c r="AA305" s="7"/>
      <c r="AB305" s="7"/>
      <c r="AC305" s="7"/>
      <c r="AD305" s="7"/>
    </row>
    <row r="306" spans="2:30" s="6" customFormat="1" x14ac:dyDescent="0.25">
      <c r="B306" s="9"/>
      <c r="C306" s="9"/>
      <c r="D306" s="9"/>
      <c r="E306" s="9"/>
      <c r="F306" s="9"/>
      <c r="G306" s="9"/>
      <c r="H306" s="8"/>
      <c r="K306" s="7">
        <v>65</v>
      </c>
      <c r="L306" s="7">
        <v>526</v>
      </c>
      <c r="M306" s="9"/>
      <c r="N306" s="7">
        <v>0.12325</v>
      </c>
      <c r="O306" s="7">
        <v>250</v>
      </c>
      <c r="P306" s="9"/>
      <c r="Q306" s="7"/>
      <c r="R306" s="7"/>
      <c r="S306" s="9"/>
      <c r="T306" s="7"/>
      <c r="U306" s="7"/>
      <c r="V306" s="7"/>
      <c r="W306" s="7"/>
      <c r="X306" s="6">
        <v>0</v>
      </c>
      <c r="Y306" s="6">
        <v>18</v>
      </c>
      <c r="Z306" s="9"/>
      <c r="AA306" s="7"/>
      <c r="AB306" s="7"/>
      <c r="AC306" s="7"/>
      <c r="AD306" s="7"/>
    </row>
    <row r="307" spans="2:30" x14ac:dyDescent="0.25">
      <c r="K307" s="12">
        <v>65</v>
      </c>
      <c r="L307" s="12">
        <v>600</v>
      </c>
      <c r="N307" s="7">
        <v>1.4499999999999999E-2</v>
      </c>
      <c r="O307" s="12">
        <v>300</v>
      </c>
      <c r="X307" s="16">
        <v>3</v>
      </c>
      <c r="Y307" s="7">
        <v>19</v>
      </c>
    </row>
    <row r="308" spans="2:30" x14ac:dyDescent="0.25">
      <c r="N308" s="7">
        <v>0</v>
      </c>
      <c r="O308" s="12">
        <v>320</v>
      </c>
      <c r="X308" s="16">
        <v>0.8</v>
      </c>
      <c r="Y308" s="7">
        <v>20</v>
      </c>
    </row>
    <row r="309" spans="2:30" x14ac:dyDescent="0.25">
      <c r="N309" s="7">
        <v>2.1749999999999999E-2</v>
      </c>
      <c r="O309" s="12">
        <v>350</v>
      </c>
      <c r="X309">
        <v>0</v>
      </c>
      <c r="Y309" s="9">
        <v>21</v>
      </c>
    </row>
    <row r="310" spans="2:30" x14ac:dyDescent="0.25">
      <c r="N310" s="7">
        <v>0.12325</v>
      </c>
      <c r="O310" s="12">
        <v>400</v>
      </c>
      <c r="X310">
        <v>0</v>
      </c>
      <c r="Y310" s="9">
        <v>25</v>
      </c>
    </row>
    <row r="311" spans="2:30" x14ac:dyDescent="0.25">
      <c r="N311" s="7">
        <v>0.29724999999999996</v>
      </c>
      <c r="O311" s="12">
        <v>450</v>
      </c>
      <c r="X311">
        <v>3</v>
      </c>
      <c r="Y311" s="9">
        <v>26</v>
      </c>
    </row>
    <row r="312" spans="2:30" x14ac:dyDescent="0.25">
      <c r="N312" s="7">
        <v>0.52925</v>
      </c>
      <c r="O312" s="12">
        <v>500</v>
      </c>
      <c r="X312" s="16">
        <v>0</v>
      </c>
      <c r="Y312" s="7">
        <v>27</v>
      </c>
    </row>
    <row r="313" spans="2:30" x14ac:dyDescent="0.25">
      <c r="N313" s="7">
        <v>0.66700000000000004</v>
      </c>
      <c r="O313" s="12">
        <v>550</v>
      </c>
      <c r="X313" s="16">
        <v>0</v>
      </c>
      <c r="Y313" s="7">
        <v>36</v>
      </c>
    </row>
    <row r="314" spans="2:30" x14ac:dyDescent="0.25">
      <c r="N314" s="7">
        <v>0.72499999999999998</v>
      </c>
      <c r="O314" s="12">
        <v>600</v>
      </c>
      <c r="X314" s="18">
        <v>0.9</v>
      </c>
      <c r="Y314" s="7">
        <v>37</v>
      </c>
    </row>
    <row r="315" spans="2:30" x14ac:dyDescent="0.25">
      <c r="X315" s="18">
        <v>0.9</v>
      </c>
      <c r="Y315" s="7">
        <v>44</v>
      </c>
    </row>
    <row r="316" spans="2:30" x14ac:dyDescent="0.25">
      <c r="X316" s="18">
        <v>0</v>
      </c>
      <c r="Y316" s="7">
        <v>48</v>
      </c>
    </row>
    <row r="317" spans="2:30" x14ac:dyDescent="0.25">
      <c r="X317" s="18">
        <v>0</v>
      </c>
      <c r="Y317" s="7">
        <v>55</v>
      </c>
    </row>
    <row r="318" spans="2:30" x14ac:dyDescent="0.25">
      <c r="X318" s="20">
        <v>0.9</v>
      </c>
      <c r="Y318" s="7">
        <v>56</v>
      </c>
    </row>
    <row r="319" spans="2:30" x14ac:dyDescent="0.25">
      <c r="X319" s="20">
        <v>0.9</v>
      </c>
      <c r="Y319" s="7">
        <v>63</v>
      </c>
    </row>
    <row r="320" spans="2:30" x14ac:dyDescent="0.25">
      <c r="X320" s="20">
        <v>0</v>
      </c>
      <c r="Y320" s="7">
        <v>67</v>
      </c>
    </row>
    <row r="321" spans="24:25" x14ac:dyDescent="0.25">
      <c r="X321" s="20">
        <v>0</v>
      </c>
      <c r="Y321" s="7">
        <v>74</v>
      </c>
    </row>
    <row r="322" spans="24:25" x14ac:dyDescent="0.25">
      <c r="X322" s="22">
        <v>0.8</v>
      </c>
      <c r="Y322" s="7">
        <v>75</v>
      </c>
    </row>
    <row r="323" spans="24:25" x14ac:dyDescent="0.25">
      <c r="X323" s="22">
        <v>0.8</v>
      </c>
      <c r="Y323" s="7">
        <v>80</v>
      </c>
    </row>
    <row r="324" spans="24:25" x14ac:dyDescent="0.25">
      <c r="X324" s="22">
        <v>0</v>
      </c>
      <c r="Y324" s="7">
        <v>83</v>
      </c>
    </row>
    <row r="325" spans="24:25" x14ac:dyDescent="0.25">
      <c r="X325" s="22">
        <v>0</v>
      </c>
      <c r="Y325" s="7">
        <v>90</v>
      </c>
    </row>
    <row r="326" spans="24:25" x14ac:dyDescent="0.25">
      <c r="X326" s="25">
        <v>0.75</v>
      </c>
      <c r="Y326" s="7">
        <v>91</v>
      </c>
    </row>
    <row r="327" spans="24:25" x14ac:dyDescent="0.25">
      <c r="X327" s="25">
        <v>0.75</v>
      </c>
      <c r="Y327" s="7">
        <v>93</v>
      </c>
    </row>
    <row r="328" spans="24:25" x14ac:dyDescent="0.25">
      <c r="X328" s="25">
        <v>0</v>
      </c>
      <c r="Y328" s="7">
        <v>94</v>
      </c>
    </row>
    <row r="329" spans="24:25" x14ac:dyDescent="0.25">
      <c r="X329" s="25">
        <v>0</v>
      </c>
      <c r="Y329" s="7">
        <v>100</v>
      </c>
    </row>
  </sheetData>
  <mergeCells count="1">
    <mergeCell ref="B1:G2"/>
  </mergeCell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5"/>
  <sheetViews>
    <sheetView workbookViewId="0">
      <selection activeCell="M69" sqref="M69"/>
    </sheetView>
  </sheetViews>
  <sheetFormatPr defaultRowHeight="15" x14ac:dyDescent="0.25"/>
  <cols>
    <col min="1" max="1" width="25.7109375" customWidth="1"/>
    <col min="2" max="2" width="29" customWidth="1"/>
    <col min="3" max="3" width="19.85546875" customWidth="1"/>
    <col min="4" max="4" width="14" customWidth="1"/>
    <col min="5" max="5" width="16.7109375" customWidth="1"/>
    <col min="6" max="6" width="15.5703125" customWidth="1"/>
    <col min="7" max="7" width="1.42578125" customWidth="1"/>
    <col min="8" max="8" width="2.42578125" customWidth="1"/>
    <col min="9" max="9" width="2.28515625" customWidth="1"/>
    <col min="10" max="10" width="24.85546875" customWidth="1"/>
    <col min="11" max="11" width="29.42578125" customWidth="1"/>
    <col min="12" max="15" width="26.28515625" customWidth="1"/>
    <col min="16" max="16" width="38.5703125" customWidth="1"/>
    <col min="17" max="17" width="32.28515625" customWidth="1"/>
    <col min="18" max="18" width="38.85546875" customWidth="1"/>
    <col min="19" max="19" width="37.85546875" customWidth="1"/>
    <col min="20" max="20" width="26" customWidth="1"/>
  </cols>
  <sheetData>
    <row r="1" spans="1:20" x14ac:dyDescent="0.25">
      <c r="A1" s="130" t="s">
        <v>24</v>
      </c>
      <c r="B1" s="130"/>
      <c r="C1" s="130"/>
      <c r="D1" s="130"/>
      <c r="E1" s="130"/>
      <c r="F1" s="130"/>
    </row>
    <row r="2" spans="1:20" x14ac:dyDescent="0.25">
      <c r="A2" s="130"/>
      <c r="B2" s="130"/>
      <c r="C2" s="130"/>
      <c r="D2" s="130"/>
      <c r="E2" s="130"/>
      <c r="F2" s="130"/>
    </row>
    <row r="3" spans="1:20" x14ac:dyDescent="0.25">
      <c r="A3" s="131"/>
      <c r="B3" s="131"/>
      <c r="C3" s="131"/>
      <c r="D3" s="131"/>
      <c r="E3" s="131"/>
      <c r="F3" s="131"/>
    </row>
    <row r="4" spans="1:20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/>
      <c r="H4" s="4"/>
      <c r="I4" s="4"/>
      <c r="J4" s="3" t="s">
        <v>6</v>
      </c>
      <c r="K4" s="3" t="s">
        <v>7</v>
      </c>
      <c r="L4" s="10" t="s">
        <v>23</v>
      </c>
      <c r="M4" s="10"/>
      <c r="N4" s="10"/>
      <c r="O4" s="10"/>
      <c r="P4" s="3" t="s">
        <v>8</v>
      </c>
      <c r="Q4" s="3" t="s">
        <v>9</v>
      </c>
      <c r="R4" s="3"/>
      <c r="S4" s="3" t="s">
        <v>10</v>
      </c>
      <c r="T4" s="3" t="s">
        <v>11</v>
      </c>
    </row>
    <row r="5" spans="1:20" x14ac:dyDescent="0.25">
      <c r="A5" s="7">
        <v>15750</v>
      </c>
      <c r="B5" s="7">
        <v>25</v>
      </c>
      <c r="C5" s="7">
        <v>1000000</v>
      </c>
      <c r="D5" s="7">
        <v>10000</v>
      </c>
      <c r="E5" s="7">
        <v>100</v>
      </c>
      <c r="F5" s="7">
        <v>600</v>
      </c>
      <c r="G5" s="8"/>
      <c r="H5" s="6"/>
      <c r="I5" s="6"/>
      <c r="J5" s="7">
        <v>140</v>
      </c>
      <c r="K5" s="7">
        <v>1</v>
      </c>
      <c r="L5" s="7"/>
      <c r="M5" s="7"/>
      <c r="N5" s="7"/>
      <c r="O5" s="7"/>
      <c r="P5" s="7">
        <v>0.66700724999999983</v>
      </c>
      <c r="Q5" s="7">
        <v>1</v>
      </c>
      <c r="R5" s="7"/>
      <c r="S5" s="7">
        <v>1</v>
      </c>
      <c r="T5" s="7">
        <v>1</v>
      </c>
    </row>
    <row r="6" spans="1:20" x14ac:dyDescent="0.25">
      <c r="A6" s="7"/>
      <c r="B6" s="7"/>
      <c r="C6" s="7"/>
      <c r="D6" s="7"/>
      <c r="E6" s="7"/>
      <c r="F6" s="7"/>
      <c r="G6" s="8"/>
      <c r="H6" s="6"/>
      <c r="I6" s="6"/>
      <c r="J6" s="7">
        <v>35</v>
      </c>
      <c r="K6" s="7">
        <v>150</v>
      </c>
      <c r="L6" s="7"/>
      <c r="M6" s="7"/>
      <c r="N6" s="7"/>
      <c r="O6" s="7"/>
      <c r="P6" s="7">
        <v>0.60103949999999984</v>
      </c>
      <c r="Q6" s="7">
        <v>50</v>
      </c>
      <c r="R6" s="7"/>
      <c r="S6" s="7">
        <v>1</v>
      </c>
      <c r="T6" s="7">
        <v>100</v>
      </c>
    </row>
    <row r="7" spans="1:20" x14ac:dyDescent="0.25">
      <c r="A7" s="7"/>
      <c r="B7" s="7"/>
      <c r="C7" s="7"/>
      <c r="D7" s="7"/>
      <c r="E7" s="7"/>
      <c r="F7" s="7"/>
      <c r="G7" s="8"/>
      <c r="H7" s="6"/>
      <c r="I7" s="6"/>
      <c r="J7" s="7">
        <v>0</v>
      </c>
      <c r="K7" s="7">
        <v>300</v>
      </c>
      <c r="L7" s="7"/>
      <c r="M7" s="7"/>
      <c r="N7" s="7"/>
      <c r="O7" s="7"/>
      <c r="P7" s="7">
        <v>0.53507174999999996</v>
      </c>
      <c r="Q7" s="7">
        <v>100</v>
      </c>
      <c r="R7" s="7"/>
      <c r="S7" s="7"/>
      <c r="T7" s="7"/>
    </row>
    <row r="8" spans="1:20" x14ac:dyDescent="0.25">
      <c r="A8" s="7"/>
      <c r="B8" s="7"/>
      <c r="C8" s="7"/>
      <c r="D8" s="7"/>
      <c r="E8" s="7"/>
      <c r="F8" s="7"/>
      <c r="G8" s="8"/>
      <c r="H8" s="6"/>
      <c r="I8" s="6"/>
      <c r="J8" s="7">
        <v>35</v>
      </c>
      <c r="K8" s="7">
        <v>450</v>
      </c>
      <c r="L8" s="7"/>
      <c r="M8" s="7"/>
      <c r="N8" s="7"/>
      <c r="O8" s="7"/>
      <c r="P8" s="7">
        <v>0.43245524999999996</v>
      </c>
      <c r="Q8" s="7">
        <v>150</v>
      </c>
      <c r="R8" s="7"/>
      <c r="S8" s="7"/>
      <c r="T8" s="7"/>
    </row>
    <row r="9" spans="1:20" x14ac:dyDescent="0.25">
      <c r="A9" s="7"/>
      <c r="B9" s="7"/>
      <c r="C9" s="7"/>
      <c r="D9" s="7"/>
      <c r="E9" s="7"/>
      <c r="F9" s="7"/>
      <c r="G9" s="8"/>
      <c r="H9" s="6"/>
      <c r="I9" s="6"/>
      <c r="J9" s="7">
        <v>144</v>
      </c>
      <c r="K9" s="11">
        <v>650</v>
      </c>
      <c r="L9" s="9"/>
      <c r="M9" s="9"/>
      <c r="N9" s="9"/>
      <c r="O9" s="9"/>
      <c r="P9" s="7">
        <v>0.27853049999999996</v>
      </c>
      <c r="Q9" s="7">
        <v>200</v>
      </c>
      <c r="R9" s="7"/>
      <c r="S9" s="7"/>
      <c r="T9" s="7"/>
    </row>
    <row r="10" spans="1:20" x14ac:dyDescent="0.25">
      <c r="A10" s="9"/>
      <c r="B10" s="9"/>
      <c r="C10" s="9"/>
      <c r="D10" s="9"/>
      <c r="E10" s="9"/>
      <c r="F10" s="9"/>
      <c r="G10" s="8"/>
      <c r="H10" s="6"/>
      <c r="I10" s="6"/>
      <c r="J10" s="7"/>
      <c r="K10" s="7"/>
      <c r="L10" s="9"/>
      <c r="M10" s="9"/>
      <c r="N10" s="9"/>
      <c r="O10" s="9"/>
      <c r="P10" s="7">
        <v>0.12460575</v>
      </c>
      <c r="Q10" s="7">
        <v>250</v>
      </c>
      <c r="R10" s="7"/>
      <c r="S10" s="7"/>
      <c r="T10" s="7"/>
    </row>
    <row r="11" spans="1:20" x14ac:dyDescent="0.25">
      <c r="P11" s="7">
        <v>1.4659499999999999E-2</v>
      </c>
      <c r="Q11" s="12">
        <v>300</v>
      </c>
      <c r="R11" s="9"/>
    </row>
    <row r="12" spans="1:20" x14ac:dyDescent="0.25">
      <c r="P12" s="7">
        <v>0</v>
      </c>
      <c r="Q12" s="12">
        <v>320</v>
      </c>
      <c r="R12" s="9"/>
    </row>
    <row r="13" spans="1:20" x14ac:dyDescent="0.25">
      <c r="P13" s="7">
        <v>2.1749999999999999E-2</v>
      </c>
      <c r="Q13" s="12">
        <v>350</v>
      </c>
      <c r="R13" s="9"/>
    </row>
    <row r="14" spans="1:20" x14ac:dyDescent="0.25">
      <c r="P14" s="7">
        <v>0.12325</v>
      </c>
      <c r="Q14" s="12">
        <v>400</v>
      </c>
      <c r="R14" s="9"/>
    </row>
    <row r="15" spans="1:20" x14ac:dyDescent="0.25">
      <c r="P15" s="7">
        <v>0.29724999999999996</v>
      </c>
      <c r="Q15" s="12">
        <v>450</v>
      </c>
      <c r="R15" s="9"/>
    </row>
    <row r="16" spans="1:20" x14ac:dyDescent="0.25">
      <c r="P16" s="7">
        <v>0.52925</v>
      </c>
      <c r="Q16" s="12">
        <v>500</v>
      </c>
      <c r="R16" s="9"/>
    </row>
    <row r="17" spans="1:20" x14ac:dyDescent="0.25">
      <c r="P17" s="7">
        <v>0.66700000000000004</v>
      </c>
      <c r="Q17" s="12">
        <v>550</v>
      </c>
      <c r="R17" s="9"/>
    </row>
    <row r="18" spans="1:20" x14ac:dyDescent="0.25">
      <c r="P18" s="7">
        <v>0.72499999999999998</v>
      </c>
      <c r="Q18" s="12">
        <v>600</v>
      </c>
      <c r="R18" s="9"/>
    </row>
    <row r="20" spans="1:20" x14ac:dyDescent="0.25">
      <c r="A20" s="132" t="s">
        <v>145</v>
      </c>
      <c r="B20" s="132"/>
      <c r="C20" s="132"/>
      <c r="D20" s="132"/>
      <c r="E20" s="132"/>
      <c r="F20" s="132"/>
    </row>
    <row r="21" spans="1:20" x14ac:dyDescent="0.25">
      <c r="A21" s="132"/>
      <c r="B21" s="132"/>
      <c r="C21" s="132"/>
      <c r="D21" s="132"/>
      <c r="E21" s="132"/>
      <c r="F21" s="132"/>
    </row>
    <row r="22" spans="1:20" x14ac:dyDescent="0.25">
      <c r="A22" s="133"/>
      <c r="B22" s="133"/>
      <c r="C22" s="133"/>
      <c r="D22" s="133"/>
      <c r="E22" s="133"/>
      <c r="F22" s="133"/>
    </row>
    <row r="23" spans="1:20" x14ac:dyDescent="0.25">
      <c r="A23" s="3" t="s">
        <v>0</v>
      </c>
      <c r="B23" s="3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4"/>
      <c r="H23" s="4"/>
      <c r="I23" s="4"/>
      <c r="J23" s="3" t="s">
        <v>6</v>
      </c>
      <c r="K23" s="3" t="s">
        <v>7</v>
      </c>
      <c r="L23" s="10" t="s">
        <v>23</v>
      </c>
      <c r="M23" s="10"/>
      <c r="N23" s="10"/>
      <c r="O23" s="10"/>
      <c r="P23" s="3" t="s">
        <v>8</v>
      </c>
      <c r="Q23" s="3" t="s">
        <v>9</v>
      </c>
      <c r="R23" s="3"/>
      <c r="S23" s="3" t="s">
        <v>10</v>
      </c>
      <c r="T23" s="3" t="s">
        <v>11</v>
      </c>
    </row>
    <row r="24" spans="1:20" x14ac:dyDescent="0.25">
      <c r="A24" s="7">
        <v>15750</v>
      </c>
      <c r="B24" s="7">
        <v>25</v>
      </c>
      <c r="C24" s="7">
        <v>1000000</v>
      </c>
      <c r="D24" s="7">
        <v>10000</v>
      </c>
      <c r="E24" s="7">
        <v>100</v>
      </c>
      <c r="F24" s="7">
        <v>631</v>
      </c>
      <c r="G24" s="8"/>
      <c r="H24" s="6"/>
      <c r="I24" s="6"/>
      <c r="J24" s="85">
        <v>175</v>
      </c>
      <c r="K24" s="85">
        <v>1</v>
      </c>
      <c r="L24" s="37"/>
      <c r="M24" s="7"/>
      <c r="N24" s="7"/>
      <c r="O24" s="7"/>
      <c r="P24" s="7">
        <f>SUM(P5*1.81)</f>
        <v>1.2072831224999998</v>
      </c>
      <c r="Q24" s="7">
        <v>1</v>
      </c>
      <c r="R24" s="7"/>
      <c r="S24" s="7">
        <v>0.1</v>
      </c>
      <c r="T24" s="7">
        <v>1</v>
      </c>
    </row>
    <row r="25" spans="1:20" x14ac:dyDescent="0.25">
      <c r="A25" s="7"/>
      <c r="B25" s="7"/>
      <c r="C25" s="7"/>
      <c r="D25" s="7"/>
      <c r="E25" s="7"/>
      <c r="F25" s="7"/>
      <c r="G25" s="8"/>
      <c r="H25" s="6"/>
      <c r="I25" s="6"/>
      <c r="J25" s="85">
        <v>175</v>
      </c>
      <c r="K25" s="87">
        <v>122</v>
      </c>
      <c r="L25" s="37"/>
      <c r="M25" s="7"/>
      <c r="N25" s="7"/>
      <c r="O25" s="7"/>
      <c r="P25" s="7">
        <f t="shared" ref="P25:P37" si="0">SUM(P6*1.81)</f>
        <v>1.0878814949999998</v>
      </c>
      <c r="Q25" s="7">
        <v>50</v>
      </c>
      <c r="R25" s="7"/>
      <c r="S25" s="7">
        <v>1</v>
      </c>
      <c r="T25" s="7">
        <v>100</v>
      </c>
    </row>
    <row r="26" spans="1:20" x14ac:dyDescent="0.25">
      <c r="A26" s="7"/>
      <c r="B26" s="7"/>
      <c r="C26" s="7"/>
      <c r="D26" s="7"/>
      <c r="E26" s="7"/>
      <c r="F26" s="7"/>
      <c r="G26" s="8"/>
      <c r="H26" s="6"/>
      <c r="I26" s="6"/>
      <c r="J26" s="85">
        <v>115</v>
      </c>
      <c r="K26" s="85">
        <v>160</v>
      </c>
      <c r="L26" s="37"/>
      <c r="M26" s="7"/>
      <c r="N26" s="7"/>
      <c r="O26" s="7"/>
      <c r="P26" s="7">
        <f t="shared" si="0"/>
        <v>0.96847986749999992</v>
      </c>
      <c r="Q26" s="7">
        <v>100</v>
      </c>
      <c r="R26" s="7"/>
      <c r="S26" s="7"/>
      <c r="T26" s="7"/>
    </row>
    <row r="27" spans="1:20" x14ac:dyDescent="0.25">
      <c r="A27" s="7"/>
      <c r="B27" s="7"/>
      <c r="C27" s="7"/>
      <c r="D27" s="7"/>
      <c r="E27" s="7"/>
      <c r="F27" s="7"/>
      <c r="G27" s="8"/>
      <c r="H27" s="6"/>
      <c r="I27" s="6"/>
      <c r="J27" s="85">
        <v>90</v>
      </c>
      <c r="K27" s="85">
        <v>200</v>
      </c>
      <c r="L27" s="37"/>
      <c r="M27" s="7"/>
      <c r="N27" s="7"/>
      <c r="O27" s="7"/>
      <c r="P27" s="7">
        <f t="shared" si="0"/>
        <v>0.78274400249999998</v>
      </c>
      <c r="Q27" s="7">
        <v>150</v>
      </c>
      <c r="R27" s="7"/>
      <c r="S27" s="7"/>
      <c r="T27" s="7"/>
    </row>
    <row r="28" spans="1:20" x14ac:dyDescent="0.25">
      <c r="A28" s="7"/>
      <c r="B28" s="7"/>
      <c r="C28" s="7"/>
      <c r="D28" s="7"/>
      <c r="E28" s="7"/>
      <c r="F28" s="7"/>
      <c r="G28" s="8"/>
      <c r="H28" s="6"/>
      <c r="I28" s="6"/>
      <c r="J28" s="85">
        <v>70</v>
      </c>
      <c r="K28" s="85">
        <v>240</v>
      </c>
      <c r="L28" s="9"/>
      <c r="M28" s="9"/>
      <c r="N28" s="9"/>
      <c r="O28" s="9"/>
      <c r="P28" s="7">
        <f t="shared" si="0"/>
        <v>0.5041402049999999</v>
      </c>
      <c r="Q28" s="7">
        <v>200</v>
      </c>
      <c r="R28" s="7"/>
      <c r="S28" s="7"/>
      <c r="T28" s="7"/>
    </row>
    <row r="29" spans="1:20" x14ac:dyDescent="0.25">
      <c r="A29" s="9"/>
      <c r="B29" s="9"/>
      <c r="C29" s="9"/>
      <c r="D29" s="9"/>
      <c r="E29" s="9"/>
      <c r="F29" s="9"/>
      <c r="G29" s="8"/>
      <c r="H29" s="6"/>
      <c r="I29" s="6"/>
      <c r="J29" s="85">
        <v>0</v>
      </c>
      <c r="K29" s="85">
        <v>280</v>
      </c>
      <c r="L29" s="9"/>
      <c r="M29" s="9"/>
      <c r="N29" s="9"/>
      <c r="O29" s="9"/>
      <c r="P29" s="7">
        <f t="shared" si="0"/>
        <v>0.22553640750000001</v>
      </c>
      <c r="Q29" s="7">
        <v>250</v>
      </c>
      <c r="R29" s="7"/>
      <c r="S29" s="7"/>
      <c r="T29" s="7"/>
    </row>
    <row r="30" spans="1:20" x14ac:dyDescent="0.25">
      <c r="J30" s="85">
        <v>6</v>
      </c>
      <c r="K30" s="85">
        <v>320</v>
      </c>
      <c r="M30" s="13">
        <v>0</v>
      </c>
      <c r="N30" s="7">
        <v>1</v>
      </c>
      <c r="O30" t="s">
        <v>30</v>
      </c>
      <c r="P30" s="7">
        <f t="shared" si="0"/>
        <v>2.6533695E-2</v>
      </c>
      <c r="Q30" s="12">
        <v>300</v>
      </c>
      <c r="R30" s="9"/>
    </row>
    <row r="31" spans="1:20" x14ac:dyDescent="0.25">
      <c r="J31" s="85">
        <v>12</v>
      </c>
      <c r="K31" s="85">
        <v>360</v>
      </c>
      <c r="M31" s="13">
        <v>0</v>
      </c>
      <c r="N31" s="7">
        <v>9</v>
      </c>
      <c r="P31" s="7">
        <f t="shared" si="0"/>
        <v>0</v>
      </c>
      <c r="Q31" s="12">
        <v>320</v>
      </c>
      <c r="R31" s="9"/>
    </row>
    <row r="32" spans="1:20" x14ac:dyDescent="0.25">
      <c r="J32" s="85">
        <v>37</v>
      </c>
      <c r="K32" s="85">
        <v>400</v>
      </c>
      <c r="M32" s="13">
        <v>2.75</v>
      </c>
      <c r="N32" s="7">
        <v>10</v>
      </c>
      <c r="P32" s="7">
        <f t="shared" si="0"/>
        <v>3.93675E-2</v>
      </c>
      <c r="Q32" s="12">
        <v>350</v>
      </c>
      <c r="R32" s="9"/>
    </row>
    <row r="33" spans="10:19" x14ac:dyDescent="0.25">
      <c r="J33" s="85">
        <v>85</v>
      </c>
      <c r="K33" s="85">
        <v>440</v>
      </c>
      <c r="M33" s="13">
        <v>1</v>
      </c>
      <c r="N33" s="7">
        <v>14</v>
      </c>
      <c r="O33" t="s">
        <v>30</v>
      </c>
      <c r="P33" s="7">
        <f t="shared" si="0"/>
        <v>0.22308250000000002</v>
      </c>
      <c r="Q33" s="12">
        <v>400</v>
      </c>
      <c r="R33" s="9"/>
    </row>
    <row r="34" spans="10:19" x14ac:dyDescent="0.25">
      <c r="J34" s="85">
        <v>118</v>
      </c>
      <c r="K34" s="88">
        <v>480</v>
      </c>
      <c r="M34" s="29">
        <v>0</v>
      </c>
      <c r="N34" s="6">
        <v>15</v>
      </c>
      <c r="P34" s="7">
        <f t="shared" si="0"/>
        <v>0.53802249999999996</v>
      </c>
      <c r="Q34" s="12">
        <v>450</v>
      </c>
      <c r="R34" s="9"/>
    </row>
    <row r="35" spans="10:19" x14ac:dyDescent="0.25">
      <c r="J35" s="85">
        <v>175</v>
      </c>
      <c r="K35" s="85">
        <v>520</v>
      </c>
      <c r="M35" s="29">
        <v>0</v>
      </c>
      <c r="N35" s="6">
        <v>29</v>
      </c>
      <c r="P35" s="7">
        <f t="shared" si="0"/>
        <v>0.95794250000000003</v>
      </c>
      <c r="Q35" s="12">
        <v>500</v>
      </c>
      <c r="R35" s="9"/>
    </row>
    <row r="36" spans="10:19" x14ac:dyDescent="0.25">
      <c r="J36" s="85">
        <v>175</v>
      </c>
      <c r="K36" s="85">
        <v>631</v>
      </c>
      <c r="M36" s="30">
        <v>4</v>
      </c>
      <c r="N36" s="7">
        <v>30</v>
      </c>
      <c r="O36" t="s">
        <v>31</v>
      </c>
      <c r="P36" s="7">
        <f t="shared" si="0"/>
        <v>1.2072700000000001</v>
      </c>
      <c r="Q36" s="12">
        <v>550</v>
      </c>
      <c r="R36" s="9"/>
    </row>
    <row r="37" spans="10:19" x14ac:dyDescent="0.25">
      <c r="M37" s="30">
        <v>2</v>
      </c>
      <c r="N37" s="7">
        <v>31</v>
      </c>
      <c r="P37" s="7">
        <f t="shared" si="0"/>
        <v>1.3122499999999999</v>
      </c>
      <c r="Q37" s="12">
        <v>600</v>
      </c>
      <c r="R37" s="9"/>
    </row>
    <row r="38" spans="10:19" x14ac:dyDescent="0.25">
      <c r="M38" s="31">
        <v>0</v>
      </c>
      <c r="N38" s="9">
        <v>32</v>
      </c>
    </row>
    <row r="39" spans="10:19" x14ac:dyDescent="0.25">
      <c r="M39" s="31">
        <v>0</v>
      </c>
      <c r="N39" s="9">
        <v>33</v>
      </c>
      <c r="P39" s="9"/>
    </row>
    <row r="40" spans="10:19" x14ac:dyDescent="0.25">
      <c r="M40" s="31">
        <v>2.8</v>
      </c>
      <c r="N40" s="9">
        <v>34</v>
      </c>
      <c r="P40" s="3" t="s">
        <v>8</v>
      </c>
      <c r="Q40" s="3" t="s">
        <v>9</v>
      </c>
      <c r="R40" s="5" t="s">
        <v>26</v>
      </c>
      <c r="S40" s="5"/>
    </row>
    <row r="41" spans="10:19" x14ac:dyDescent="0.25">
      <c r="M41" s="30">
        <v>0</v>
      </c>
      <c r="N41" s="7">
        <v>35</v>
      </c>
      <c r="P41" s="7">
        <v>0.91</v>
      </c>
      <c r="Q41" s="7">
        <v>1</v>
      </c>
      <c r="R41" s="9">
        <v>0.93</v>
      </c>
    </row>
    <row r="42" spans="10:19" x14ac:dyDescent="0.25">
      <c r="M42" s="30">
        <v>0</v>
      </c>
      <c r="N42" s="7">
        <v>38</v>
      </c>
      <c r="P42" s="7">
        <v>0.82</v>
      </c>
      <c r="Q42" s="7">
        <v>50</v>
      </c>
      <c r="R42" s="9">
        <v>0.84</v>
      </c>
    </row>
    <row r="43" spans="10:19" x14ac:dyDescent="0.25">
      <c r="M43" s="18">
        <v>1.5</v>
      </c>
      <c r="N43" s="7">
        <v>39</v>
      </c>
      <c r="O43" t="s">
        <v>32</v>
      </c>
      <c r="P43" s="7">
        <v>0.73</v>
      </c>
      <c r="Q43" s="7">
        <v>100</v>
      </c>
      <c r="R43" s="9">
        <v>0.76</v>
      </c>
    </row>
    <row r="44" spans="10:19" x14ac:dyDescent="0.25">
      <c r="M44" s="18">
        <v>0.5</v>
      </c>
      <c r="N44" s="7">
        <v>44</v>
      </c>
      <c r="P44" s="7">
        <v>0.59</v>
      </c>
      <c r="Q44" s="7">
        <v>150</v>
      </c>
      <c r="R44" s="9">
        <v>0.61</v>
      </c>
    </row>
    <row r="45" spans="10:19" x14ac:dyDescent="0.25">
      <c r="M45" s="28">
        <v>0</v>
      </c>
      <c r="N45" s="9">
        <v>45</v>
      </c>
      <c r="P45" s="7">
        <v>0.38</v>
      </c>
      <c r="Q45" s="7">
        <v>200</v>
      </c>
      <c r="R45" s="9">
        <v>0.38</v>
      </c>
    </row>
    <row r="46" spans="10:19" x14ac:dyDescent="0.25">
      <c r="M46" s="28">
        <v>0</v>
      </c>
      <c r="N46" s="9">
        <v>50</v>
      </c>
      <c r="P46" s="7">
        <v>0.17</v>
      </c>
      <c r="Q46" s="7">
        <v>250</v>
      </c>
      <c r="R46" s="9">
        <v>0.17</v>
      </c>
    </row>
    <row r="47" spans="10:19" x14ac:dyDescent="0.25">
      <c r="M47" s="28">
        <v>3</v>
      </c>
      <c r="N47" s="9">
        <v>51</v>
      </c>
      <c r="P47" s="12">
        <v>0.02</v>
      </c>
      <c r="Q47" s="12">
        <v>300</v>
      </c>
      <c r="R47" s="9">
        <v>0.02</v>
      </c>
    </row>
    <row r="48" spans="10:19" x14ac:dyDescent="0.25">
      <c r="M48" s="27">
        <v>0</v>
      </c>
      <c r="N48" s="9">
        <v>52</v>
      </c>
      <c r="P48" s="12">
        <v>0</v>
      </c>
      <c r="Q48" s="12">
        <v>320</v>
      </c>
      <c r="R48" s="9">
        <v>0</v>
      </c>
    </row>
    <row r="49" spans="1:19" x14ac:dyDescent="0.25">
      <c r="M49" s="26">
        <v>0</v>
      </c>
      <c r="N49" s="7">
        <v>55</v>
      </c>
      <c r="P49" s="12">
        <v>0.03</v>
      </c>
      <c r="Q49" s="12">
        <v>350</v>
      </c>
      <c r="R49" s="9">
        <v>3.5000000000000003E-2</v>
      </c>
    </row>
    <row r="50" spans="1:19" x14ac:dyDescent="0.25">
      <c r="M50" s="26">
        <v>0.9</v>
      </c>
      <c r="N50" s="7">
        <v>56</v>
      </c>
      <c r="P50" s="12">
        <v>0.17</v>
      </c>
      <c r="Q50" s="12">
        <v>400</v>
      </c>
      <c r="R50" s="9">
        <v>0.17</v>
      </c>
    </row>
    <row r="51" spans="1:19" x14ac:dyDescent="0.25">
      <c r="M51" s="26">
        <v>0</v>
      </c>
      <c r="N51" s="7">
        <v>57</v>
      </c>
      <c r="P51" s="12">
        <v>0.41</v>
      </c>
      <c r="Q51" s="12">
        <v>450</v>
      </c>
      <c r="R51" s="9">
        <v>0.42</v>
      </c>
    </row>
    <row r="52" spans="1:19" x14ac:dyDescent="0.25">
      <c r="M52" s="32">
        <v>0</v>
      </c>
      <c r="N52" s="9">
        <v>63</v>
      </c>
      <c r="O52" t="s">
        <v>33</v>
      </c>
      <c r="P52" s="12">
        <v>0.73</v>
      </c>
      <c r="Q52" s="12">
        <v>500</v>
      </c>
      <c r="R52" s="9">
        <v>0.75</v>
      </c>
    </row>
    <row r="53" spans="1:19" x14ac:dyDescent="0.25">
      <c r="M53" s="32">
        <v>5</v>
      </c>
      <c r="N53" s="9">
        <v>64</v>
      </c>
      <c r="P53" s="12">
        <v>0.92</v>
      </c>
      <c r="Q53" s="12">
        <v>550</v>
      </c>
      <c r="R53" s="9">
        <v>0.95</v>
      </c>
    </row>
    <row r="54" spans="1:19" x14ac:dyDescent="0.25">
      <c r="M54" s="32">
        <v>0</v>
      </c>
      <c r="N54" s="9">
        <v>65</v>
      </c>
      <c r="P54" s="12">
        <v>1</v>
      </c>
      <c r="Q54" s="12">
        <v>600</v>
      </c>
      <c r="R54" s="9">
        <v>1</v>
      </c>
    </row>
    <row r="55" spans="1:19" x14ac:dyDescent="0.25">
      <c r="M55" s="32">
        <v>1</v>
      </c>
      <c r="N55" s="9">
        <v>66</v>
      </c>
    </row>
    <row r="56" spans="1:19" x14ac:dyDescent="0.25">
      <c r="A56" s="132" t="s">
        <v>27</v>
      </c>
      <c r="B56" s="132"/>
      <c r="C56" s="132"/>
      <c r="D56" s="132"/>
      <c r="E56" s="132"/>
      <c r="F56" s="132"/>
      <c r="M56" s="26">
        <v>0</v>
      </c>
      <c r="N56" s="7">
        <v>67</v>
      </c>
    </row>
    <row r="57" spans="1:19" x14ac:dyDescent="0.25">
      <c r="A57" s="132"/>
      <c r="B57" s="132"/>
      <c r="C57" s="132"/>
      <c r="D57" s="132"/>
      <c r="E57" s="132"/>
      <c r="F57" s="132"/>
      <c r="M57" s="26">
        <v>0</v>
      </c>
      <c r="N57" s="7">
        <v>75</v>
      </c>
    </row>
    <row r="58" spans="1:19" x14ac:dyDescent="0.25">
      <c r="A58" s="133"/>
      <c r="B58" s="133"/>
      <c r="C58" s="133"/>
      <c r="D58" s="133"/>
      <c r="E58" s="133"/>
      <c r="F58" s="133"/>
      <c r="L58">
        <v>1</v>
      </c>
      <c r="M58" s="22">
        <v>0.7</v>
      </c>
      <c r="N58" s="7">
        <v>76</v>
      </c>
      <c r="P58" s="3" t="s">
        <v>28</v>
      </c>
      <c r="R58" s="3" t="s">
        <v>29</v>
      </c>
    </row>
    <row r="59" spans="1:19" x14ac:dyDescent="0.25">
      <c r="M59" s="22">
        <v>0.7</v>
      </c>
      <c r="N59" s="7">
        <v>81</v>
      </c>
      <c r="P59" s="3" t="s">
        <v>8</v>
      </c>
      <c r="Q59" s="3" t="s">
        <v>9</v>
      </c>
      <c r="R59" s="3" t="s">
        <v>8</v>
      </c>
      <c r="S59" s="3" t="s">
        <v>9</v>
      </c>
    </row>
    <row r="60" spans="1:19" x14ac:dyDescent="0.25">
      <c r="M60" s="22">
        <v>0</v>
      </c>
      <c r="N60" s="7">
        <v>82</v>
      </c>
      <c r="O60" s="7"/>
      <c r="P60" s="7">
        <v>2.4467421297033005</v>
      </c>
      <c r="Q60" s="7">
        <v>1</v>
      </c>
      <c r="R60" s="7">
        <v>2.4467421297033005</v>
      </c>
      <c r="S60" s="7">
        <v>1</v>
      </c>
    </row>
    <row r="61" spans="1:19" x14ac:dyDescent="0.25">
      <c r="M61" s="22">
        <v>0</v>
      </c>
      <c r="N61" s="7">
        <v>91</v>
      </c>
      <c r="P61" s="7">
        <v>2.2099606332803998</v>
      </c>
      <c r="Q61" s="7">
        <v>50</v>
      </c>
      <c r="R61" s="7">
        <v>2.2099606332803998</v>
      </c>
      <c r="S61" s="7">
        <v>50</v>
      </c>
    </row>
    <row r="62" spans="1:19" x14ac:dyDescent="0.25">
      <c r="M62" s="25">
        <v>0.8</v>
      </c>
      <c r="N62" s="7">
        <v>92</v>
      </c>
      <c r="P62" s="7">
        <v>1.9994881920156</v>
      </c>
      <c r="Q62" s="7">
        <v>100</v>
      </c>
      <c r="R62" s="7">
        <v>1.9994881920156</v>
      </c>
      <c r="S62" s="7">
        <v>100</v>
      </c>
    </row>
    <row r="63" spans="1:19" x14ac:dyDescent="0.25">
      <c r="M63" s="25">
        <v>0</v>
      </c>
      <c r="N63" s="7">
        <v>96</v>
      </c>
      <c r="P63" s="7">
        <v>1.6048523646441002</v>
      </c>
      <c r="Q63" s="7">
        <v>150</v>
      </c>
      <c r="R63" s="7">
        <v>1.6048523646441002</v>
      </c>
      <c r="S63" s="7">
        <v>150</v>
      </c>
    </row>
    <row r="64" spans="1:19" x14ac:dyDescent="0.25">
      <c r="M64" s="25">
        <v>0</v>
      </c>
      <c r="N64" s="7">
        <v>100</v>
      </c>
      <c r="P64" s="7">
        <v>0.99974409600780001</v>
      </c>
      <c r="Q64" s="7">
        <v>200</v>
      </c>
      <c r="R64" s="7">
        <v>0.99974409600780001</v>
      </c>
      <c r="S64" s="7">
        <v>200</v>
      </c>
    </row>
    <row r="65" spans="10:20" x14ac:dyDescent="0.25">
      <c r="P65" s="7">
        <v>0.44725393768770011</v>
      </c>
      <c r="Q65" s="7">
        <v>250</v>
      </c>
      <c r="R65" s="7">
        <v>0.44725393768770011</v>
      </c>
      <c r="S65" s="7">
        <v>250</v>
      </c>
    </row>
    <row r="66" spans="10:20" x14ac:dyDescent="0.25">
      <c r="K66" t="s">
        <v>37</v>
      </c>
      <c r="L66" t="s">
        <v>65</v>
      </c>
      <c r="M66" t="s">
        <v>66</v>
      </c>
      <c r="N66" t="s">
        <v>67</v>
      </c>
      <c r="P66" s="7">
        <v>5.2618110316200013E-2</v>
      </c>
      <c r="Q66" s="12">
        <v>290</v>
      </c>
      <c r="R66" s="7">
        <v>5.2618110316200013E-2</v>
      </c>
      <c r="S66" s="12">
        <v>300</v>
      </c>
    </row>
    <row r="67" spans="10:20" x14ac:dyDescent="0.25">
      <c r="J67" t="s">
        <v>36</v>
      </c>
      <c r="K67" t="s">
        <v>58</v>
      </c>
      <c r="L67">
        <v>320</v>
      </c>
      <c r="M67">
        <v>28</v>
      </c>
      <c r="N67">
        <v>56</v>
      </c>
      <c r="P67" s="7">
        <v>0</v>
      </c>
      <c r="Q67" s="12">
        <v>298</v>
      </c>
      <c r="R67" s="7">
        <v>0</v>
      </c>
      <c r="S67" s="12">
        <v>348</v>
      </c>
    </row>
    <row r="68" spans="10:20" x14ac:dyDescent="0.25">
      <c r="J68" t="s">
        <v>35</v>
      </c>
      <c r="K68" t="s">
        <v>61</v>
      </c>
      <c r="L68">
        <v>304</v>
      </c>
      <c r="M68">
        <v>44</v>
      </c>
      <c r="N68">
        <v>88</v>
      </c>
      <c r="P68" s="7">
        <v>9.2081693053350025E-2</v>
      </c>
      <c r="Q68" s="12">
        <v>350</v>
      </c>
      <c r="R68" s="7"/>
      <c r="S68" s="12"/>
    </row>
    <row r="69" spans="10:20" x14ac:dyDescent="0.25">
      <c r="J69" t="s">
        <v>34</v>
      </c>
      <c r="K69" t="s">
        <v>62</v>
      </c>
      <c r="L69">
        <v>300</v>
      </c>
      <c r="M69">
        <v>48</v>
      </c>
      <c r="N69">
        <v>96</v>
      </c>
      <c r="P69" s="7">
        <v>0.44725393768770011</v>
      </c>
      <c r="Q69" s="12">
        <v>400</v>
      </c>
      <c r="R69" s="7">
        <v>0.44725393768770011</v>
      </c>
      <c r="S69" s="12">
        <v>400</v>
      </c>
    </row>
    <row r="70" spans="10:20" x14ac:dyDescent="0.25">
      <c r="J70" t="s">
        <v>33</v>
      </c>
      <c r="K70" t="s">
        <v>59</v>
      </c>
      <c r="L70">
        <v>298</v>
      </c>
      <c r="M70">
        <v>50</v>
      </c>
      <c r="N70">
        <v>100</v>
      </c>
      <c r="P70" s="7">
        <v>1.1049803166401999</v>
      </c>
      <c r="Q70" s="12">
        <v>450</v>
      </c>
      <c r="R70" s="7">
        <v>1.1049803166401999</v>
      </c>
      <c r="S70" s="12">
        <v>450</v>
      </c>
    </row>
    <row r="71" spans="10:20" x14ac:dyDescent="0.25">
      <c r="J71" t="s">
        <v>32</v>
      </c>
      <c r="K71" t="s">
        <v>63</v>
      </c>
      <c r="L71">
        <v>310</v>
      </c>
      <c r="M71">
        <v>38</v>
      </c>
      <c r="N71">
        <v>76</v>
      </c>
      <c r="P71" s="7">
        <v>1.9731791368575</v>
      </c>
      <c r="Q71" s="12">
        <v>500</v>
      </c>
      <c r="R71" s="7">
        <v>1.9731791368575</v>
      </c>
      <c r="S71" s="12">
        <v>500</v>
      </c>
    </row>
    <row r="72" spans="10:20" x14ac:dyDescent="0.25">
      <c r="J72" t="s">
        <v>31</v>
      </c>
      <c r="K72" t="s">
        <v>60</v>
      </c>
      <c r="L72">
        <v>348</v>
      </c>
      <c r="M72">
        <v>0</v>
      </c>
      <c r="N72">
        <v>0</v>
      </c>
      <c r="P72" s="7">
        <v>2.4993602400195001</v>
      </c>
      <c r="Q72" s="12">
        <v>550</v>
      </c>
      <c r="R72" s="7">
        <v>2.4993602400195001</v>
      </c>
      <c r="S72" s="12">
        <v>550</v>
      </c>
    </row>
    <row r="73" spans="10:20" x14ac:dyDescent="0.25">
      <c r="J73" t="s">
        <v>30</v>
      </c>
      <c r="K73" t="s">
        <v>64</v>
      </c>
      <c r="L73">
        <v>341</v>
      </c>
      <c r="M73">
        <v>7</v>
      </c>
      <c r="N73">
        <v>14</v>
      </c>
      <c r="P73" s="7">
        <v>2.6309055158100003</v>
      </c>
      <c r="Q73" s="12">
        <v>600</v>
      </c>
      <c r="R73" s="7">
        <v>2.6309055158100003</v>
      </c>
      <c r="S73" s="12">
        <v>600</v>
      </c>
    </row>
    <row r="74" spans="10:20" x14ac:dyDescent="0.25">
      <c r="P74" s="3" t="s">
        <v>10</v>
      </c>
      <c r="Q74" s="3" t="s">
        <v>11</v>
      </c>
      <c r="R74" s="3" t="s">
        <v>10</v>
      </c>
      <c r="S74" s="3" t="s">
        <v>11</v>
      </c>
    </row>
    <row r="75" spans="10:20" x14ac:dyDescent="0.25">
      <c r="O75" s="46" t="s">
        <v>30</v>
      </c>
      <c r="P75" s="7">
        <v>0.86</v>
      </c>
      <c r="Q75" s="35">
        <v>1</v>
      </c>
      <c r="R75" s="7">
        <v>0.14000000000000001</v>
      </c>
      <c r="S75" s="35">
        <v>1</v>
      </c>
      <c r="T75">
        <f>SUM(P75+R75)</f>
        <v>1</v>
      </c>
    </row>
    <row r="76" spans="10:20" x14ac:dyDescent="0.25">
      <c r="O76" s="46" t="s">
        <v>30</v>
      </c>
      <c r="P76" s="7">
        <v>0.86</v>
      </c>
      <c r="Q76" s="35">
        <v>10</v>
      </c>
      <c r="R76" s="7">
        <v>0.14000000000000001</v>
      </c>
      <c r="S76" s="35">
        <v>10</v>
      </c>
      <c r="T76">
        <f t="shared" ref="T76:T83" si="1">SUM(P76+R76)</f>
        <v>1</v>
      </c>
    </row>
    <row r="77" spans="10:20" x14ac:dyDescent="0.25">
      <c r="K77" t="s">
        <v>47</v>
      </c>
      <c r="L77" t="s">
        <v>48</v>
      </c>
      <c r="M77" t="s">
        <v>49</v>
      </c>
      <c r="O77" s="46" t="s">
        <v>31</v>
      </c>
      <c r="P77" s="47">
        <v>1</v>
      </c>
      <c r="Q77" s="35">
        <v>30</v>
      </c>
      <c r="R77" s="47">
        <v>0</v>
      </c>
      <c r="S77" s="35">
        <v>30</v>
      </c>
      <c r="T77">
        <f t="shared" si="1"/>
        <v>1</v>
      </c>
    </row>
    <row r="78" spans="10:20" x14ac:dyDescent="0.25">
      <c r="O78" s="46" t="s">
        <v>32</v>
      </c>
      <c r="P78" s="7">
        <v>0.24</v>
      </c>
      <c r="Q78" s="35">
        <v>42</v>
      </c>
      <c r="R78" s="7">
        <v>0.76</v>
      </c>
      <c r="S78" s="35">
        <v>42</v>
      </c>
      <c r="T78">
        <f t="shared" si="1"/>
        <v>1</v>
      </c>
    </row>
    <row r="79" spans="10:20" x14ac:dyDescent="0.25">
      <c r="J79">
        <v>8.0273692041415643</v>
      </c>
      <c r="K79">
        <v>1</v>
      </c>
      <c r="O79" s="46" t="s">
        <v>33</v>
      </c>
      <c r="P79" s="12">
        <v>0</v>
      </c>
      <c r="Q79" s="35">
        <v>60</v>
      </c>
      <c r="R79">
        <v>1</v>
      </c>
      <c r="S79" s="35">
        <v>60</v>
      </c>
      <c r="T79">
        <f t="shared" si="1"/>
        <v>1</v>
      </c>
    </row>
    <row r="80" spans="10:20" x14ac:dyDescent="0.25">
      <c r="J80">
        <v>7.2505270230956036</v>
      </c>
      <c r="K80">
        <v>50</v>
      </c>
      <c r="O80" s="46" t="s">
        <v>34</v>
      </c>
      <c r="P80" s="12">
        <v>0.04</v>
      </c>
      <c r="Q80" s="35">
        <v>78</v>
      </c>
      <c r="R80">
        <v>0.96</v>
      </c>
      <c r="S80" s="35">
        <v>78</v>
      </c>
      <c r="T80">
        <f t="shared" si="1"/>
        <v>1</v>
      </c>
    </row>
    <row r="81" spans="10:20" x14ac:dyDescent="0.25">
      <c r="J81">
        <v>6.5600006399436426</v>
      </c>
      <c r="K81">
        <v>100</v>
      </c>
      <c r="O81" s="46" t="s">
        <v>35</v>
      </c>
      <c r="P81" s="12">
        <v>0.12</v>
      </c>
      <c r="Q81" s="35">
        <v>92</v>
      </c>
      <c r="R81">
        <v>0.88</v>
      </c>
      <c r="S81" s="35">
        <v>92</v>
      </c>
      <c r="T81">
        <f t="shared" si="1"/>
        <v>1</v>
      </c>
    </row>
    <row r="82" spans="10:20" x14ac:dyDescent="0.25">
      <c r="J82">
        <v>5.2652636715337131</v>
      </c>
      <c r="K82">
        <v>150</v>
      </c>
      <c r="O82" s="46" t="s">
        <v>36</v>
      </c>
      <c r="P82" s="12">
        <v>0.44</v>
      </c>
      <c r="Q82" s="35">
        <v>93</v>
      </c>
      <c r="R82">
        <v>0.56000000000000005</v>
      </c>
      <c r="S82" s="35">
        <v>93</v>
      </c>
      <c r="T82">
        <f t="shared" si="1"/>
        <v>1</v>
      </c>
    </row>
    <row r="83" spans="10:20" x14ac:dyDescent="0.25">
      <c r="J83">
        <v>3.2800003199718213</v>
      </c>
      <c r="K83">
        <v>200</v>
      </c>
      <c r="O83" s="46" t="s">
        <v>36</v>
      </c>
      <c r="P83" s="12">
        <v>0.44</v>
      </c>
      <c r="Q83" s="35">
        <v>100</v>
      </c>
      <c r="R83">
        <v>0.56000000000000005</v>
      </c>
      <c r="S83" s="35">
        <v>100</v>
      </c>
      <c r="T83">
        <f t="shared" si="1"/>
        <v>1</v>
      </c>
    </row>
    <row r="84" spans="10:20" x14ac:dyDescent="0.25">
      <c r="J84">
        <v>1.4673685641979204</v>
      </c>
      <c r="K84">
        <v>250</v>
      </c>
    </row>
    <row r="85" spans="10:20" x14ac:dyDescent="0.25">
      <c r="J85">
        <v>0.17263159578799062</v>
      </c>
      <c r="K85">
        <v>300</v>
      </c>
    </row>
    <row r="86" spans="10:20" x14ac:dyDescent="0.25">
      <c r="J86">
        <v>0</v>
      </c>
      <c r="K86">
        <v>320</v>
      </c>
    </row>
    <row r="87" spans="10:20" x14ac:dyDescent="0.25">
      <c r="J87">
        <v>0.30210529262898361</v>
      </c>
      <c r="K87">
        <v>350</v>
      </c>
    </row>
    <row r="88" spans="10:20" x14ac:dyDescent="0.25">
      <c r="J88">
        <v>1.4673685641979204</v>
      </c>
      <c r="K88">
        <v>400</v>
      </c>
    </row>
    <row r="89" spans="10:20" x14ac:dyDescent="0.25">
      <c r="J89">
        <v>3.6252635115478018</v>
      </c>
      <c r="K89">
        <v>450</v>
      </c>
    </row>
    <row r="90" spans="10:20" x14ac:dyDescent="0.25">
      <c r="J90">
        <v>6.4736848420496473</v>
      </c>
      <c r="K90">
        <v>500</v>
      </c>
    </row>
    <row r="91" spans="10:20" x14ac:dyDescent="0.25">
      <c r="J91">
        <v>8.200000799929553</v>
      </c>
      <c r="K91">
        <v>550</v>
      </c>
      <c r="P91" s="3"/>
      <c r="R91" s="3"/>
    </row>
    <row r="92" spans="10:20" x14ac:dyDescent="0.25">
      <c r="J92">
        <v>8.631579789399531</v>
      </c>
      <c r="K92">
        <v>600</v>
      </c>
      <c r="P92" s="3"/>
      <c r="Q92" s="3"/>
      <c r="R92" s="3"/>
      <c r="S92" s="3"/>
    </row>
    <row r="93" spans="10:20" x14ac:dyDescent="0.25">
      <c r="O93" s="41"/>
      <c r="P93" s="37"/>
      <c r="R93" s="7"/>
    </row>
    <row r="94" spans="10:20" x14ac:dyDescent="0.25">
      <c r="O94" s="41"/>
    </row>
    <row r="95" spans="10:20" x14ac:dyDescent="0.25">
      <c r="O95" s="41"/>
    </row>
    <row r="96" spans="10:20" x14ac:dyDescent="0.25">
      <c r="O96" s="41"/>
    </row>
    <row r="97" spans="15:19" x14ac:dyDescent="0.25">
      <c r="O97" s="41"/>
    </row>
    <row r="98" spans="15:19" x14ac:dyDescent="0.25">
      <c r="O98" s="41"/>
    </row>
    <row r="99" spans="15:19" x14ac:dyDescent="0.25">
      <c r="O99" s="41"/>
    </row>
    <row r="100" spans="15:19" x14ac:dyDescent="0.25">
      <c r="O100" s="41"/>
    </row>
    <row r="101" spans="15:19" x14ac:dyDescent="0.25">
      <c r="O101" s="41"/>
    </row>
    <row r="105" spans="15:19" x14ac:dyDescent="0.25">
      <c r="R105" s="3"/>
    </row>
    <row r="106" spans="15:19" x14ac:dyDescent="0.25">
      <c r="Q106" s="3"/>
      <c r="R106" s="3"/>
      <c r="S106" s="3"/>
    </row>
    <row r="107" spans="15:19" x14ac:dyDescent="0.25">
      <c r="R107" s="7"/>
    </row>
    <row r="110" spans="15:19" x14ac:dyDescent="0.25">
      <c r="O110" s="41"/>
    </row>
    <row r="111" spans="15:19" x14ac:dyDescent="0.25">
      <c r="O111" s="41"/>
    </row>
    <row r="112" spans="15:19" x14ac:dyDescent="0.25">
      <c r="O112" s="41"/>
    </row>
    <row r="113" spans="15:15" x14ac:dyDescent="0.25">
      <c r="O113" s="41"/>
    </row>
    <row r="114" spans="15:15" x14ac:dyDescent="0.25">
      <c r="O114" s="41"/>
    </row>
    <row r="115" spans="15:15" x14ac:dyDescent="0.25">
      <c r="O115" s="41"/>
    </row>
  </sheetData>
  <mergeCells count="3">
    <mergeCell ref="A1:F3"/>
    <mergeCell ref="A20:F22"/>
    <mergeCell ref="A56:F5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3"/>
  <sheetViews>
    <sheetView zoomScale="96" zoomScaleNormal="96" workbookViewId="0">
      <selection activeCell="M103" sqref="M103"/>
    </sheetView>
  </sheetViews>
  <sheetFormatPr defaultRowHeight="15" x14ac:dyDescent="0.25"/>
  <cols>
    <col min="1" max="1" width="25.7109375" customWidth="1"/>
    <col min="2" max="2" width="29" customWidth="1"/>
    <col min="3" max="3" width="19.85546875" customWidth="1"/>
    <col min="4" max="4" width="14" customWidth="1"/>
    <col min="5" max="5" width="16.7109375" customWidth="1"/>
    <col min="6" max="6" width="15.5703125" customWidth="1"/>
    <col min="7" max="7" width="1.42578125" customWidth="1"/>
    <col min="8" max="8" width="2.42578125" customWidth="1"/>
    <col min="9" max="9" width="2.28515625" customWidth="1"/>
    <col min="10" max="10" width="24.85546875" customWidth="1"/>
    <col min="11" max="11" width="29.42578125" customWidth="1"/>
    <col min="12" max="12" width="3" customWidth="1"/>
    <col min="13" max="13" width="45.140625" customWidth="1"/>
    <col min="14" max="14" width="26.28515625" customWidth="1"/>
    <col min="15" max="15" width="3.28515625" customWidth="1"/>
    <col min="16" max="16" width="38.85546875" customWidth="1"/>
    <col min="17" max="17" width="26.28515625" customWidth="1"/>
    <col min="18" max="18" width="2.140625" customWidth="1"/>
    <col min="19" max="19" width="38.5703125" customWidth="1"/>
    <col min="20" max="20" width="33.5703125" customWidth="1"/>
    <col min="21" max="21" width="38.85546875" customWidth="1"/>
    <col min="22" max="22" width="37.85546875" customWidth="1"/>
    <col min="23" max="23" width="26" customWidth="1"/>
    <col min="30" max="30" width="16.7109375" customWidth="1"/>
    <col min="31" max="31" width="15.28515625" customWidth="1"/>
  </cols>
  <sheetData>
    <row r="1" spans="1:23" x14ac:dyDescent="0.25">
      <c r="A1" s="130" t="s">
        <v>24</v>
      </c>
      <c r="B1" s="130"/>
      <c r="C1" s="130"/>
      <c r="D1" s="130"/>
      <c r="E1" s="130"/>
      <c r="F1" s="130"/>
    </row>
    <row r="2" spans="1:23" x14ac:dyDescent="0.25">
      <c r="A2" s="130"/>
      <c r="B2" s="130"/>
      <c r="C2" s="130"/>
      <c r="D2" s="130"/>
      <c r="E2" s="130"/>
      <c r="F2" s="130"/>
    </row>
    <row r="3" spans="1:23" x14ac:dyDescent="0.25">
      <c r="A3" s="131"/>
      <c r="B3" s="131"/>
      <c r="C3" s="131"/>
      <c r="D3" s="131"/>
      <c r="E3" s="131"/>
      <c r="F3" s="131"/>
    </row>
    <row r="4" spans="1:23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/>
      <c r="H4" s="4"/>
      <c r="I4" s="4"/>
      <c r="J4" s="3" t="s">
        <v>6</v>
      </c>
      <c r="K4" s="3" t="s">
        <v>7</v>
      </c>
      <c r="M4" s="10"/>
      <c r="N4" s="10"/>
      <c r="P4" s="10"/>
      <c r="Q4" s="10"/>
      <c r="R4" s="10"/>
      <c r="S4" s="3" t="s">
        <v>8</v>
      </c>
      <c r="T4" s="3" t="s">
        <v>9</v>
      </c>
      <c r="U4" s="3"/>
      <c r="V4" s="3" t="s">
        <v>10</v>
      </c>
      <c r="W4" s="3" t="s">
        <v>11</v>
      </c>
    </row>
    <row r="5" spans="1:23" x14ac:dyDescent="0.25">
      <c r="A5" s="7">
        <v>15750</v>
      </c>
      <c r="B5" s="7">
        <v>25</v>
      </c>
      <c r="C5" s="7">
        <v>1000000</v>
      </c>
      <c r="D5" s="7">
        <v>10000</v>
      </c>
      <c r="E5" s="7">
        <v>100</v>
      </c>
      <c r="F5" s="7">
        <v>600</v>
      </c>
      <c r="G5" s="8"/>
      <c r="H5" s="6"/>
      <c r="I5" s="6"/>
      <c r="J5" s="7">
        <v>140</v>
      </c>
      <c r="K5" s="7">
        <v>1</v>
      </c>
      <c r="M5" s="7"/>
      <c r="N5" s="7"/>
      <c r="P5" s="7"/>
      <c r="Q5" s="7"/>
      <c r="R5" s="7"/>
      <c r="S5" s="7">
        <v>0.66700724999999983</v>
      </c>
      <c r="T5" s="7">
        <v>1</v>
      </c>
      <c r="U5" s="7"/>
      <c r="V5" s="7">
        <v>1</v>
      </c>
      <c r="W5" s="7">
        <v>1</v>
      </c>
    </row>
    <row r="6" spans="1:23" x14ac:dyDescent="0.25">
      <c r="A6" s="7"/>
      <c r="B6" s="7"/>
      <c r="C6" s="7"/>
      <c r="D6" s="7"/>
      <c r="E6" s="7"/>
      <c r="F6" s="7"/>
      <c r="G6" s="8"/>
      <c r="H6" s="6"/>
      <c r="I6" s="6"/>
      <c r="J6" s="7">
        <v>35</v>
      </c>
      <c r="K6" s="7">
        <v>150</v>
      </c>
      <c r="M6" s="7"/>
      <c r="N6" s="7"/>
      <c r="P6" s="7"/>
      <c r="Q6" s="7"/>
      <c r="R6" s="7"/>
      <c r="S6" s="7">
        <v>0.60103949999999984</v>
      </c>
      <c r="T6" s="7">
        <v>50</v>
      </c>
      <c r="U6" s="7"/>
      <c r="V6" s="7">
        <v>1</v>
      </c>
      <c r="W6" s="7">
        <v>100</v>
      </c>
    </row>
    <row r="7" spans="1:23" x14ac:dyDescent="0.25">
      <c r="A7" s="7"/>
      <c r="B7" s="7"/>
      <c r="C7" s="7"/>
      <c r="D7" s="7"/>
      <c r="E7" s="7"/>
      <c r="F7" s="7"/>
      <c r="G7" s="8"/>
      <c r="H7" s="6"/>
      <c r="I7" s="6"/>
      <c r="J7" s="7">
        <v>0</v>
      </c>
      <c r="K7" s="7">
        <v>300</v>
      </c>
      <c r="M7" s="7"/>
      <c r="N7" s="7"/>
      <c r="P7" s="7"/>
      <c r="Q7" s="7"/>
      <c r="R7" s="7"/>
      <c r="S7" s="7">
        <v>0.53507174999999996</v>
      </c>
      <c r="T7" s="7">
        <v>100</v>
      </c>
      <c r="U7" s="7"/>
      <c r="V7" s="7"/>
      <c r="W7" s="7"/>
    </row>
    <row r="8" spans="1:23" x14ac:dyDescent="0.25">
      <c r="A8" s="7"/>
      <c r="B8" s="7"/>
      <c r="C8" s="7"/>
      <c r="D8" s="7"/>
      <c r="E8" s="7"/>
      <c r="F8" s="7"/>
      <c r="G8" s="8"/>
      <c r="H8" s="6"/>
      <c r="I8" s="6"/>
      <c r="J8" s="7">
        <v>35</v>
      </c>
      <c r="K8" s="7">
        <v>450</v>
      </c>
      <c r="M8" s="7"/>
      <c r="N8" s="7"/>
      <c r="P8" s="7"/>
      <c r="Q8" s="7"/>
      <c r="R8" s="7"/>
      <c r="S8" s="7">
        <v>0.43245524999999996</v>
      </c>
      <c r="T8" s="7">
        <v>150</v>
      </c>
      <c r="U8" s="7"/>
      <c r="V8" s="7"/>
      <c r="W8" s="7"/>
    </row>
    <row r="9" spans="1:23" x14ac:dyDescent="0.25">
      <c r="A9" s="7"/>
      <c r="B9" s="7"/>
      <c r="C9" s="7"/>
      <c r="D9" s="7"/>
      <c r="E9" s="7"/>
      <c r="F9" s="7"/>
      <c r="G9" s="8"/>
      <c r="H9" s="6"/>
      <c r="I9" s="6"/>
      <c r="J9" s="7">
        <v>144</v>
      </c>
      <c r="K9" s="11">
        <v>650</v>
      </c>
      <c r="M9" s="9"/>
      <c r="N9" s="9"/>
      <c r="P9" s="9"/>
      <c r="Q9" s="9"/>
      <c r="R9" s="9"/>
      <c r="S9" s="7">
        <v>0.27853049999999996</v>
      </c>
      <c r="T9" s="7">
        <v>200</v>
      </c>
      <c r="U9" s="7"/>
      <c r="V9" s="7"/>
      <c r="W9" s="7"/>
    </row>
    <row r="10" spans="1:23" x14ac:dyDescent="0.25">
      <c r="A10" s="9"/>
      <c r="B10" s="9"/>
      <c r="C10" s="9"/>
      <c r="D10" s="9"/>
      <c r="E10" s="9"/>
      <c r="F10" s="9"/>
      <c r="G10" s="8"/>
      <c r="H10" s="6"/>
      <c r="I10" s="6"/>
      <c r="J10" s="7"/>
      <c r="K10" s="7"/>
      <c r="M10" s="9"/>
      <c r="N10" s="9"/>
      <c r="P10" s="9"/>
      <c r="Q10" s="9"/>
      <c r="R10" s="9"/>
      <c r="S10" s="7">
        <v>0.12460575</v>
      </c>
      <c r="T10" s="7">
        <v>250</v>
      </c>
      <c r="U10" s="7"/>
      <c r="V10" s="7"/>
      <c r="W10" s="7"/>
    </row>
    <row r="11" spans="1:23" x14ac:dyDescent="0.25">
      <c r="S11" s="7">
        <v>1.4659499999999999E-2</v>
      </c>
      <c r="T11" s="12">
        <v>300</v>
      </c>
      <c r="U11" s="9"/>
    </row>
    <row r="12" spans="1:23" x14ac:dyDescent="0.25">
      <c r="S12" s="7">
        <v>0</v>
      </c>
      <c r="T12" s="12">
        <v>320</v>
      </c>
      <c r="U12" s="9"/>
    </row>
    <row r="13" spans="1:23" x14ac:dyDescent="0.25">
      <c r="S13" s="7">
        <v>2.1749999999999999E-2</v>
      </c>
      <c r="T13" s="12">
        <v>350</v>
      </c>
      <c r="U13" s="9"/>
    </row>
    <row r="14" spans="1:23" x14ac:dyDescent="0.25">
      <c r="S14" s="7">
        <v>0.12325</v>
      </c>
      <c r="T14" s="12">
        <v>400</v>
      </c>
      <c r="U14" s="9"/>
    </row>
    <row r="15" spans="1:23" x14ac:dyDescent="0.25">
      <c r="S15" s="7">
        <v>0.29724999999999996</v>
      </c>
      <c r="T15" s="12">
        <v>450</v>
      </c>
      <c r="U15" s="9"/>
    </row>
    <row r="16" spans="1:23" x14ac:dyDescent="0.25">
      <c r="S16" s="7">
        <v>0.52925</v>
      </c>
      <c r="T16" s="12">
        <v>500</v>
      </c>
      <c r="U16" s="9"/>
    </row>
    <row r="17" spans="1:23" x14ac:dyDescent="0.25">
      <c r="S17" s="7">
        <v>0.66700000000000004</v>
      </c>
      <c r="T17" s="12">
        <v>550</v>
      </c>
      <c r="U17" s="9"/>
    </row>
    <row r="18" spans="1:23" x14ac:dyDescent="0.25">
      <c r="S18" s="7">
        <v>0.72499999999999998</v>
      </c>
      <c r="T18" s="12">
        <v>600</v>
      </c>
      <c r="U18" s="9"/>
    </row>
    <row r="20" spans="1:23" x14ac:dyDescent="0.25">
      <c r="A20" s="132" t="s">
        <v>145</v>
      </c>
      <c r="B20" s="132"/>
      <c r="C20" s="132"/>
      <c r="D20" s="132"/>
      <c r="E20" s="132"/>
      <c r="F20" s="132"/>
    </row>
    <row r="21" spans="1:23" x14ac:dyDescent="0.25">
      <c r="A21" s="132"/>
      <c r="B21" s="132"/>
      <c r="C21" s="132"/>
      <c r="D21" s="132"/>
      <c r="E21" s="132"/>
      <c r="F21" s="132"/>
    </row>
    <row r="22" spans="1:23" x14ac:dyDescent="0.25">
      <c r="A22" s="133"/>
      <c r="B22" s="133"/>
      <c r="C22" s="133"/>
      <c r="D22" s="133"/>
      <c r="E22" s="133"/>
      <c r="F22" s="133"/>
    </row>
    <row r="23" spans="1:23" x14ac:dyDescent="0.25">
      <c r="A23" s="3" t="s">
        <v>0</v>
      </c>
      <c r="B23" s="3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4"/>
      <c r="H23" s="4"/>
      <c r="I23" s="4"/>
      <c r="J23" s="3" t="s">
        <v>6</v>
      </c>
      <c r="K23" s="3" t="s">
        <v>7</v>
      </c>
      <c r="M23" s="3" t="s">
        <v>8</v>
      </c>
      <c r="N23" s="3" t="s">
        <v>9</v>
      </c>
      <c r="P23" s="3" t="s">
        <v>147</v>
      </c>
      <c r="Q23" s="3" t="s">
        <v>100</v>
      </c>
      <c r="R23" s="3"/>
      <c r="S23" s="3" t="s">
        <v>148</v>
      </c>
      <c r="T23" s="3" t="s">
        <v>149</v>
      </c>
      <c r="U23" s="3" t="s">
        <v>150</v>
      </c>
      <c r="V23" s="3" t="s">
        <v>151</v>
      </c>
      <c r="W23" s="3"/>
    </row>
    <row r="24" spans="1:23" x14ac:dyDescent="0.25">
      <c r="A24" s="7">
        <v>15750</v>
      </c>
      <c r="B24" s="7">
        <v>25</v>
      </c>
      <c r="C24" s="7">
        <v>1000000</v>
      </c>
      <c r="D24" s="7">
        <v>10000</v>
      </c>
      <c r="E24" s="7">
        <v>100</v>
      </c>
      <c r="F24" s="7">
        <v>631</v>
      </c>
      <c r="G24" s="8"/>
      <c r="H24" s="6"/>
      <c r="I24" s="6"/>
      <c r="J24" s="85">
        <v>175</v>
      </c>
      <c r="K24" s="85">
        <v>1</v>
      </c>
      <c r="M24" s="7">
        <v>2.4467421297033005</v>
      </c>
      <c r="N24" s="88">
        <v>1</v>
      </c>
      <c r="P24" s="7">
        <v>2658.1985880000002</v>
      </c>
      <c r="Q24" s="7">
        <v>1</v>
      </c>
      <c r="R24" s="7"/>
      <c r="S24" s="7">
        <v>1789.0790821999999</v>
      </c>
      <c r="T24" s="7">
        <f>SUM(P24-S24)</f>
        <v>869.1195058000003</v>
      </c>
      <c r="U24" s="7">
        <f>SUM(100-(S24/P24)*100)</f>
        <v>32.695807970235819</v>
      </c>
      <c r="V24" s="7">
        <f>SUM(U24+100)/100</f>
        <v>1.3269580797023581</v>
      </c>
      <c r="W24" s="7"/>
    </row>
    <row r="25" spans="1:23" x14ac:dyDescent="0.25">
      <c r="A25" s="7"/>
      <c r="B25" s="7"/>
      <c r="C25" s="7"/>
      <c r="D25" s="7"/>
      <c r="E25" s="7"/>
      <c r="F25" s="7"/>
      <c r="G25" s="8"/>
      <c r="H25" s="6"/>
      <c r="I25" s="6"/>
      <c r="J25" s="85">
        <v>175</v>
      </c>
      <c r="K25" s="87">
        <v>122</v>
      </c>
      <c r="M25" s="7">
        <v>2.2099606332803998</v>
      </c>
      <c r="N25" s="85">
        <v>52</v>
      </c>
      <c r="P25" s="7">
        <v>2365.21924358147</v>
      </c>
      <c r="Q25">
        <v>52</v>
      </c>
      <c r="S25" s="7">
        <v>1598.6425083279601</v>
      </c>
      <c r="T25" s="7">
        <f t="shared" ref="T25:T37" si="0">SUM(P25-S25)</f>
        <v>766.57673525350992</v>
      </c>
      <c r="U25" s="7">
        <f t="shared" ref="U25:U37" si="1">SUM(100-(S25/P25)*100)</f>
        <v>32.410388057419212</v>
      </c>
      <c r="V25" s="7">
        <f t="shared" ref="V25:V37" si="2">SUM(U25+100)/100</f>
        <v>1.324103880574192</v>
      </c>
      <c r="W25" s="7"/>
    </row>
    <row r="26" spans="1:23" x14ac:dyDescent="0.25">
      <c r="A26" s="7"/>
      <c r="B26" s="7"/>
      <c r="C26" s="7"/>
      <c r="D26" s="7"/>
      <c r="E26" s="7"/>
      <c r="F26" s="7"/>
      <c r="G26" s="8"/>
      <c r="H26" s="6"/>
      <c r="I26" s="6"/>
      <c r="J26" s="85">
        <v>115</v>
      </c>
      <c r="K26" s="85">
        <v>160</v>
      </c>
      <c r="M26" s="7">
        <v>1.9994881920156</v>
      </c>
      <c r="N26" s="85">
        <v>105</v>
      </c>
      <c r="P26" s="7">
        <v>2175.7480119367001</v>
      </c>
      <c r="Q26">
        <v>105</v>
      </c>
      <c r="S26" s="7">
        <v>1475.48620775886</v>
      </c>
      <c r="T26" s="7">
        <f t="shared" si="0"/>
        <v>700.26180417784008</v>
      </c>
      <c r="U26" s="7">
        <f t="shared" si="1"/>
        <v>32.184876205150033</v>
      </c>
      <c r="V26" s="7">
        <f t="shared" si="2"/>
        <v>1.3218487620515003</v>
      </c>
      <c r="W26" s="7"/>
    </row>
    <row r="27" spans="1:23" x14ac:dyDescent="0.25">
      <c r="A27" s="7"/>
      <c r="B27" s="7"/>
      <c r="C27" s="7"/>
      <c r="D27" s="7"/>
      <c r="E27" s="7"/>
      <c r="F27" s="7"/>
      <c r="G27" s="8"/>
      <c r="H27" s="6"/>
      <c r="I27" s="6"/>
      <c r="J27" s="85">
        <v>90</v>
      </c>
      <c r="K27" s="85">
        <v>200</v>
      </c>
      <c r="M27" s="7">
        <v>1.6048523646441002</v>
      </c>
      <c r="N27" s="85">
        <v>158</v>
      </c>
      <c r="P27" s="7">
        <v>1689.2273475828699</v>
      </c>
      <c r="Q27">
        <v>158</v>
      </c>
      <c r="S27" s="7">
        <v>1138.98087320435</v>
      </c>
      <c r="T27" s="7">
        <f t="shared" si="0"/>
        <v>550.24647437851991</v>
      </c>
      <c r="U27" s="7">
        <f t="shared" si="1"/>
        <v>32.57385544733647</v>
      </c>
      <c r="V27" s="7">
        <f t="shared" si="2"/>
        <v>1.3257385544733649</v>
      </c>
      <c r="W27" s="7"/>
    </row>
    <row r="28" spans="1:23" x14ac:dyDescent="0.25">
      <c r="A28" s="7"/>
      <c r="B28" s="7"/>
      <c r="C28" s="7"/>
      <c r="D28" s="7"/>
      <c r="E28" s="7"/>
      <c r="F28" s="7"/>
      <c r="G28" s="8"/>
      <c r="H28" s="6"/>
      <c r="I28" s="6"/>
      <c r="J28" s="85">
        <v>70</v>
      </c>
      <c r="K28" s="85">
        <v>240</v>
      </c>
      <c r="M28" s="7">
        <v>0.99974409600780001</v>
      </c>
      <c r="N28" s="85">
        <v>210</v>
      </c>
      <c r="P28" s="7">
        <v>1075.31666575962</v>
      </c>
      <c r="Q28">
        <v>210</v>
      </c>
      <c r="S28" s="7">
        <v>728.77874941042205</v>
      </c>
      <c r="T28" s="7">
        <f t="shared" si="0"/>
        <v>346.53791634919799</v>
      </c>
      <c r="U28" s="7">
        <f t="shared" si="1"/>
        <v>32.226592164308954</v>
      </c>
      <c r="V28" s="7">
        <f t="shared" si="2"/>
        <v>1.3222659216430896</v>
      </c>
      <c r="W28" s="7"/>
    </row>
    <row r="29" spans="1:23" x14ac:dyDescent="0.25">
      <c r="A29" s="9"/>
      <c r="B29" s="9"/>
      <c r="C29" s="9"/>
      <c r="D29" s="9"/>
      <c r="E29" s="9"/>
      <c r="F29" s="9"/>
      <c r="G29" s="8"/>
      <c r="H29" s="6"/>
      <c r="I29" s="6"/>
      <c r="J29" s="85">
        <v>0</v>
      </c>
      <c r="K29" s="85">
        <v>280</v>
      </c>
      <c r="M29" s="7">
        <v>0.44725393768770011</v>
      </c>
      <c r="N29" s="85">
        <v>263</v>
      </c>
      <c r="P29" s="7">
        <v>436.32192380769601</v>
      </c>
      <c r="Q29">
        <v>263</v>
      </c>
      <c r="S29" s="7">
        <v>291.99275915555802</v>
      </c>
      <c r="T29" s="7">
        <f t="shared" si="0"/>
        <v>144.32916465213799</v>
      </c>
      <c r="U29" s="7">
        <f t="shared" si="1"/>
        <v>33.078595591210643</v>
      </c>
      <c r="V29" s="7">
        <f t="shared" si="2"/>
        <v>1.3307859559121065</v>
      </c>
      <c r="W29" s="7"/>
    </row>
    <row r="30" spans="1:23" x14ac:dyDescent="0.25">
      <c r="J30" s="85">
        <v>6</v>
      </c>
      <c r="K30" s="85">
        <v>320</v>
      </c>
      <c r="M30" s="7">
        <v>5.2618110316200013E-2</v>
      </c>
      <c r="N30" s="85">
        <v>315</v>
      </c>
      <c r="P30" s="9">
        <v>37.088043265439097</v>
      </c>
      <c r="Q30">
        <v>315</v>
      </c>
      <c r="S30" s="7">
        <v>25.9160171850355</v>
      </c>
      <c r="T30" s="7">
        <f t="shared" si="0"/>
        <v>11.172026080403597</v>
      </c>
      <c r="U30" s="7">
        <f t="shared" si="1"/>
        <v>30.122985999680324</v>
      </c>
      <c r="V30" s="7">
        <f t="shared" si="2"/>
        <v>1.3012298599968033</v>
      </c>
    </row>
    <row r="31" spans="1:23" x14ac:dyDescent="0.25">
      <c r="J31" s="85">
        <v>12</v>
      </c>
      <c r="K31" s="85">
        <v>360</v>
      </c>
      <c r="M31" s="7">
        <v>0</v>
      </c>
      <c r="N31" s="85">
        <v>336</v>
      </c>
      <c r="P31" s="9">
        <v>7.8071854838709704</v>
      </c>
      <c r="Q31">
        <v>334</v>
      </c>
      <c r="S31" s="7">
        <v>7.8071854838709704</v>
      </c>
      <c r="T31" s="7">
        <f t="shared" si="0"/>
        <v>0</v>
      </c>
      <c r="U31" s="7">
        <f t="shared" si="1"/>
        <v>0</v>
      </c>
      <c r="V31" s="7">
        <f t="shared" si="2"/>
        <v>1</v>
      </c>
    </row>
    <row r="32" spans="1:23" x14ac:dyDescent="0.25">
      <c r="J32" s="85">
        <v>37</v>
      </c>
      <c r="K32" s="85">
        <v>400</v>
      </c>
      <c r="M32" s="7">
        <v>9.2081693053350025E-2</v>
      </c>
      <c r="N32" s="85">
        <v>368</v>
      </c>
      <c r="P32" s="9">
        <v>82.724981869915098</v>
      </c>
      <c r="Q32">
        <v>368</v>
      </c>
      <c r="S32" s="7">
        <v>58.946567424459502</v>
      </c>
      <c r="T32" s="7">
        <f t="shared" si="0"/>
        <v>23.778414445455596</v>
      </c>
      <c r="U32" s="7">
        <f t="shared" si="1"/>
        <v>28.743934308558821</v>
      </c>
      <c r="V32" s="7">
        <f t="shared" si="2"/>
        <v>1.2874393430855884</v>
      </c>
    </row>
    <row r="33" spans="10:22" x14ac:dyDescent="0.25">
      <c r="J33" s="85">
        <v>85</v>
      </c>
      <c r="K33" s="85">
        <v>440</v>
      </c>
      <c r="M33" s="7">
        <v>0.44725393768770011</v>
      </c>
      <c r="N33" s="85">
        <v>420</v>
      </c>
      <c r="P33" s="9">
        <v>524.92701955171196</v>
      </c>
      <c r="Q33">
        <v>420</v>
      </c>
      <c r="S33" s="7">
        <v>362.27980776188502</v>
      </c>
      <c r="T33" s="7">
        <f t="shared" si="0"/>
        <v>162.64721178982694</v>
      </c>
      <c r="U33" s="7">
        <f t="shared" si="1"/>
        <v>30.984728492110719</v>
      </c>
      <c r="V33" s="7">
        <f t="shared" si="2"/>
        <v>1.3098472849211071</v>
      </c>
    </row>
    <row r="34" spans="10:22" x14ac:dyDescent="0.25">
      <c r="J34" s="85">
        <v>118</v>
      </c>
      <c r="K34" s="88">
        <v>480</v>
      </c>
      <c r="M34" s="7">
        <v>1.1049803166401999</v>
      </c>
      <c r="N34" s="85">
        <v>473</v>
      </c>
      <c r="P34" s="9">
        <v>1246.47039996934</v>
      </c>
      <c r="Q34">
        <v>473</v>
      </c>
      <c r="S34" s="7">
        <v>849.17169346965602</v>
      </c>
      <c r="T34" s="7">
        <f t="shared" si="0"/>
        <v>397.29870649968393</v>
      </c>
      <c r="U34" s="7">
        <f t="shared" si="1"/>
        <v>31.873898209653149</v>
      </c>
      <c r="V34" s="7">
        <f t="shared" si="2"/>
        <v>1.3187389820965314</v>
      </c>
    </row>
    <row r="35" spans="10:22" x14ac:dyDescent="0.25">
      <c r="J35" s="85">
        <v>175</v>
      </c>
      <c r="K35" s="85">
        <v>520</v>
      </c>
      <c r="M35" s="7">
        <v>1.9731791368575</v>
      </c>
      <c r="N35" s="85">
        <v>525</v>
      </c>
      <c r="P35" s="9">
        <v>2178.7032305012999</v>
      </c>
      <c r="Q35">
        <v>525</v>
      </c>
      <c r="S35" s="7">
        <v>1477.4070998258501</v>
      </c>
      <c r="T35" s="7">
        <f t="shared" si="0"/>
        <v>701.29613067544983</v>
      </c>
      <c r="U35" s="7">
        <f t="shared" si="1"/>
        <v>32.188694672017718</v>
      </c>
      <c r="V35" s="7">
        <f t="shared" si="2"/>
        <v>1.3218869467201773</v>
      </c>
    </row>
    <row r="36" spans="10:22" x14ac:dyDescent="0.25">
      <c r="J36" s="85">
        <v>175</v>
      </c>
      <c r="K36" s="85">
        <v>631</v>
      </c>
      <c r="M36" s="7">
        <v>2.4993602400195001</v>
      </c>
      <c r="N36" s="85">
        <v>578</v>
      </c>
      <c r="P36">
        <v>2698.4434325521602</v>
      </c>
      <c r="Q36">
        <v>578</v>
      </c>
      <c r="S36" s="7">
        <v>1815.2382311588999</v>
      </c>
      <c r="T36" s="7">
        <f t="shared" si="0"/>
        <v>883.20520139326027</v>
      </c>
      <c r="U36" s="7">
        <f t="shared" si="1"/>
        <v>32.730172911497121</v>
      </c>
      <c r="V36" s="7">
        <f t="shared" si="2"/>
        <v>1.3273017291149711</v>
      </c>
    </row>
    <row r="37" spans="10:22" x14ac:dyDescent="0.25">
      <c r="M37" s="7">
        <v>2.6309055158100003</v>
      </c>
      <c r="N37" s="85">
        <v>631</v>
      </c>
      <c r="P37">
        <v>2845.1060080000002</v>
      </c>
      <c r="Q37">
        <v>631</v>
      </c>
      <c r="S37" s="7">
        <v>1910.5689052</v>
      </c>
      <c r="T37" s="7">
        <f t="shared" si="0"/>
        <v>934.53710280000018</v>
      </c>
      <c r="U37" s="7">
        <f t="shared" si="1"/>
        <v>32.847180392302633</v>
      </c>
      <c r="V37" s="7">
        <f t="shared" si="2"/>
        <v>1.3284718039230261</v>
      </c>
    </row>
    <row r="39" spans="10:22" x14ac:dyDescent="0.25">
      <c r="M39">
        <f>SUM(V24*M24)</f>
        <v>3.2467242379579497</v>
      </c>
      <c r="N39" s="88">
        <v>1</v>
      </c>
      <c r="P39">
        <v>2274.3047471499999</v>
      </c>
    </row>
    <row r="40" spans="10:22" x14ac:dyDescent="0.25">
      <c r="M40">
        <f t="shared" ref="M40:M52" si="3">SUM(V25*M25)</f>
        <v>2.9262174504427763</v>
      </c>
      <c r="N40" s="85">
        <v>52</v>
      </c>
    </row>
    <row r="41" spans="10:22" x14ac:dyDescent="0.25">
      <c r="M41">
        <f t="shared" si="3"/>
        <v>2.6430209913524134</v>
      </c>
      <c r="N41" s="85">
        <v>105</v>
      </c>
    </row>
    <row r="42" spans="10:22" x14ac:dyDescent="0.25">
      <c r="M42">
        <f t="shared" si="3"/>
        <v>2.1276146540464307</v>
      </c>
      <c r="N42" s="85">
        <v>158</v>
      </c>
    </row>
    <row r="43" spans="10:22" x14ac:dyDescent="0.25">
      <c r="M43">
        <f t="shared" si="3"/>
        <v>1.3219275485149913</v>
      </c>
      <c r="N43" s="85">
        <v>210</v>
      </c>
    </row>
    <row r="44" spans="10:22" x14ac:dyDescent="0.25">
      <c r="M44">
        <f t="shared" si="3"/>
        <v>0.59519925900117965</v>
      </c>
      <c r="N44" s="85">
        <v>263</v>
      </c>
    </row>
    <row r="45" spans="10:22" x14ac:dyDescent="0.25">
      <c r="M45">
        <f t="shared" si="3"/>
        <v>6.8468256320045301E-2</v>
      </c>
      <c r="N45" s="85">
        <v>315</v>
      </c>
    </row>
    <row r="46" spans="10:22" x14ac:dyDescent="0.25">
      <c r="M46">
        <f t="shared" si="3"/>
        <v>0</v>
      </c>
      <c r="N46" s="85">
        <v>336</v>
      </c>
    </row>
    <row r="47" spans="10:22" x14ac:dyDescent="0.25">
      <c r="M47">
        <f t="shared" si="3"/>
        <v>0.11854959441481375</v>
      </c>
      <c r="N47" s="85">
        <v>368</v>
      </c>
    </row>
    <row r="48" spans="10:22" x14ac:dyDescent="0.25">
      <c r="M48">
        <f t="shared" si="3"/>
        <v>0.58583435595050803</v>
      </c>
      <c r="N48" s="85">
        <v>420</v>
      </c>
    </row>
    <row r="49" spans="1:31" x14ac:dyDescent="0.25">
      <c r="M49">
        <f t="shared" si="3"/>
        <v>1.4571806180028002</v>
      </c>
      <c r="N49" s="85">
        <v>473</v>
      </c>
    </row>
    <row r="50" spans="1:31" x14ac:dyDescent="0.25">
      <c r="M50">
        <f t="shared" si="3"/>
        <v>2.6083197445525155</v>
      </c>
      <c r="N50" s="85">
        <v>525</v>
      </c>
    </row>
    <row r="51" spans="1:31" x14ac:dyDescent="0.25">
      <c r="M51">
        <f t="shared" si="3"/>
        <v>3.3174051682590919</v>
      </c>
      <c r="N51" s="85">
        <v>578</v>
      </c>
    </row>
    <row r="52" spans="1:31" x14ac:dyDescent="0.25">
      <c r="M52">
        <f t="shared" si="3"/>
        <v>3.4950837965391508</v>
      </c>
      <c r="N52" s="85">
        <v>631</v>
      </c>
    </row>
    <row r="55" spans="1:31" x14ac:dyDescent="0.25">
      <c r="Z55" s="153" t="s">
        <v>173</v>
      </c>
      <c r="AA55" s="153"/>
      <c r="AB55" s="153"/>
    </row>
    <row r="56" spans="1:31" x14ac:dyDescent="0.25">
      <c r="A56" s="152" t="s">
        <v>162</v>
      </c>
      <c r="B56" s="152"/>
      <c r="C56" s="152"/>
      <c r="D56" s="152"/>
      <c r="E56" s="152"/>
      <c r="F56" s="152"/>
      <c r="J56" s="3" t="s">
        <v>6</v>
      </c>
      <c r="K56" s="3" t="s">
        <v>7</v>
      </c>
      <c r="M56" s="3" t="s">
        <v>8</v>
      </c>
      <c r="N56" s="3" t="s">
        <v>9</v>
      </c>
      <c r="P56" s="35" t="s">
        <v>164</v>
      </c>
      <c r="Q56" s="104" t="s">
        <v>9</v>
      </c>
      <c r="R56" s="42"/>
      <c r="S56" s="35" t="s">
        <v>163</v>
      </c>
      <c r="T56" s="35" t="s">
        <v>9</v>
      </c>
      <c r="U56" s="43" t="s">
        <v>165</v>
      </c>
      <c r="V56" s="85"/>
    </row>
    <row r="57" spans="1:31" x14ac:dyDescent="0.25">
      <c r="A57" s="152"/>
      <c r="B57" s="152"/>
      <c r="C57" s="152"/>
      <c r="D57" s="152"/>
      <c r="E57" s="152"/>
      <c r="F57" s="152"/>
      <c r="J57" s="85">
        <v>175</v>
      </c>
      <c r="K57" s="85">
        <v>1</v>
      </c>
      <c r="M57" s="85">
        <v>2.4831985877370002</v>
      </c>
      <c r="N57" s="85">
        <v>1</v>
      </c>
      <c r="P57" s="85">
        <v>2.2312038050491014</v>
      </c>
      <c r="Q57" s="85">
        <v>1</v>
      </c>
      <c r="R57" s="102"/>
      <c r="S57" s="85">
        <v>2.4831985877370002</v>
      </c>
      <c r="T57" s="85">
        <v>1</v>
      </c>
      <c r="U57" s="54">
        <v>210</v>
      </c>
      <c r="V57" s="105">
        <v>0</v>
      </c>
      <c r="Z57" t="s">
        <v>167</v>
      </c>
      <c r="AA57" t="s">
        <v>168</v>
      </c>
      <c r="AB57" t="s">
        <v>169</v>
      </c>
      <c r="AC57" t="s">
        <v>170</v>
      </c>
      <c r="AD57" t="s">
        <v>171</v>
      </c>
      <c r="AE57" t="s">
        <v>172</v>
      </c>
    </row>
    <row r="58" spans="1:31" x14ac:dyDescent="0.25">
      <c r="A58" s="152"/>
      <c r="B58" s="152"/>
      <c r="C58" s="152"/>
      <c r="D58" s="152"/>
      <c r="E58" s="152"/>
      <c r="F58" s="152"/>
      <c r="J58" s="85">
        <v>175</v>
      </c>
      <c r="K58" s="87">
        <v>122</v>
      </c>
      <c r="M58" s="85">
        <v>2.2286142853202664</v>
      </c>
      <c r="N58" s="85">
        <v>40</v>
      </c>
      <c r="P58" s="85">
        <v>1.7377140222853007</v>
      </c>
      <c r="Q58" s="85">
        <v>40</v>
      </c>
      <c r="R58" s="102"/>
      <c r="S58" s="85">
        <v>2.2286142853202664</v>
      </c>
      <c r="T58" s="85">
        <v>40</v>
      </c>
      <c r="U58" s="106">
        <v>304</v>
      </c>
      <c r="V58" s="105">
        <v>1</v>
      </c>
      <c r="Z58" s="85">
        <v>1</v>
      </c>
    </row>
    <row r="59" spans="1:31" x14ac:dyDescent="0.25">
      <c r="A59" s="3" t="s">
        <v>0</v>
      </c>
      <c r="B59" s="3" t="s">
        <v>1</v>
      </c>
      <c r="C59" s="3" t="s">
        <v>2</v>
      </c>
      <c r="D59" s="3" t="s">
        <v>3</v>
      </c>
      <c r="E59" s="3" t="s">
        <v>4</v>
      </c>
      <c r="F59" s="3" t="s">
        <v>5</v>
      </c>
      <c r="J59" s="85">
        <v>115</v>
      </c>
      <c r="K59" s="85">
        <v>160</v>
      </c>
      <c r="M59" s="85">
        <v>2.115784924206717</v>
      </c>
      <c r="N59" s="85">
        <v>80</v>
      </c>
      <c r="P59" s="85">
        <v>1.8742111962412453</v>
      </c>
      <c r="Q59" s="85">
        <v>80</v>
      </c>
      <c r="R59" s="102"/>
      <c r="S59" s="85">
        <v>2.115784924206717</v>
      </c>
      <c r="T59" s="85">
        <v>80</v>
      </c>
      <c r="U59" s="54">
        <v>278</v>
      </c>
      <c r="V59" s="105">
        <v>2</v>
      </c>
      <c r="Z59" s="85">
        <v>40</v>
      </c>
    </row>
    <row r="60" spans="1:31" x14ac:dyDescent="0.25">
      <c r="A60" s="7">
        <v>15750</v>
      </c>
      <c r="B60" s="7">
        <v>25</v>
      </c>
      <c r="C60" s="7">
        <v>1000000</v>
      </c>
      <c r="D60" s="7">
        <v>10000</v>
      </c>
      <c r="E60" s="7">
        <v>100</v>
      </c>
      <c r="F60" s="7">
        <v>631</v>
      </c>
      <c r="J60" s="85">
        <v>90</v>
      </c>
      <c r="K60" s="85">
        <v>200</v>
      </c>
      <c r="M60" s="85">
        <v>1.91026952033859</v>
      </c>
      <c r="N60" s="85">
        <v>120</v>
      </c>
      <c r="P60" s="85">
        <v>1.6432159787773386</v>
      </c>
      <c r="Q60" s="85">
        <v>120</v>
      </c>
      <c r="R60" s="102"/>
      <c r="S60" s="85">
        <v>1.91026952033859</v>
      </c>
      <c r="T60" s="85">
        <v>120</v>
      </c>
      <c r="U60" s="106">
        <v>322</v>
      </c>
      <c r="V60" s="105">
        <v>3</v>
      </c>
      <c r="Z60" s="85">
        <v>80</v>
      </c>
    </row>
    <row r="61" spans="1:31" x14ac:dyDescent="0.25">
      <c r="A61" s="7"/>
      <c r="B61" s="7"/>
      <c r="C61" s="7"/>
      <c r="D61" s="7"/>
      <c r="E61" s="7"/>
      <c r="F61" s="7"/>
      <c r="J61" s="85">
        <v>70</v>
      </c>
      <c r="K61" s="85">
        <v>240</v>
      </c>
      <c r="M61" s="85">
        <v>1.5521412852035208</v>
      </c>
      <c r="N61" s="85">
        <v>160</v>
      </c>
      <c r="P61" s="85">
        <v>0.91873097854963015</v>
      </c>
      <c r="Q61" s="85">
        <v>160</v>
      </c>
      <c r="R61" s="102"/>
      <c r="S61" s="85">
        <v>1.5521412852035208</v>
      </c>
      <c r="T61" s="85">
        <v>160</v>
      </c>
      <c r="U61" s="54">
        <v>460</v>
      </c>
      <c r="V61" s="105">
        <v>4</v>
      </c>
      <c r="Z61" s="85">
        <v>120</v>
      </c>
    </row>
    <row r="62" spans="1:31" x14ac:dyDescent="0.25">
      <c r="A62" s="7"/>
      <c r="B62" s="7"/>
      <c r="C62" s="7"/>
      <c r="D62" s="7"/>
      <c r="E62" s="7"/>
      <c r="F62" s="7"/>
      <c r="J62" s="85">
        <v>0</v>
      </c>
      <c r="K62" s="85">
        <v>280</v>
      </c>
      <c r="M62" s="85">
        <v>1.101147897114495</v>
      </c>
      <c r="N62" s="85">
        <v>200</v>
      </c>
      <c r="P62" s="85">
        <v>0.69298565239172094</v>
      </c>
      <c r="Q62" s="85">
        <v>200</v>
      </c>
      <c r="R62" s="102"/>
      <c r="S62" s="85">
        <v>1.101147897114495</v>
      </c>
      <c r="T62" s="85">
        <v>200</v>
      </c>
      <c r="U62" s="106">
        <v>503</v>
      </c>
      <c r="V62" s="105">
        <v>5</v>
      </c>
      <c r="Z62" s="85">
        <v>160</v>
      </c>
    </row>
    <row r="63" spans="1:31" x14ac:dyDescent="0.25">
      <c r="A63" s="7"/>
      <c r="B63" s="7"/>
      <c r="C63" s="7"/>
      <c r="D63" s="7"/>
      <c r="E63" s="7"/>
      <c r="F63" s="7"/>
      <c r="J63" s="85">
        <v>6</v>
      </c>
      <c r="K63" s="85">
        <v>320</v>
      </c>
      <c r="M63" s="85">
        <v>0.66358370396081523</v>
      </c>
      <c r="N63" s="85">
        <v>240</v>
      </c>
      <c r="P63" s="85">
        <v>0.46724032623381195</v>
      </c>
      <c r="Q63" s="85">
        <v>240</v>
      </c>
      <c r="R63" s="102"/>
      <c r="S63" s="85">
        <v>0.66358370396081523</v>
      </c>
      <c r="T63" s="85">
        <v>240</v>
      </c>
      <c r="U63" s="54">
        <v>546</v>
      </c>
      <c r="V63" s="105">
        <v>6</v>
      </c>
      <c r="Z63" s="85">
        <v>200</v>
      </c>
    </row>
    <row r="64" spans="1:31" x14ac:dyDescent="0.25">
      <c r="A64" s="7"/>
      <c r="B64" s="7"/>
      <c r="C64" s="7"/>
      <c r="D64" s="7"/>
      <c r="E64" s="7"/>
      <c r="F64" s="7"/>
      <c r="J64" s="85">
        <v>12</v>
      </c>
      <c r="K64" s="85">
        <v>360</v>
      </c>
      <c r="M64" s="85">
        <v>0.25563983233698856</v>
      </c>
      <c r="N64" s="85">
        <v>280</v>
      </c>
      <c r="P64" s="85">
        <v>0.33074315227786688</v>
      </c>
      <c r="Q64" s="85">
        <v>280</v>
      </c>
      <c r="R64" s="102"/>
      <c r="S64" s="85">
        <v>0.25563983233698856</v>
      </c>
      <c r="T64" s="85">
        <v>280</v>
      </c>
      <c r="U64" s="106">
        <v>572</v>
      </c>
      <c r="V64" s="105">
        <v>7</v>
      </c>
      <c r="Z64" s="85">
        <v>240</v>
      </c>
    </row>
    <row r="65" spans="10:26" x14ac:dyDescent="0.25">
      <c r="J65" s="85">
        <v>37</v>
      </c>
      <c r="K65" s="85">
        <v>400</v>
      </c>
      <c r="M65" s="85">
        <v>1.8365690409499747E-2</v>
      </c>
      <c r="N65" s="85">
        <v>320</v>
      </c>
      <c r="P65" s="85">
        <v>0.16799652179193236</v>
      </c>
      <c r="Q65" s="85">
        <v>320</v>
      </c>
      <c r="R65" s="102"/>
      <c r="S65" s="35">
        <v>0</v>
      </c>
      <c r="T65" s="85">
        <v>337</v>
      </c>
      <c r="U65" s="54">
        <v>603</v>
      </c>
      <c r="V65" s="105">
        <v>8</v>
      </c>
      <c r="Z65" s="85">
        <v>280</v>
      </c>
    </row>
    <row r="66" spans="10:26" x14ac:dyDescent="0.25">
      <c r="J66" s="85">
        <v>85</v>
      </c>
      <c r="K66" s="85">
        <v>440</v>
      </c>
      <c r="M66" s="85">
        <v>0</v>
      </c>
      <c r="N66" s="85">
        <v>334</v>
      </c>
      <c r="P66" s="35">
        <v>0</v>
      </c>
      <c r="Q66" s="85">
        <v>360</v>
      </c>
      <c r="R66" s="102"/>
      <c r="S66" s="85">
        <v>4.0637464874051628E-2</v>
      </c>
      <c r="T66" s="85">
        <v>360</v>
      </c>
      <c r="U66" s="106">
        <v>635</v>
      </c>
      <c r="V66" s="105">
        <v>9</v>
      </c>
      <c r="Z66" s="85">
        <v>320</v>
      </c>
    </row>
    <row r="67" spans="10:26" x14ac:dyDescent="0.25">
      <c r="J67" s="85">
        <v>118</v>
      </c>
      <c r="K67" s="88">
        <v>480</v>
      </c>
      <c r="M67" s="85">
        <v>4.0637464874051628E-2</v>
      </c>
      <c r="N67" s="85">
        <v>360</v>
      </c>
      <c r="P67" s="85">
        <v>0.28874402182988373</v>
      </c>
      <c r="Q67" s="85">
        <v>400</v>
      </c>
      <c r="R67" s="102"/>
      <c r="S67" s="85">
        <v>0.27912407608776341</v>
      </c>
      <c r="T67" s="85">
        <v>400</v>
      </c>
      <c r="U67" s="54">
        <v>580</v>
      </c>
      <c r="V67" s="105">
        <v>10</v>
      </c>
      <c r="Z67" s="85">
        <v>323</v>
      </c>
    </row>
    <row r="68" spans="10:26" x14ac:dyDescent="0.25">
      <c r="J68" s="85">
        <v>175</v>
      </c>
      <c r="K68" s="85">
        <v>520</v>
      </c>
      <c r="M68" s="85">
        <v>0.27912407608776341</v>
      </c>
      <c r="N68" s="85">
        <v>400</v>
      </c>
      <c r="P68" s="85">
        <v>0.6982355436977189</v>
      </c>
      <c r="Q68" s="85">
        <v>440</v>
      </c>
      <c r="R68" s="102"/>
      <c r="S68" s="85">
        <f>SUM(0.65952484295534*1.05)</f>
        <v>0.69250108510310704</v>
      </c>
      <c r="T68" s="85">
        <v>440</v>
      </c>
      <c r="U68" s="106">
        <v>502</v>
      </c>
      <c r="V68" s="105">
        <v>11</v>
      </c>
      <c r="Z68" s="85">
        <v>360</v>
      </c>
    </row>
    <row r="69" spans="10:26" x14ac:dyDescent="0.25">
      <c r="J69" s="85">
        <v>175</v>
      </c>
      <c r="K69" s="85">
        <v>631</v>
      </c>
      <c r="M69" s="85">
        <f>SUM(0.65952484295534*1.05)</f>
        <v>0.69250108510310704</v>
      </c>
      <c r="N69" s="85">
        <v>440</v>
      </c>
      <c r="P69" s="85">
        <v>1.1812255438495245</v>
      </c>
      <c r="Q69" s="85">
        <v>480</v>
      </c>
      <c r="R69" s="102"/>
      <c r="S69" s="85">
        <f>SUM(1.18723299445358*1.045)</f>
        <v>1.240658479203991</v>
      </c>
      <c r="T69" s="85">
        <v>480</v>
      </c>
      <c r="U69" s="54">
        <v>410</v>
      </c>
      <c r="V69" s="105">
        <v>12</v>
      </c>
      <c r="Z69" s="85">
        <v>400</v>
      </c>
    </row>
    <row r="70" spans="10:26" x14ac:dyDescent="0.25">
      <c r="M70" s="85">
        <f>SUM(1.18723299445358*1.045)</f>
        <v>1.240658479203991</v>
      </c>
      <c r="N70" s="85">
        <v>480</v>
      </c>
      <c r="P70" s="85">
        <v>1.7482138048972962</v>
      </c>
      <c r="Q70" s="85">
        <v>520</v>
      </c>
      <c r="R70" s="102"/>
      <c r="S70" s="85">
        <v>1.9343271759321243</v>
      </c>
      <c r="T70" s="85">
        <v>520</v>
      </c>
      <c r="U70" s="106">
        <v>302</v>
      </c>
      <c r="V70" s="105">
        <v>13</v>
      </c>
      <c r="Z70" s="85">
        <v>440</v>
      </c>
    </row>
    <row r="71" spans="10:26" x14ac:dyDescent="0.25">
      <c r="M71" s="85">
        <v>1.9343271759321243</v>
      </c>
      <c r="N71" s="85">
        <v>520</v>
      </c>
      <c r="P71" s="85">
        <v>2.4516992399010129</v>
      </c>
      <c r="Q71" s="85">
        <v>560</v>
      </c>
      <c r="R71" s="102"/>
      <c r="S71" s="85">
        <v>2.4009466883221502</v>
      </c>
      <c r="T71" s="85">
        <v>560</v>
      </c>
      <c r="U71" s="54">
        <v>168</v>
      </c>
      <c r="V71" s="105">
        <v>14</v>
      </c>
      <c r="Z71" s="85">
        <v>480</v>
      </c>
    </row>
    <row r="72" spans="10:26" x14ac:dyDescent="0.25">
      <c r="M72" s="85">
        <v>2.4009466883221502</v>
      </c>
      <c r="N72" s="85">
        <v>560</v>
      </c>
      <c r="P72" s="85">
        <v>2.435949565983019</v>
      </c>
      <c r="Q72" s="85">
        <v>600</v>
      </c>
      <c r="R72" s="102"/>
      <c r="S72" s="85">
        <v>2.6194782627764219</v>
      </c>
      <c r="T72" s="85">
        <v>600</v>
      </c>
      <c r="U72" s="106">
        <v>171</v>
      </c>
      <c r="V72" s="105">
        <v>15</v>
      </c>
      <c r="Z72" s="85">
        <v>520</v>
      </c>
    </row>
    <row r="73" spans="10:26" x14ac:dyDescent="0.25">
      <c r="M73" s="85">
        <v>2.6194782627764219</v>
      </c>
      <c r="N73" s="85">
        <v>600</v>
      </c>
      <c r="P73" s="85">
        <v>2.4831985877370002</v>
      </c>
      <c r="Q73" s="85">
        <v>631</v>
      </c>
      <c r="R73" s="102"/>
      <c r="S73" s="85">
        <v>2.6701060081883998</v>
      </c>
      <c r="T73" s="85">
        <v>631</v>
      </c>
      <c r="U73" s="54">
        <v>162</v>
      </c>
      <c r="V73" s="105">
        <v>15.75</v>
      </c>
      <c r="Z73" s="85">
        <v>560</v>
      </c>
    </row>
    <row r="74" spans="10:26" x14ac:dyDescent="0.25">
      <c r="M74" s="85">
        <v>2.6701060081883998</v>
      </c>
      <c r="N74" s="85">
        <v>631</v>
      </c>
      <c r="R74" s="102"/>
      <c r="U74" s="85"/>
      <c r="W74" t="s">
        <v>166</v>
      </c>
      <c r="Z74" s="85">
        <v>600</v>
      </c>
    </row>
    <row r="75" spans="10:26" x14ac:dyDescent="0.25">
      <c r="P75" s="85">
        <f>SUM(2.2312038050491*1.031)</f>
        <v>2.3003711230056219</v>
      </c>
      <c r="Q75" s="85">
        <v>1</v>
      </c>
      <c r="S75" s="85">
        <f>SUM(2.483198587737*1.03)</f>
        <v>2.5576945453691105</v>
      </c>
      <c r="T75" s="85">
        <v>1</v>
      </c>
      <c r="U75" s="105">
        <f>SUM($U$66-U57)</f>
        <v>425</v>
      </c>
      <c r="V75" s="105">
        <v>0</v>
      </c>
      <c r="W75">
        <f>SUM(U75/$U$91)*100</f>
        <v>89.852008456659618</v>
      </c>
      <c r="X75">
        <f>SUM(W75/100)</f>
        <v>0.89852008456659616</v>
      </c>
      <c r="Z75" s="85">
        <v>631</v>
      </c>
    </row>
    <row r="76" spans="10:26" x14ac:dyDescent="0.25">
      <c r="P76" s="85">
        <f>SUM(1.7377140222853*1.075)</f>
        <v>1.8680425739566975</v>
      </c>
      <c r="Q76" s="85">
        <v>40</v>
      </c>
      <c r="S76" s="85">
        <f>SUM(2.22861428532027*1.075)</f>
        <v>2.3957603567192902</v>
      </c>
      <c r="T76" s="85">
        <v>40</v>
      </c>
      <c r="U76" s="105">
        <f t="shared" ref="U76:U91" si="4">SUM($U$66-U58)</f>
        <v>331</v>
      </c>
      <c r="V76" s="105">
        <v>1</v>
      </c>
      <c r="W76">
        <f t="shared" ref="W76:W91" si="5">SUM(U76/$U$91)*100</f>
        <v>69.978858350951384</v>
      </c>
      <c r="X76">
        <f t="shared" ref="X76:X91" si="6">SUM(W76/100)</f>
        <v>0.6997885835095139</v>
      </c>
    </row>
    <row r="77" spans="10:26" x14ac:dyDescent="0.25">
      <c r="M77" t="s">
        <v>30</v>
      </c>
      <c r="N77" s="86">
        <v>100</v>
      </c>
      <c r="P77" s="85">
        <f>SUM(1.87421119624125*1.04)</f>
        <v>1.9491796440909002</v>
      </c>
      <c r="Q77" s="85">
        <v>80</v>
      </c>
      <c r="S77" s="85">
        <f>SUM(2.11578492420672*1.04)</f>
        <v>2.200416321174989</v>
      </c>
      <c r="T77" s="85">
        <v>80</v>
      </c>
      <c r="U77" s="105">
        <f t="shared" si="4"/>
        <v>357</v>
      </c>
      <c r="V77" s="105">
        <v>2</v>
      </c>
      <c r="W77">
        <f t="shared" si="5"/>
        <v>75.475687103594083</v>
      </c>
      <c r="X77">
        <f t="shared" si="6"/>
        <v>0.7547568710359408</v>
      </c>
    </row>
    <row r="78" spans="10:26" x14ac:dyDescent="0.25">
      <c r="M78" t="s">
        <v>31</v>
      </c>
      <c r="N78" s="86">
        <v>100</v>
      </c>
      <c r="P78" s="85">
        <f>SUM(1.64321597877734*1.05)</f>
        <v>1.725376777716207</v>
      </c>
      <c r="Q78" s="85">
        <v>120</v>
      </c>
      <c r="S78" s="85">
        <f>SUM(1.91026952033859*1.05)</f>
        <v>2.0057829963555194</v>
      </c>
      <c r="T78" s="85">
        <v>120</v>
      </c>
      <c r="U78" s="105">
        <f t="shared" si="4"/>
        <v>313</v>
      </c>
      <c r="V78" s="105">
        <v>3</v>
      </c>
      <c r="W78">
        <f t="shared" si="5"/>
        <v>66.173361522198732</v>
      </c>
      <c r="X78">
        <f t="shared" si="6"/>
        <v>0.66173361522198737</v>
      </c>
    </row>
    <row r="79" spans="10:26" x14ac:dyDescent="0.25">
      <c r="M79" t="s">
        <v>32</v>
      </c>
      <c r="P79" s="85">
        <f>SUM(0.91873097854963*1.145)</f>
        <v>1.0519469704393265</v>
      </c>
      <c r="Q79" s="85">
        <v>160</v>
      </c>
      <c r="S79" s="85">
        <f>SUM(1.55214128520352*1.145)</f>
        <v>1.7772017715580304</v>
      </c>
      <c r="T79" s="85">
        <v>160</v>
      </c>
      <c r="U79" s="105">
        <f t="shared" si="4"/>
        <v>175</v>
      </c>
      <c r="V79" s="105">
        <v>4</v>
      </c>
      <c r="W79">
        <f t="shared" si="5"/>
        <v>36.99788583509514</v>
      </c>
      <c r="X79">
        <f t="shared" si="6"/>
        <v>0.3699788583509514</v>
      </c>
    </row>
    <row r="80" spans="10:26" x14ac:dyDescent="0.25">
      <c r="M80" t="s">
        <v>33</v>
      </c>
      <c r="P80" s="85">
        <f>SUM(0.692985652391721*1.14)</f>
        <v>0.79000364372656195</v>
      </c>
      <c r="Q80" s="85">
        <v>200</v>
      </c>
      <c r="S80" s="85">
        <f>SUM(1.1011478971145*1.14)</f>
        <v>1.2553086027105298</v>
      </c>
      <c r="T80" s="85">
        <v>200</v>
      </c>
      <c r="U80" s="105">
        <f t="shared" si="4"/>
        <v>132</v>
      </c>
      <c r="V80" s="105">
        <v>5</v>
      </c>
      <c r="W80">
        <f t="shared" si="5"/>
        <v>27.906976744186046</v>
      </c>
      <c r="X80">
        <f t="shared" si="6"/>
        <v>0.27906976744186046</v>
      </c>
    </row>
    <row r="81" spans="13:24" x14ac:dyDescent="0.25">
      <c r="M81" t="s">
        <v>34</v>
      </c>
      <c r="P81" s="85">
        <f>SUM(0.467240326233812*1.115)</f>
        <v>0.52097296375070035</v>
      </c>
      <c r="Q81" s="85">
        <v>240</v>
      </c>
      <c r="S81" s="85">
        <f>SUM(0.663583703960815*1.115)</f>
        <v>0.73989582991630876</v>
      </c>
      <c r="T81" s="85">
        <v>240</v>
      </c>
      <c r="U81" s="105">
        <f t="shared" si="4"/>
        <v>89</v>
      </c>
      <c r="V81" s="105">
        <v>6</v>
      </c>
      <c r="W81">
        <f t="shared" si="5"/>
        <v>18.816067653276956</v>
      </c>
      <c r="X81">
        <f t="shared" si="6"/>
        <v>0.18816067653276958</v>
      </c>
    </row>
    <row r="82" spans="13:24" x14ac:dyDescent="0.25">
      <c r="M82" t="s">
        <v>35</v>
      </c>
      <c r="P82" s="85">
        <f>SUM(0.330743152277867*0.9)</f>
        <v>0.29766883705008029</v>
      </c>
      <c r="Q82" s="85">
        <v>280</v>
      </c>
      <c r="S82" s="85">
        <f>SUM(0.255639832336989*0.9)</f>
        <v>0.2300758491032901</v>
      </c>
      <c r="T82" s="85">
        <v>280</v>
      </c>
      <c r="U82" s="105">
        <f t="shared" si="4"/>
        <v>63</v>
      </c>
      <c r="V82" s="105">
        <v>7</v>
      </c>
      <c r="W82">
        <f t="shared" si="5"/>
        <v>13.31923890063425</v>
      </c>
      <c r="X82">
        <f t="shared" si="6"/>
        <v>0.1331923890063425</v>
      </c>
    </row>
    <row r="83" spans="13:24" x14ac:dyDescent="0.25">
      <c r="M83" t="s">
        <v>36</v>
      </c>
      <c r="P83" s="85">
        <f>SUM(0.167996521791932*0.1)</f>
        <v>1.67996521791932E-2</v>
      </c>
      <c r="Q83" s="85">
        <v>320</v>
      </c>
      <c r="S83" s="35">
        <v>0</v>
      </c>
      <c r="T83" s="85">
        <v>337</v>
      </c>
      <c r="U83" s="105">
        <f t="shared" si="4"/>
        <v>32</v>
      </c>
      <c r="V83" s="105">
        <v>8</v>
      </c>
      <c r="W83">
        <f t="shared" si="5"/>
        <v>6.7653276955602539</v>
      </c>
      <c r="X83">
        <f t="shared" si="6"/>
        <v>6.765327695560254E-2</v>
      </c>
    </row>
    <row r="84" spans="13:24" x14ac:dyDescent="0.25">
      <c r="P84" s="35">
        <v>0</v>
      </c>
      <c r="Q84" s="85">
        <v>360</v>
      </c>
      <c r="S84" s="85">
        <f>SUM(0.0406374648740516*1.5)</f>
        <v>6.0956197311077404E-2</v>
      </c>
      <c r="T84" s="85">
        <v>360</v>
      </c>
      <c r="U84" s="105">
        <f t="shared" si="4"/>
        <v>0</v>
      </c>
      <c r="V84" s="105">
        <v>9</v>
      </c>
      <c r="W84">
        <f t="shared" si="5"/>
        <v>0</v>
      </c>
      <c r="X84">
        <f t="shared" si="6"/>
        <v>0</v>
      </c>
    </row>
    <row r="85" spans="13:24" x14ac:dyDescent="0.25">
      <c r="P85" s="85">
        <v>0.28874402182988373</v>
      </c>
      <c r="Q85" s="85">
        <v>400</v>
      </c>
      <c r="S85" s="85">
        <v>0.27912407608776341</v>
      </c>
      <c r="T85" s="85">
        <v>400</v>
      </c>
      <c r="U85" s="105">
        <f t="shared" si="4"/>
        <v>55</v>
      </c>
      <c r="V85" s="105">
        <v>10</v>
      </c>
      <c r="W85">
        <f t="shared" si="5"/>
        <v>11.627906976744185</v>
      </c>
      <c r="X85">
        <f t="shared" si="6"/>
        <v>0.11627906976744186</v>
      </c>
    </row>
    <row r="86" spans="13:24" x14ac:dyDescent="0.25">
      <c r="P86" s="85">
        <f>SUM(0.698235543697719*0.99)</f>
        <v>0.69125318826074178</v>
      </c>
      <c r="Q86" s="85">
        <v>440</v>
      </c>
      <c r="S86" s="85">
        <f>SUM(0.65952484295534*0.99)</f>
        <v>0.65292959452578658</v>
      </c>
      <c r="T86" s="85">
        <v>440</v>
      </c>
      <c r="U86" s="105">
        <f t="shared" si="4"/>
        <v>133</v>
      </c>
      <c r="V86" s="105">
        <v>11</v>
      </c>
      <c r="W86">
        <f t="shared" si="5"/>
        <v>28.118393234672308</v>
      </c>
      <c r="X86">
        <f t="shared" si="6"/>
        <v>0.28118393234672306</v>
      </c>
    </row>
    <row r="87" spans="13:24" x14ac:dyDescent="0.25">
      <c r="P87" s="85">
        <f>SUM(1.18122554384952*0.965)</f>
        <v>1.1398826498147867</v>
      </c>
      <c r="Q87" s="85">
        <v>480</v>
      </c>
      <c r="S87" s="85">
        <f>SUM(1.24065847920399*0.965)</f>
        <v>1.1972354324318504</v>
      </c>
      <c r="T87" s="85">
        <v>480</v>
      </c>
      <c r="U87" s="105">
        <f t="shared" si="4"/>
        <v>225</v>
      </c>
      <c r="V87" s="105">
        <v>12</v>
      </c>
      <c r="W87">
        <f t="shared" si="5"/>
        <v>47.568710359408037</v>
      </c>
      <c r="X87">
        <f t="shared" si="6"/>
        <v>0.4756871035940804</v>
      </c>
    </row>
    <row r="88" spans="13:24" x14ac:dyDescent="0.25">
      <c r="P88" s="85">
        <f>SUM(1.7482138048973*1.03)</f>
        <v>1.8006602190442189</v>
      </c>
      <c r="Q88" s="85">
        <v>520</v>
      </c>
      <c r="S88" s="85">
        <f>SUM(1.93432717593212*1.03)</f>
        <v>1.9923569912100836</v>
      </c>
      <c r="T88" s="85">
        <v>520</v>
      </c>
      <c r="U88" s="105">
        <f t="shared" si="4"/>
        <v>333</v>
      </c>
      <c r="V88" s="105">
        <v>13</v>
      </c>
      <c r="W88">
        <f t="shared" si="5"/>
        <v>70.401691331923885</v>
      </c>
      <c r="X88">
        <f t="shared" si="6"/>
        <v>0.70401691331923888</v>
      </c>
    </row>
    <row r="89" spans="13:24" x14ac:dyDescent="0.25">
      <c r="P89" s="85">
        <f>SUM(2.45169923990101*0.995)</f>
        <v>2.4394407437015047</v>
      </c>
      <c r="Q89" s="85">
        <v>560</v>
      </c>
      <c r="S89" s="85">
        <f>SUM(2.40094668832215*0.995)</f>
        <v>2.3889419548805395</v>
      </c>
      <c r="T89" s="85">
        <v>560</v>
      </c>
      <c r="U89" s="105">
        <f t="shared" si="4"/>
        <v>467</v>
      </c>
      <c r="V89" s="105">
        <v>14</v>
      </c>
      <c r="W89">
        <f t="shared" si="5"/>
        <v>98.731501057082454</v>
      </c>
      <c r="X89">
        <f t="shared" si="6"/>
        <v>0.98731501057082449</v>
      </c>
    </row>
    <row r="90" spans="13:24" x14ac:dyDescent="0.25">
      <c r="P90" s="85">
        <f>SUM(2.43594956598302*1.02)</f>
        <v>2.4846685573026805</v>
      </c>
      <c r="Q90" s="85">
        <v>600</v>
      </c>
      <c r="S90" s="85">
        <f>SUM(2.61947826277642*1.02)</f>
        <v>2.6718678280319486</v>
      </c>
      <c r="T90" s="85">
        <v>600</v>
      </c>
      <c r="U90" s="105">
        <f t="shared" si="4"/>
        <v>464</v>
      </c>
      <c r="V90" s="105">
        <v>15</v>
      </c>
      <c r="W90">
        <f t="shared" si="5"/>
        <v>98.097251585623681</v>
      </c>
      <c r="X90">
        <f t="shared" si="6"/>
        <v>0.98097251585623679</v>
      </c>
    </row>
    <row r="91" spans="13:24" x14ac:dyDescent="0.25">
      <c r="P91" s="85">
        <f>SUM(2.483198587737*1.02)</f>
        <v>2.5328625594917402</v>
      </c>
      <c r="Q91" s="85">
        <v>631</v>
      </c>
      <c r="S91" s="85">
        <f>SUM(2.6701060081884*1.02)</f>
        <v>2.7235081283521678</v>
      </c>
      <c r="T91" s="85">
        <v>631</v>
      </c>
      <c r="U91" s="105">
        <f t="shared" si="4"/>
        <v>473</v>
      </c>
      <c r="V91" s="105">
        <v>15.75</v>
      </c>
      <c r="W91">
        <f t="shared" si="5"/>
        <v>100</v>
      </c>
      <c r="X91">
        <f t="shared" si="6"/>
        <v>1</v>
      </c>
    </row>
    <row r="92" spans="13:24" x14ac:dyDescent="0.25">
      <c r="P92" s="85"/>
      <c r="Q92" s="85"/>
      <c r="U92" s="105"/>
    </row>
    <row r="93" spans="13:24" x14ac:dyDescent="0.25">
      <c r="P93" s="85">
        <f>SUM(2.2312038050491*1.031)</f>
        <v>2.3003711230056219</v>
      </c>
      <c r="Q93" s="85">
        <v>1</v>
      </c>
      <c r="S93" s="85">
        <f>SUM(2.483198587737*1.03)</f>
        <v>2.5576945453691105</v>
      </c>
      <c r="T93" s="85">
        <v>1</v>
      </c>
      <c r="U93" s="105"/>
    </row>
    <row r="94" spans="13:24" x14ac:dyDescent="0.25">
      <c r="P94" s="85">
        <f>SUM(1.7377140222853*1.075)</f>
        <v>1.8680425739566975</v>
      </c>
      <c r="Q94" s="85">
        <v>40</v>
      </c>
      <c r="S94" s="85">
        <f>SUM(2.22861428532027*1.075)</f>
        <v>2.3957603567192902</v>
      </c>
      <c r="T94" s="85">
        <v>40</v>
      </c>
      <c r="U94" s="105"/>
    </row>
    <row r="95" spans="13:24" x14ac:dyDescent="0.25">
      <c r="P95" s="85">
        <f>SUM(1.87421119624125*1.04)</f>
        <v>1.9491796440909002</v>
      </c>
      <c r="Q95" s="85">
        <v>80</v>
      </c>
      <c r="S95" s="85">
        <f>SUM(2.11578492420672*1.04)</f>
        <v>2.200416321174989</v>
      </c>
      <c r="T95" s="85">
        <v>80</v>
      </c>
    </row>
    <row r="96" spans="13:24" x14ac:dyDescent="0.25">
      <c r="P96" s="40">
        <f>SUM(1.64321597877734*1.025)</f>
        <v>1.6842963782467733</v>
      </c>
      <c r="Q96" s="40">
        <v>120</v>
      </c>
      <c r="S96" s="85">
        <f>SUM(1.91026952033859*1.15)</f>
        <v>2.1968099483893782</v>
      </c>
      <c r="T96" s="85">
        <v>120</v>
      </c>
    </row>
    <row r="97" spans="16:20" x14ac:dyDescent="0.25">
      <c r="P97" s="40">
        <f>SUM(0.91873097854963*1.135)</f>
        <v>1.0427596606538301</v>
      </c>
      <c r="Q97" s="40">
        <v>160</v>
      </c>
      <c r="S97" s="85">
        <f>SUM(1.55214128520352*1.155)</f>
        <v>1.7927231844100655</v>
      </c>
      <c r="T97" s="85">
        <v>160</v>
      </c>
    </row>
    <row r="98" spans="16:20" x14ac:dyDescent="0.25">
      <c r="P98" s="40">
        <f>SUM(0.692985652391721*1.13)</f>
        <v>0.78307378720264476</v>
      </c>
      <c r="Q98" s="85">
        <v>200</v>
      </c>
      <c r="S98" s="85">
        <f>SUM(1.1011478971145*1.15)</f>
        <v>1.2663200816816749</v>
      </c>
      <c r="T98" s="85">
        <v>200</v>
      </c>
    </row>
    <row r="99" spans="16:20" x14ac:dyDescent="0.25">
      <c r="P99" s="110">
        <f>SUM(0.467240326233812*1.125)</f>
        <v>0.52564536701303854</v>
      </c>
      <c r="Q99" s="85">
        <v>240</v>
      </c>
      <c r="S99" s="85">
        <f>SUM(0.663583703960815*1.115)</f>
        <v>0.73989582991630876</v>
      </c>
      <c r="T99" s="85">
        <v>240</v>
      </c>
    </row>
    <row r="100" spans="16:20" x14ac:dyDescent="0.25">
      <c r="P100" s="85">
        <f>SUM(0.330743152277867*0.9)</f>
        <v>0.29766883705008029</v>
      </c>
      <c r="Q100" s="85">
        <v>280</v>
      </c>
      <c r="S100" s="85">
        <f>SUM(0.255639832336989*0.9)</f>
        <v>0.2300758491032901</v>
      </c>
      <c r="T100" s="85">
        <v>280</v>
      </c>
    </row>
    <row r="101" spans="16:20" x14ac:dyDescent="0.25">
      <c r="P101" s="85">
        <f>SUM(0.167996521791932*0.1)</f>
        <v>1.67996521791932E-2</v>
      </c>
      <c r="Q101" s="85">
        <v>320</v>
      </c>
      <c r="S101" s="35">
        <v>0</v>
      </c>
      <c r="T101" s="85">
        <v>337</v>
      </c>
    </row>
    <row r="102" spans="16:20" x14ac:dyDescent="0.25">
      <c r="P102" s="35">
        <v>0</v>
      </c>
      <c r="Q102" s="85">
        <v>360</v>
      </c>
      <c r="S102" s="85">
        <f>SUM(0.0406374648740516*1.5)</f>
        <v>6.0956197311077404E-2</v>
      </c>
      <c r="T102" s="85">
        <v>360</v>
      </c>
    </row>
    <row r="103" spans="16:20" x14ac:dyDescent="0.25">
      <c r="P103" s="40">
        <v>0.28874402182988373</v>
      </c>
      <c r="Q103" s="85">
        <v>400</v>
      </c>
      <c r="S103" s="85">
        <v>0.27912407608776341</v>
      </c>
      <c r="T103" s="85">
        <v>400</v>
      </c>
    </row>
    <row r="104" spans="16:20" x14ac:dyDescent="0.25">
      <c r="P104" s="40">
        <f>SUM(0.698235543697719*0.99)</f>
        <v>0.69125318826074178</v>
      </c>
      <c r="Q104" s="85">
        <v>440</v>
      </c>
      <c r="S104" s="85">
        <f>SUM(0.65952484295534*0.99)</f>
        <v>0.65292959452578658</v>
      </c>
      <c r="T104" s="85">
        <v>440</v>
      </c>
    </row>
    <row r="105" spans="16:20" x14ac:dyDescent="0.25">
      <c r="P105" s="40">
        <f>SUM(1.18122554384952*0.965)</f>
        <v>1.1398826498147867</v>
      </c>
      <c r="Q105" s="85">
        <v>480</v>
      </c>
      <c r="S105" s="85">
        <f>SUM(1.24065847920399*0.965)</f>
        <v>1.1972354324318504</v>
      </c>
      <c r="T105" s="85">
        <v>480</v>
      </c>
    </row>
    <row r="106" spans="16:20" x14ac:dyDescent="0.25">
      <c r="P106" s="85">
        <f>SUM(1.7482138048973*1.03)</f>
        <v>1.8006602190442189</v>
      </c>
      <c r="Q106" s="85">
        <v>520</v>
      </c>
      <c r="S106" s="85">
        <f>SUM(1.93432717593212*1.03)</f>
        <v>1.9923569912100836</v>
      </c>
      <c r="T106" s="85">
        <v>520</v>
      </c>
    </row>
    <row r="107" spans="16:20" x14ac:dyDescent="0.25">
      <c r="P107" s="85">
        <f>SUM(2.45169923990101*0.995)</f>
        <v>2.4394407437015047</v>
      </c>
      <c r="Q107" s="85">
        <v>560</v>
      </c>
      <c r="S107" s="85">
        <f>SUM(2.40094668832215*0.995)</f>
        <v>2.3889419548805395</v>
      </c>
      <c r="T107" s="85">
        <v>560</v>
      </c>
    </row>
    <row r="108" spans="16:20" x14ac:dyDescent="0.25">
      <c r="P108" s="85">
        <f>SUM(2.43594956598302*1.02)</f>
        <v>2.4846685573026805</v>
      </c>
      <c r="Q108" s="85">
        <v>600</v>
      </c>
      <c r="S108" s="85">
        <f>SUM(2.61947826277642*1.02)</f>
        <v>2.6718678280319486</v>
      </c>
      <c r="T108" s="85">
        <v>600</v>
      </c>
    </row>
    <row r="109" spans="16:20" x14ac:dyDescent="0.25">
      <c r="P109" s="85">
        <f>SUM(2.483198587737*1.02)</f>
        <v>2.5328625594917402</v>
      </c>
      <c r="Q109" s="85">
        <v>631</v>
      </c>
      <c r="S109" s="85">
        <f>SUM(2.6701060081884*1.02)</f>
        <v>2.7235081283521678</v>
      </c>
      <c r="T109" s="85">
        <v>631</v>
      </c>
    </row>
    <row r="110" spans="16:20" x14ac:dyDescent="0.25">
      <c r="Q110" s="41"/>
      <c r="R110" s="103"/>
    </row>
    <row r="111" spans="16:20" x14ac:dyDescent="0.25">
      <c r="Q111" s="41"/>
      <c r="R111" s="103"/>
    </row>
    <row r="112" spans="16:20" x14ac:dyDescent="0.25">
      <c r="Q112" s="41"/>
      <c r="R112" s="103"/>
    </row>
    <row r="113" spans="16:20" x14ac:dyDescent="0.25">
      <c r="Q113" s="41"/>
      <c r="R113" s="103"/>
    </row>
    <row r="114" spans="16:20" x14ac:dyDescent="0.25">
      <c r="Q114" s="41"/>
      <c r="R114" s="103"/>
    </row>
    <row r="115" spans="16:20" x14ac:dyDescent="0.25">
      <c r="Q115" s="41"/>
      <c r="R115" s="103"/>
    </row>
    <row r="119" spans="16:20" x14ac:dyDescent="0.25">
      <c r="P119" t="s">
        <v>174</v>
      </c>
      <c r="Q119" t="s">
        <v>77</v>
      </c>
      <c r="S119" t="s">
        <v>175</v>
      </c>
      <c r="T119" t="s">
        <v>77</v>
      </c>
    </row>
    <row r="120" spans="16:20" x14ac:dyDescent="0.25">
      <c r="P120">
        <v>1</v>
      </c>
      <c r="Q120">
        <v>1</v>
      </c>
      <c r="S120">
        <v>0</v>
      </c>
      <c r="T120">
        <v>1</v>
      </c>
    </row>
    <row r="121" spans="16:20" x14ac:dyDescent="0.25">
      <c r="P121">
        <v>1</v>
      </c>
      <c r="Q121">
        <v>20</v>
      </c>
      <c r="S121">
        <v>0</v>
      </c>
      <c r="T121">
        <v>20</v>
      </c>
    </row>
    <row r="122" spans="16:20" x14ac:dyDescent="0.25">
      <c r="P122">
        <v>0</v>
      </c>
      <c r="Q122">
        <v>40</v>
      </c>
      <c r="S122">
        <v>1</v>
      </c>
      <c r="T122">
        <v>40</v>
      </c>
    </row>
    <row r="123" spans="16:20" x14ac:dyDescent="0.25">
      <c r="P123">
        <v>0</v>
      </c>
      <c r="Q123">
        <v>100</v>
      </c>
      <c r="S123">
        <v>1</v>
      </c>
      <c r="T123">
        <v>100</v>
      </c>
    </row>
  </sheetData>
  <mergeCells count="4">
    <mergeCell ref="A1:F3"/>
    <mergeCell ref="A20:F22"/>
    <mergeCell ref="A56:F58"/>
    <mergeCell ref="Z55:AB5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402"/>
  <sheetViews>
    <sheetView topLeftCell="A352" zoomScale="66" zoomScaleNormal="66" workbookViewId="0">
      <selection activeCell="R316" sqref="R316"/>
    </sheetView>
  </sheetViews>
  <sheetFormatPr defaultRowHeight="15" x14ac:dyDescent="0.25"/>
  <cols>
    <col min="2" max="2" width="29.140625" customWidth="1"/>
    <col min="3" max="3" width="34.5703125" customWidth="1"/>
    <col min="4" max="4" width="23.140625" customWidth="1"/>
    <col min="5" max="5" width="29.28515625" customWidth="1"/>
    <col min="8" max="8" width="1" customWidth="1"/>
    <col min="9" max="9" width="0.5703125" hidden="1" customWidth="1"/>
    <col min="10" max="10" width="0.42578125" customWidth="1"/>
    <col min="11" max="11" width="21.42578125" customWidth="1"/>
    <col min="12" max="12" width="17.5703125" customWidth="1"/>
    <col min="13" max="13" width="27.85546875" customWidth="1"/>
    <col min="14" max="14" width="37.85546875" customWidth="1"/>
    <col min="15" max="15" width="19" customWidth="1"/>
    <col min="16" max="16" width="5" customWidth="1"/>
    <col min="17" max="17" width="37.85546875" customWidth="1"/>
    <col min="18" max="18" width="25.5703125" customWidth="1"/>
    <col min="19" max="19" width="1.42578125" customWidth="1"/>
    <col min="20" max="20" width="27.5703125" customWidth="1"/>
    <col min="21" max="21" width="24.28515625" customWidth="1"/>
    <col min="22" max="22" width="34.7109375" customWidth="1"/>
    <col min="23" max="23" width="22.28515625" customWidth="1"/>
    <col min="24" max="24" width="23.7109375" customWidth="1"/>
    <col min="25" max="25" width="29.5703125" customWidth="1"/>
    <col min="26" max="26" width="0.85546875" customWidth="1"/>
    <col min="27" max="27" width="42.42578125" customWidth="1"/>
    <col min="28" max="28" width="41.140625" customWidth="1"/>
    <col min="29" max="29" width="38.85546875" customWidth="1"/>
    <col min="30" max="30" width="40.42578125" customWidth="1"/>
  </cols>
  <sheetData>
    <row r="1" spans="1:30" ht="15" customHeight="1" x14ac:dyDescent="0.25">
      <c r="B1" s="128" t="s">
        <v>22</v>
      </c>
      <c r="C1" s="128"/>
      <c r="D1" s="128"/>
      <c r="E1" s="128"/>
      <c r="F1" s="128"/>
      <c r="G1" s="128"/>
      <c r="K1" s="1"/>
      <c r="L1" s="1"/>
      <c r="M1" s="1"/>
      <c r="N1" s="1"/>
      <c r="O1" s="1"/>
      <c r="P1" s="1"/>
    </row>
    <row r="2" spans="1:30" ht="15" customHeight="1" x14ac:dyDescent="0.25">
      <c r="B2" s="129"/>
      <c r="C2" s="129"/>
      <c r="D2" s="129"/>
      <c r="E2" s="129"/>
      <c r="F2" s="129"/>
      <c r="G2" s="129"/>
      <c r="K2" s="1"/>
      <c r="L2" s="1"/>
      <c r="M2" s="1"/>
      <c r="N2" s="1"/>
      <c r="O2" s="1"/>
      <c r="P2" s="1"/>
    </row>
    <row r="3" spans="1:30" s="6" customFormat="1" x14ac:dyDescent="0.25">
      <c r="A3" s="2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/>
      <c r="I3" s="4"/>
      <c r="J3" s="4"/>
      <c r="K3" s="3" t="s">
        <v>6</v>
      </c>
      <c r="L3" s="3" t="s">
        <v>7</v>
      </c>
      <c r="M3" s="10" t="s">
        <v>23</v>
      </c>
      <c r="N3" s="3" t="s">
        <v>8</v>
      </c>
      <c r="O3" s="3" t="s">
        <v>9</v>
      </c>
      <c r="P3" s="5"/>
      <c r="Q3" s="3" t="s">
        <v>10</v>
      </c>
      <c r="R3" s="3" t="s">
        <v>11</v>
      </c>
      <c r="S3" s="5"/>
      <c r="T3" s="3" t="s">
        <v>12</v>
      </c>
      <c r="U3" s="3" t="s">
        <v>13</v>
      </c>
      <c r="V3" s="3" t="s">
        <v>14</v>
      </c>
      <c r="W3" s="3" t="s">
        <v>15</v>
      </c>
      <c r="X3" s="3" t="s">
        <v>16</v>
      </c>
      <c r="Y3" s="3" t="s">
        <v>17</v>
      </c>
      <c r="Z3" s="5"/>
      <c r="AA3" s="3" t="s">
        <v>18</v>
      </c>
      <c r="AB3" s="3" t="s">
        <v>19</v>
      </c>
      <c r="AC3" s="3" t="s">
        <v>20</v>
      </c>
      <c r="AD3" s="3" t="s">
        <v>21</v>
      </c>
    </row>
    <row r="4" spans="1:30" s="6" customFormat="1" x14ac:dyDescent="0.25">
      <c r="B4" s="7">
        <v>15750</v>
      </c>
      <c r="C4" s="7">
        <v>25</v>
      </c>
      <c r="D4" s="7">
        <v>1000000</v>
      </c>
      <c r="E4" s="7">
        <v>10000</v>
      </c>
      <c r="F4" s="7">
        <v>100</v>
      </c>
      <c r="G4" s="7">
        <v>600</v>
      </c>
      <c r="H4" s="8"/>
      <c r="K4" s="7">
        <v>65</v>
      </c>
      <c r="L4" s="7">
        <v>1</v>
      </c>
      <c r="M4" s="7">
        <v>805</v>
      </c>
      <c r="N4" s="7">
        <v>0.65974999999999995</v>
      </c>
      <c r="O4" s="7">
        <v>1</v>
      </c>
      <c r="P4" s="9"/>
      <c r="Q4" s="7">
        <v>1</v>
      </c>
      <c r="R4" s="7">
        <v>1</v>
      </c>
      <c r="S4" s="9"/>
      <c r="T4" s="7">
        <v>0</v>
      </c>
      <c r="U4" s="7">
        <v>1</v>
      </c>
      <c r="V4" s="7">
        <v>2</v>
      </c>
      <c r="W4" s="7">
        <v>1</v>
      </c>
      <c r="X4" s="13">
        <v>0</v>
      </c>
      <c r="Y4" s="7">
        <v>1</v>
      </c>
      <c r="Z4" s="9"/>
      <c r="AA4" s="7">
        <v>0.1</v>
      </c>
      <c r="AB4" s="7">
        <v>1</v>
      </c>
      <c r="AC4" s="7">
        <v>1</v>
      </c>
      <c r="AD4" s="7">
        <v>1</v>
      </c>
    </row>
    <row r="5" spans="1:30" s="6" customFormat="1" x14ac:dyDescent="0.25">
      <c r="B5" s="7"/>
      <c r="C5" s="7"/>
      <c r="D5" s="7"/>
      <c r="E5" s="7"/>
      <c r="F5" s="7"/>
      <c r="G5" s="7"/>
      <c r="H5" s="8"/>
      <c r="K5" s="7">
        <v>65</v>
      </c>
      <c r="L5" s="7">
        <v>173</v>
      </c>
      <c r="M5" s="7"/>
      <c r="N5" s="7">
        <v>0.59449999999999992</v>
      </c>
      <c r="O5" s="7">
        <v>50</v>
      </c>
      <c r="P5" s="9"/>
      <c r="Q5" s="7">
        <v>1</v>
      </c>
      <c r="R5" s="7">
        <v>100</v>
      </c>
      <c r="S5" s="9"/>
      <c r="T5" s="7">
        <v>0</v>
      </c>
      <c r="U5" s="7">
        <v>600</v>
      </c>
      <c r="V5" s="7">
        <v>2</v>
      </c>
      <c r="W5" s="7">
        <v>600</v>
      </c>
      <c r="X5" s="13">
        <v>0</v>
      </c>
      <c r="Y5" s="7">
        <v>9</v>
      </c>
      <c r="Z5" s="9"/>
      <c r="AA5" s="7">
        <v>0.1</v>
      </c>
      <c r="AB5" s="7">
        <v>600</v>
      </c>
      <c r="AC5" s="7">
        <v>1</v>
      </c>
      <c r="AD5" s="7">
        <v>100</v>
      </c>
    </row>
    <row r="6" spans="1:30" s="6" customFormat="1" x14ac:dyDescent="0.25">
      <c r="B6" s="7"/>
      <c r="C6" s="7"/>
      <c r="D6" s="7"/>
      <c r="E6" s="7"/>
      <c r="F6" s="7"/>
      <c r="G6" s="7"/>
      <c r="H6" s="8"/>
      <c r="K6" s="7">
        <v>0</v>
      </c>
      <c r="L6" s="7">
        <v>285</v>
      </c>
      <c r="M6" s="7"/>
      <c r="N6" s="7">
        <v>0.52925</v>
      </c>
      <c r="O6" s="7">
        <v>100</v>
      </c>
      <c r="P6" s="9"/>
      <c r="Q6" s="7"/>
      <c r="R6" s="7"/>
      <c r="S6" s="9"/>
      <c r="T6" s="7"/>
      <c r="U6" s="7"/>
      <c r="V6" s="7"/>
      <c r="W6" s="7"/>
      <c r="X6" s="13">
        <v>3</v>
      </c>
      <c r="Y6" s="7">
        <v>10</v>
      </c>
      <c r="Z6" s="9"/>
      <c r="AA6" s="7"/>
      <c r="AB6" s="7"/>
      <c r="AC6" s="7"/>
      <c r="AD6" s="7"/>
    </row>
    <row r="7" spans="1:30" s="6" customFormat="1" x14ac:dyDescent="0.25">
      <c r="B7" s="7"/>
      <c r="C7" s="7"/>
      <c r="D7" s="7"/>
      <c r="E7" s="7"/>
      <c r="F7" s="7"/>
      <c r="G7" s="7"/>
      <c r="H7" s="8"/>
      <c r="K7" s="7">
        <v>14</v>
      </c>
      <c r="L7" s="7">
        <v>330</v>
      </c>
      <c r="M7" s="7"/>
      <c r="N7" s="7">
        <v>0.42774999999999996</v>
      </c>
      <c r="O7" s="7">
        <v>150</v>
      </c>
      <c r="P7" s="9"/>
      <c r="Q7" s="7"/>
      <c r="R7" s="7"/>
      <c r="S7" s="9"/>
      <c r="T7" s="7"/>
      <c r="U7" s="7"/>
      <c r="V7" s="7"/>
      <c r="W7" s="7"/>
      <c r="X7" s="13">
        <v>1</v>
      </c>
      <c r="Y7" s="7">
        <v>14</v>
      </c>
      <c r="Z7" s="9"/>
      <c r="AA7" s="7"/>
      <c r="AB7" s="7"/>
      <c r="AC7" s="7"/>
      <c r="AD7" s="7"/>
    </row>
    <row r="8" spans="1:30" s="6" customFormat="1" x14ac:dyDescent="0.25">
      <c r="B8" s="7"/>
      <c r="C8" s="7"/>
      <c r="D8" s="7"/>
      <c r="E8" s="7"/>
      <c r="F8" s="7"/>
      <c r="G8" s="7"/>
      <c r="H8" s="8"/>
      <c r="K8" s="7">
        <v>28</v>
      </c>
      <c r="L8" s="11">
        <v>440</v>
      </c>
      <c r="M8" s="9"/>
      <c r="N8" s="7">
        <v>0.27549999999999997</v>
      </c>
      <c r="O8" s="7">
        <v>200</v>
      </c>
      <c r="P8" s="9"/>
      <c r="Q8" s="7"/>
      <c r="R8" s="7"/>
      <c r="S8" s="9"/>
      <c r="T8" s="7"/>
      <c r="U8" s="7"/>
      <c r="V8" s="7"/>
      <c r="W8" s="7"/>
      <c r="X8" s="6">
        <v>0</v>
      </c>
      <c r="Y8" s="6">
        <v>15</v>
      </c>
      <c r="Z8" s="9"/>
      <c r="AA8" s="7"/>
      <c r="AB8" s="7"/>
      <c r="AC8" s="7"/>
      <c r="AD8" s="7"/>
    </row>
    <row r="9" spans="1:30" s="6" customFormat="1" x14ac:dyDescent="0.25">
      <c r="B9" s="9"/>
      <c r="C9" s="9"/>
      <c r="D9" s="9"/>
      <c r="E9" s="9"/>
      <c r="F9" s="9"/>
      <c r="G9" s="9"/>
      <c r="H9" s="8"/>
      <c r="K9" s="7">
        <v>65</v>
      </c>
      <c r="L9" s="7">
        <v>526</v>
      </c>
      <c r="M9" s="9"/>
      <c r="N9" s="7">
        <v>0.12325</v>
      </c>
      <c r="O9" s="7">
        <v>250</v>
      </c>
      <c r="P9" s="9"/>
      <c r="Q9" s="7"/>
      <c r="R9" s="7"/>
      <c r="S9" s="9"/>
      <c r="T9" s="7"/>
      <c r="U9" s="7"/>
      <c r="V9" s="7"/>
      <c r="W9" s="7"/>
      <c r="X9" s="6">
        <v>0</v>
      </c>
      <c r="Y9" s="6">
        <v>29</v>
      </c>
      <c r="Z9" s="9"/>
      <c r="AA9" s="7"/>
      <c r="AB9" s="7"/>
      <c r="AC9" s="7"/>
      <c r="AD9" s="7"/>
    </row>
    <row r="10" spans="1:30" x14ac:dyDescent="0.25">
      <c r="K10" s="12">
        <v>65</v>
      </c>
      <c r="L10" s="12">
        <v>600</v>
      </c>
      <c r="N10" s="7">
        <v>1.4499999999999999E-2</v>
      </c>
      <c r="O10" s="12">
        <v>300</v>
      </c>
      <c r="X10" s="16">
        <v>4</v>
      </c>
      <c r="Y10" s="7">
        <v>30</v>
      </c>
    </row>
    <row r="11" spans="1:30" x14ac:dyDescent="0.25">
      <c r="N11" s="7">
        <v>0</v>
      </c>
      <c r="O11" s="12">
        <v>320</v>
      </c>
      <c r="X11" s="16">
        <v>2</v>
      </c>
      <c r="Y11" s="7">
        <v>31</v>
      </c>
    </row>
    <row r="12" spans="1:30" x14ac:dyDescent="0.25">
      <c r="N12" s="7">
        <v>2.1749999999999999E-2</v>
      </c>
      <c r="O12" s="12">
        <v>350</v>
      </c>
      <c r="X12">
        <v>0</v>
      </c>
      <c r="Y12" s="9">
        <v>32</v>
      </c>
    </row>
    <row r="13" spans="1:30" x14ac:dyDescent="0.25">
      <c r="N13" s="7">
        <v>0.12325</v>
      </c>
      <c r="O13" s="12">
        <v>400</v>
      </c>
      <c r="X13">
        <v>0</v>
      </c>
      <c r="Y13" s="9">
        <v>34</v>
      </c>
    </row>
    <row r="14" spans="1:30" x14ac:dyDescent="0.25">
      <c r="N14" s="7">
        <v>0.29724999999999996</v>
      </c>
      <c r="O14" s="12">
        <v>450</v>
      </c>
      <c r="X14">
        <v>2.5</v>
      </c>
      <c r="Y14" s="9">
        <v>35</v>
      </c>
    </row>
    <row r="15" spans="1:30" x14ac:dyDescent="0.25">
      <c r="N15" s="7">
        <v>0.52925</v>
      </c>
      <c r="O15" s="12">
        <v>500</v>
      </c>
      <c r="X15" s="16">
        <v>0</v>
      </c>
      <c r="Y15" s="7">
        <v>36</v>
      </c>
    </row>
    <row r="16" spans="1:30" x14ac:dyDescent="0.25">
      <c r="N16" s="7">
        <v>0.66700000000000004</v>
      </c>
      <c r="O16" s="12">
        <v>550</v>
      </c>
      <c r="X16" s="16">
        <v>0</v>
      </c>
      <c r="Y16" s="7">
        <v>38</v>
      </c>
    </row>
    <row r="17" spans="14:25" x14ac:dyDescent="0.25">
      <c r="N17" s="7">
        <v>0.72499999999999998</v>
      </c>
      <c r="O17" s="12">
        <v>600</v>
      </c>
      <c r="X17" s="18">
        <v>0.9</v>
      </c>
      <c r="Y17" s="7">
        <v>39</v>
      </c>
    </row>
    <row r="18" spans="14:25" x14ac:dyDescent="0.25">
      <c r="X18" s="18">
        <v>0.9</v>
      </c>
      <c r="Y18" s="7">
        <v>44</v>
      </c>
    </row>
    <row r="19" spans="14:25" x14ac:dyDescent="0.25">
      <c r="X19" s="18">
        <v>0</v>
      </c>
      <c r="Y19" s="7">
        <v>48</v>
      </c>
    </row>
    <row r="20" spans="14:25" x14ac:dyDescent="0.25">
      <c r="X20" s="18">
        <v>0</v>
      </c>
      <c r="Y20" s="7">
        <v>55</v>
      </c>
    </row>
    <row r="21" spans="14:25" x14ac:dyDescent="0.25">
      <c r="X21" s="20">
        <v>0.9</v>
      </c>
      <c r="Y21" s="7">
        <v>56</v>
      </c>
    </row>
    <row r="22" spans="14:25" x14ac:dyDescent="0.25">
      <c r="X22" s="20">
        <v>0.9</v>
      </c>
      <c r="Y22" s="7">
        <v>63</v>
      </c>
    </row>
    <row r="23" spans="14:25" x14ac:dyDescent="0.25">
      <c r="X23" s="20">
        <v>0</v>
      </c>
      <c r="Y23" s="7">
        <v>67</v>
      </c>
    </row>
    <row r="24" spans="14:25" x14ac:dyDescent="0.25">
      <c r="X24" s="20">
        <v>0</v>
      </c>
      <c r="Y24" s="7">
        <v>74</v>
      </c>
    </row>
    <row r="25" spans="14:25" x14ac:dyDescent="0.25">
      <c r="X25" s="22">
        <v>0.8</v>
      </c>
      <c r="Y25" s="7">
        <v>75</v>
      </c>
    </row>
    <row r="26" spans="14:25" x14ac:dyDescent="0.25">
      <c r="X26" s="22">
        <v>0.8</v>
      </c>
      <c r="Y26" s="7">
        <v>80</v>
      </c>
    </row>
    <row r="27" spans="14:25" x14ac:dyDescent="0.25">
      <c r="X27" s="22">
        <v>0</v>
      </c>
      <c r="Y27" s="7">
        <v>83</v>
      </c>
    </row>
    <row r="28" spans="14:25" x14ac:dyDescent="0.25">
      <c r="X28" s="22">
        <v>0</v>
      </c>
      <c r="Y28" s="7">
        <v>90</v>
      </c>
    </row>
    <row r="29" spans="14:25" x14ac:dyDescent="0.25">
      <c r="X29" s="25">
        <v>0.75</v>
      </c>
      <c r="Y29" s="7">
        <v>91</v>
      </c>
    </row>
    <row r="30" spans="14:25" x14ac:dyDescent="0.25">
      <c r="X30" s="25">
        <v>0.75</v>
      </c>
      <c r="Y30" s="7">
        <v>93</v>
      </c>
    </row>
    <row r="31" spans="14:25" x14ac:dyDescent="0.25">
      <c r="X31" s="25">
        <v>0</v>
      </c>
      <c r="Y31" s="7">
        <v>94</v>
      </c>
    </row>
    <row r="32" spans="14:25" x14ac:dyDescent="0.25">
      <c r="X32" s="25">
        <v>0</v>
      </c>
      <c r="Y32" s="7">
        <v>100</v>
      </c>
    </row>
    <row r="34" spans="1:30" s="6" customFormat="1" x14ac:dyDescent="0.25">
      <c r="A34" s="2">
        <v>14</v>
      </c>
      <c r="B34" s="3" t="s">
        <v>0</v>
      </c>
      <c r="C34" s="3" t="s">
        <v>1</v>
      </c>
      <c r="D34" s="3" t="s">
        <v>2</v>
      </c>
      <c r="E34" s="3" t="s">
        <v>3</v>
      </c>
      <c r="F34" s="3" t="s">
        <v>4</v>
      </c>
      <c r="G34" s="3" t="s">
        <v>5</v>
      </c>
      <c r="H34" s="4"/>
      <c r="I34" s="4"/>
      <c r="J34" s="4"/>
      <c r="K34" s="3" t="s">
        <v>6</v>
      </c>
      <c r="L34" s="3" t="s">
        <v>7</v>
      </c>
      <c r="M34" s="10" t="s">
        <v>23</v>
      </c>
      <c r="N34" s="3" t="s">
        <v>8</v>
      </c>
      <c r="O34" s="3" t="s">
        <v>9</v>
      </c>
      <c r="P34" s="5"/>
      <c r="Q34" s="3" t="s">
        <v>10</v>
      </c>
      <c r="R34" s="3" t="s">
        <v>11</v>
      </c>
      <c r="S34" s="5"/>
      <c r="T34" s="3" t="s">
        <v>12</v>
      </c>
      <c r="U34" s="3" t="s">
        <v>13</v>
      </c>
      <c r="V34" s="3" t="s">
        <v>14</v>
      </c>
      <c r="W34" s="3" t="s">
        <v>15</v>
      </c>
      <c r="X34" s="3" t="s">
        <v>16</v>
      </c>
      <c r="Y34" s="3" t="s">
        <v>17</v>
      </c>
      <c r="Z34" s="5"/>
      <c r="AA34" s="3" t="s">
        <v>18</v>
      </c>
      <c r="AB34" s="3" t="s">
        <v>19</v>
      </c>
      <c r="AC34" s="3" t="s">
        <v>20</v>
      </c>
      <c r="AD34" s="3" t="s">
        <v>21</v>
      </c>
    </row>
    <row r="35" spans="1:30" s="6" customFormat="1" x14ac:dyDescent="0.25">
      <c r="B35" s="7">
        <v>15750</v>
      </c>
      <c r="C35" s="7">
        <v>25</v>
      </c>
      <c r="D35" s="7">
        <v>1000000</v>
      </c>
      <c r="E35" s="7">
        <v>10000</v>
      </c>
      <c r="F35" s="7">
        <v>100</v>
      </c>
      <c r="G35" s="7">
        <v>600</v>
      </c>
      <c r="H35" s="8"/>
      <c r="K35" s="7">
        <v>65</v>
      </c>
      <c r="L35" s="7">
        <v>1</v>
      </c>
      <c r="M35" s="7">
        <v>805</v>
      </c>
      <c r="N35" s="7">
        <v>0.65974999999999995</v>
      </c>
      <c r="O35" s="7">
        <v>1</v>
      </c>
      <c r="P35" s="9"/>
      <c r="Q35" s="7">
        <v>1</v>
      </c>
      <c r="R35" s="7">
        <v>1</v>
      </c>
      <c r="S35" s="9"/>
      <c r="T35" s="7">
        <v>0</v>
      </c>
      <c r="U35" s="7">
        <v>1</v>
      </c>
      <c r="V35" s="7">
        <v>2</v>
      </c>
      <c r="W35" s="7">
        <v>1</v>
      </c>
      <c r="X35" s="13">
        <v>0</v>
      </c>
      <c r="Y35" s="7">
        <v>1</v>
      </c>
      <c r="Z35" s="9"/>
      <c r="AA35" s="7">
        <v>0.1</v>
      </c>
      <c r="AB35" s="7">
        <v>1</v>
      </c>
      <c r="AC35" s="7">
        <v>1</v>
      </c>
      <c r="AD35" s="7">
        <v>1</v>
      </c>
    </row>
    <row r="36" spans="1:30" s="6" customFormat="1" x14ac:dyDescent="0.25">
      <c r="B36" s="7"/>
      <c r="C36" s="7"/>
      <c r="D36" s="7"/>
      <c r="E36" s="7"/>
      <c r="F36" s="7"/>
      <c r="G36" s="7"/>
      <c r="H36" s="8"/>
      <c r="K36" s="7">
        <v>65</v>
      </c>
      <c r="L36" s="7">
        <v>173</v>
      </c>
      <c r="M36" s="7"/>
      <c r="N36" s="7">
        <v>0.59449999999999992</v>
      </c>
      <c r="O36" s="7">
        <v>50</v>
      </c>
      <c r="P36" s="9"/>
      <c r="Q36" s="7">
        <v>1</v>
      </c>
      <c r="R36" s="7">
        <v>100</v>
      </c>
      <c r="S36" s="9"/>
      <c r="T36" s="7">
        <v>0</v>
      </c>
      <c r="U36" s="7">
        <v>600</v>
      </c>
      <c r="V36" s="7">
        <v>2</v>
      </c>
      <c r="W36" s="7">
        <v>600</v>
      </c>
      <c r="X36" s="13">
        <v>0</v>
      </c>
      <c r="Y36" s="7">
        <v>9</v>
      </c>
      <c r="Z36" s="9"/>
      <c r="AA36" s="7">
        <v>0.1</v>
      </c>
      <c r="AB36" s="7">
        <v>600</v>
      </c>
      <c r="AC36" s="7">
        <v>1</v>
      </c>
      <c r="AD36" s="7">
        <v>100</v>
      </c>
    </row>
    <row r="37" spans="1:30" s="6" customFormat="1" x14ac:dyDescent="0.25">
      <c r="B37" s="7"/>
      <c r="C37" s="7"/>
      <c r="D37" s="7"/>
      <c r="E37" s="7"/>
      <c r="F37" s="7"/>
      <c r="G37" s="7"/>
      <c r="H37" s="8"/>
      <c r="K37" s="7">
        <v>0</v>
      </c>
      <c r="L37" s="7">
        <v>285</v>
      </c>
      <c r="M37" s="7"/>
      <c r="N37" s="7">
        <v>0.52925</v>
      </c>
      <c r="O37" s="7">
        <v>100</v>
      </c>
      <c r="P37" s="9"/>
      <c r="Q37" s="7"/>
      <c r="R37" s="7"/>
      <c r="S37" s="9"/>
      <c r="T37" s="7"/>
      <c r="U37" s="7"/>
      <c r="V37" s="7"/>
      <c r="W37" s="7"/>
      <c r="X37" s="13">
        <v>3</v>
      </c>
      <c r="Y37" s="7">
        <v>10</v>
      </c>
      <c r="Z37" s="9"/>
      <c r="AA37" s="7"/>
      <c r="AB37" s="7"/>
      <c r="AC37" s="7"/>
      <c r="AD37" s="7"/>
    </row>
    <row r="38" spans="1:30" s="6" customFormat="1" x14ac:dyDescent="0.25">
      <c r="B38" s="7"/>
      <c r="C38" s="7"/>
      <c r="D38" s="7"/>
      <c r="E38" s="7"/>
      <c r="F38" s="7"/>
      <c r="G38" s="7"/>
      <c r="H38" s="8"/>
      <c r="K38" s="7">
        <v>14</v>
      </c>
      <c r="L38" s="7">
        <v>330</v>
      </c>
      <c r="M38" s="7"/>
      <c r="N38" s="7">
        <v>0.42774999999999996</v>
      </c>
      <c r="O38" s="7">
        <v>150</v>
      </c>
      <c r="P38" s="9"/>
      <c r="Q38" s="7"/>
      <c r="R38" s="7"/>
      <c r="S38" s="9"/>
      <c r="T38" s="7"/>
      <c r="U38" s="7"/>
      <c r="V38" s="7"/>
      <c r="W38" s="7"/>
      <c r="X38" s="13">
        <v>1</v>
      </c>
      <c r="Y38" s="7">
        <v>14</v>
      </c>
      <c r="Z38" s="9"/>
      <c r="AA38" s="7"/>
      <c r="AB38" s="7"/>
      <c r="AC38" s="7"/>
      <c r="AD38" s="7"/>
    </row>
    <row r="39" spans="1:30" s="6" customFormat="1" x14ac:dyDescent="0.25">
      <c r="B39" s="7"/>
      <c r="C39" s="7"/>
      <c r="D39" s="7"/>
      <c r="E39" s="7"/>
      <c r="F39" s="7"/>
      <c r="G39" s="7"/>
      <c r="H39" s="8"/>
      <c r="K39" s="7">
        <v>28</v>
      </c>
      <c r="L39" s="11">
        <v>440</v>
      </c>
      <c r="M39" s="9"/>
      <c r="N39" s="7">
        <v>0.27549999999999997</v>
      </c>
      <c r="O39" s="7">
        <v>200</v>
      </c>
      <c r="P39" s="9"/>
      <c r="Q39" s="7"/>
      <c r="R39" s="7"/>
      <c r="S39" s="9"/>
      <c r="T39" s="7"/>
      <c r="U39" s="7"/>
      <c r="V39" s="7"/>
      <c r="W39" s="7"/>
      <c r="X39" s="6">
        <v>0</v>
      </c>
      <c r="Y39" s="6">
        <v>15</v>
      </c>
      <c r="Z39" s="9"/>
      <c r="AA39" s="7"/>
      <c r="AB39" s="7"/>
      <c r="AC39" s="7"/>
      <c r="AD39" s="7"/>
    </row>
    <row r="40" spans="1:30" s="6" customFormat="1" x14ac:dyDescent="0.25">
      <c r="B40" s="9"/>
      <c r="C40" s="9"/>
      <c r="D40" s="9"/>
      <c r="E40" s="9"/>
      <c r="F40" s="9"/>
      <c r="G40" s="9"/>
      <c r="H40" s="8"/>
      <c r="K40" s="7">
        <v>65</v>
      </c>
      <c r="L40" s="7">
        <v>526</v>
      </c>
      <c r="M40" s="9"/>
      <c r="N40" s="7">
        <v>0.12325</v>
      </c>
      <c r="O40" s="7">
        <v>250</v>
      </c>
      <c r="P40" s="9"/>
      <c r="Q40" s="7"/>
      <c r="R40" s="7"/>
      <c r="S40" s="9"/>
      <c r="T40" s="7"/>
      <c r="U40" s="7"/>
      <c r="V40" s="7"/>
      <c r="W40" s="7"/>
      <c r="X40" s="6">
        <v>0</v>
      </c>
      <c r="Y40" s="6">
        <v>29</v>
      </c>
      <c r="Z40" s="9"/>
      <c r="AA40" s="7"/>
      <c r="AB40" s="7"/>
      <c r="AC40" s="7"/>
      <c r="AD40" s="7"/>
    </row>
    <row r="41" spans="1:30" x14ac:dyDescent="0.25">
      <c r="K41" s="12">
        <v>65</v>
      </c>
      <c r="L41" s="12">
        <v>600</v>
      </c>
      <c r="N41" s="7">
        <v>1.4499999999999999E-2</v>
      </c>
      <c r="O41" s="12">
        <v>300</v>
      </c>
      <c r="X41" s="16">
        <v>4</v>
      </c>
      <c r="Y41" s="7">
        <v>30</v>
      </c>
    </row>
    <row r="42" spans="1:30" x14ac:dyDescent="0.25">
      <c r="N42" s="7">
        <v>0</v>
      </c>
      <c r="O42" s="12">
        <v>320</v>
      </c>
      <c r="X42" s="16">
        <v>2</v>
      </c>
      <c r="Y42" s="7">
        <v>31</v>
      </c>
    </row>
    <row r="43" spans="1:30" x14ac:dyDescent="0.25">
      <c r="N43" s="7">
        <v>2.1749999999999999E-2</v>
      </c>
      <c r="O43" s="12">
        <v>350</v>
      </c>
      <c r="X43">
        <v>0</v>
      </c>
      <c r="Y43" s="9">
        <v>32</v>
      </c>
    </row>
    <row r="44" spans="1:30" x14ac:dyDescent="0.25">
      <c r="N44" s="7">
        <v>0.12325</v>
      </c>
      <c r="O44" s="12">
        <v>400</v>
      </c>
      <c r="X44">
        <v>0</v>
      </c>
      <c r="Y44" s="9">
        <v>34</v>
      </c>
    </row>
    <row r="45" spans="1:30" x14ac:dyDescent="0.25">
      <c r="N45" s="7">
        <v>0.29724999999999996</v>
      </c>
      <c r="O45" s="12">
        <v>450</v>
      </c>
      <c r="X45">
        <v>2.5</v>
      </c>
      <c r="Y45" s="9">
        <v>35</v>
      </c>
    </row>
    <row r="46" spans="1:30" x14ac:dyDescent="0.25">
      <c r="N46" s="7">
        <v>0.52925</v>
      </c>
      <c r="O46" s="12">
        <v>500</v>
      </c>
      <c r="X46" s="16">
        <v>0</v>
      </c>
      <c r="Y46" s="7">
        <v>36</v>
      </c>
    </row>
    <row r="47" spans="1:30" x14ac:dyDescent="0.25">
      <c r="N47" s="7">
        <v>0.66700000000000004</v>
      </c>
      <c r="O47" s="12">
        <v>550</v>
      </c>
      <c r="X47" s="16">
        <v>0</v>
      </c>
      <c r="Y47" s="7">
        <v>38</v>
      </c>
    </row>
    <row r="48" spans="1:30" x14ac:dyDescent="0.25">
      <c r="N48" s="7">
        <v>0.72499999999999998</v>
      </c>
      <c r="O48" s="12">
        <v>600</v>
      </c>
      <c r="X48" s="18">
        <v>0.9</v>
      </c>
      <c r="Y48" s="7">
        <v>39</v>
      </c>
    </row>
    <row r="49" spans="24:25" x14ac:dyDescent="0.25">
      <c r="X49" s="18">
        <v>0.9</v>
      </c>
      <c r="Y49" s="7">
        <v>42</v>
      </c>
    </row>
    <row r="50" spans="24:25" x14ac:dyDescent="0.25">
      <c r="X50">
        <v>0</v>
      </c>
      <c r="Y50" s="9">
        <v>43</v>
      </c>
    </row>
    <row r="51" spans="24:25" x14ac:dyDescent="0.25">
      <c r="X51">
        <v>0</v>
      </c>
      <c r="Y51" s="9">
        <v>50</v>
      </c>
    </row>
    <row r="52" spans="24:25" x14ac:dyDescent="0.25">
      <c r="X52">
        <v>3</v>
      </c>
      <c r="Y52" s="9">
        <v>51</v>
      </c>
    </row>
    <row r="53" spans="24:25" x14ac:dyDescent="0.25">
      <c r="X53">
        <v>3</v>
      </c>
      <c r="Y53" s="9">
        <v>52</v>
      </c>
    </row>
    <row r="54" spans="24:25" x14ac:dyDescent="0.25">
      <c r="X54">
        <v>0</v>
      </c>
      <c r="Y54" s="9">
        <v>53</v>
      </c>
    </row>
    <row r="55" spans="24:25" x14ac:dyDescent="0.25">
      <c r="X55" s="18">
        <v>0</v>
      </c>
      <c r="Y55" s="7">
        <v>55</v>
      </c>
    </row>
    <row r="56" spans="24:25" x14ac:dyDescent="0.25">
      <c r="X56" s="20">
        <v>0.9</v>
      </c>
      <c r="Y56" s="7">
        <v>56</v>
      </c>
    </row>
    <row r="57" spans="24:25" x14ac:dyDescent="0.25">
      <c r="X57" s="20">
        <v>0.9</v>
      </c>
      <c r="Y57" s="7">
        <v>63</v>
      </c>
    </row>
    <row r="58" spans="24:25" x14ac:dyDescent="0.25">
      <c r="X58" s="20">
        <v>0</v>
      </c>
      <c r="Y58" s="7">
        <v>67</v>
      </c>
    </row>
    <row r="59" spans="24:25" x14ac:dyDescent="0.25">
      <c r="X59" s="20">
        <v>0</v>
      </c>
      <c r="Y59" s="7">
        <v>74</v>
      </c>
    </row>
    <row r="60" spans="24:25" x14ac:dyDescent="0.25">
      <c r="X60" s="22">
        <v>0.8</v>
      </c>
      <c r="Y60" s="7">
        <v>75</v>
      </c>
    </row>
    <row r="61" spans="24:25" x14ac:dyDescent="0.25">
      <c r="X61" s="22">
        <v>0.8</v>
      </c>
      <c r="Y61" s="7">
        <v>80</v>
      </c>
    </row>
    <row r="62" spans="24:25" x14ac:dyDescent="0.25">
      <c r="X62" s="22">
        <v>0</v>
      </c>
      <c r="Y62" s="7">
        <v>83</v>
      </c>
    </row>
    <row r="63" spans="24:25" x14ac:dyDescent="0.25">
      <c r="X63" s="22">
        <v>0</v>
      </c>
      <c r="Y63" s="7">
        <v>90</v>
      </c>
    </row>
    <row r="64" spans="24:25" x14ac:dyDescent="0.25">
      <c r="X64" s="25">
        <v>0.75</v>
      </c>
      <c r="Y64" s="7">
        <v>91</v>
      </c>
    </row>
    <row r="65" spans="1:30" x14ac:dyDescent="0.25">
      <c r="X65" s="25">
        <v>0.75</v>
      </c>
      <c r="Y65" s="7">
        <v>93</v>
      </c>
    </row>
    <row r="66" spans="1:30" x14ac:dyDescent="0.25">
      <c r="X66" s="25">
        <v>0</v>
      </c>
      <c r="Y66" s="7">
        <v>94</v>
      </c>
    </row>
    <row r="67" spans="1:30" x14ac:dyDescent="0.25">
      <c r="X67" s="25">
        <v>0</v>
      </c>
      <c r="Y67" s="7">
        <v>100</v>
      </c>
    </row>
    <row r="69" spans="1:30" s="6" customFormat="1" x14ac:dyDescent="0.25">
      <c r="A69" s="2">
        <v>15</v>
      </c>
      <c r="B69" s="3" t="s">
        <v>0</v>
      </c>
      <c r="C69" s="3" t="s">
        <v>1</v>
      </c>
      <c r="D69" s="3" t="s">
        <v>2</v>
      </c>
      <c r="E69" s="3" t="s">
        <v>3</v>
      </c>
      <c r="F69" s="3" t="s">
        <v>4</v>
      </c>
      <c r="G69" s="3" t="s">
        <v>5</v>
      </c>
      <c r="H69" s="4"/>
      <c r="I69" s="4"/>
      <c r="J69" s="4"/>
      <c r="K69" s="3" t="s">
        <v>6</v>
      </c>
      <c r="L69" s="3" t="s">
        <v>7</v>
      </c>
      <c r="M69" s="10" t="s">
        <v>23</v>
      </c>
      <c r="N69" s="3" t="s">
        <v>8</v>
      </c>
      <c r="O69" s="3" t="s">
        <v>9</v>
      </c>
      <c r="P69" s="5"/>
      <c r="Q69" s="3" t="s">
        <v>10</v>
      </c>
      <c r="R69" s="3" t="s">
        <v>11</v>
      </c>
      <c r="S69" s="5"/>
      <c r="T69" s="3" t="s">
        <v>12</v>
      </c>
      <c r="U69" s="3" t="s">
        <v>13</v>
      </c>
      <c r="V69" s="3" t="s">
        <v>14</v>
      </c>
      <c r="W69" s="3" t="s">
        <v>15</v>
      </c>
      <c r="X69" s="3" t="s">
        <v>16</v>
      </c>
      <c r="Y69" s="3" t="s">
        <v>17</v>
      </c>
      <c r="Z69" s="5"/>
      <c r="AA69" s="3" t="s">
        <v>18</v>
      </c>
      <c r="AB69" s="3" t="s">
        <v>19</v>
      </c>
      <c r="AC69" s="3" t="s">
        <v>20</v>
      </c>
      <c r="AD69" s="3" t="s">
        <v>21</v>
      </c>
    </row>
    <row r="70" spans="1:30" s="6" customFormat="1" x14ac:dyDescent="0.25">
      <c r="B70" s="7">
        <v>15750</v>
      </c>
      <c r="C70" s="7">
        <v>25</v>
      </c>
      <c r="D70" s="7">
        <v>1000000</v>
      </c>
      <c r="E70" s="7">
        <v>10000</v>
      </c>
      <c r="F70" s="7">
        <v>100</v>
      </c>
      <c r="G70" s="7">
        <v>600</v>
      </c>
      <c r="H70" s="8"/>
      <c r="K70" s="7">
        <v>65</v>
      </c>
      <c r="L70" s="7">
        <v>1</v>
      </c>
      <c r="M70" s="7">
        <v>805</v>
      </c>
      <c r="N70" s="7">
        <v>0.73892000000000002</v>
      </c>
      <c r="O70" s="7">
        <v>1</v>
      </c>
      <c r="P70" s="9"/>
      <c r="Q70" s="7">
        <v>1</v>
      </c>
      <c r="R70" s="7">
        <v>1</v>
      </c>
      <c r="S70" s="9"/>
      <c r="T70" s="7">
        <v>0</v>
      </c>
      <c r="U70" s="7">
        <v>1</v>
      </c>
      <c r="V70" s="7">
        <v>2</v>
      </c>
      <c r="W70" s="7">
        <v>1</v>
      </c>
      <c r="X70" s="13">
        <v>0</v>
      </c>
      <c r="Y70" s="7">
        <v>1</v>
      </c>
      <c r="Z70" s="9"/>
      <c r="AA70" s="7">
        <v>0.1</v>
      </c>
      <c r="AB70" s="7">
        <v>1</v>
      </c>
      <c r="AC70" s="7">
        <v>1</v>
      </c>
      <c r="AD70" s="7">
        <v>1</v>
      </c>
    </row>
    <row r="71" spans="1:30" s="6" customFormat="1" x14ac:dyDescent="0.25">
      <c r="B71" s="7"/>
      <c r="C71" s="7"/>
      <c r="D71" s="7"/>
      <c r="E71" s="7"/>
      <c r="F71" s="7"/>
      <c r="G71" s="7"/>
      <c r="H71" s="8"/>
      <c r="K71" s="7">
        <v>65</v>
      </c>
      <c r="L71" s="7">
        <v>173</v>
      </c>
      <c r="M71" s="7"/>
      <c r="N71" s="7">
        <v>0.66583999999999999</v>
      </c>
      <c r="O71" s="7">
        <v>50</v>
      </c>
      <c r="P71" s="9"/>
      <c r="Q71" s="7">
        <v>1</v>
      </c>
      <c r="R71" s="7">
        <v>100</v>
      </c>
      <c r="S71" s="9"/>
      <c r="T71" s="7">
        <v>0</v>
      </c>
      <c r="U71" s="7">
        <v>600</v>
      </c>
      <c r="V71" s="7">
        <v>2</v>
      </c>
      <c r="W71" s="7">
        <v>600</v>
      </c>
      <c r="X71" s="13">
        <v>0</v>
      </c>
      <c r="Y71" s="7">
        <v>9</v>
      </c>
      <c r="Z71" s="9"/>
      <c r="AA71" s="7">
        <v>0.1</v>
      </c>
      <c r="AB71" s="7">
        <v>600</v>
      </c>
      <c r="AC71" s="7">
        <v>1</v>
      </c>
      <c r="AD71" s="7">
        <v>100</v>
      </c>
    </row>
    <row r="72" spans="1:30" s="6" customFormat="1" x14ac:dyDescent="0.25">
      <c r="B72" s="7"/>
      <c r="C72" s="7"/>
      <c r="D72" s="7"/>
      <c r="E72" s="7"/>
      <c r="F72" s="7"/>
      <c r="G72" s="7"/>
      <c r="H72" s="8"/>
      <c r="K72" s="7">
        <v>0</v>
      </c>
      <c r="L72" s="7">
        <v>285</v>
      </c>
      <c r="M72" s="7"/>
      <c r="N72" s="7">
        <v>0.59276000000000006</v>
      </c>
      <c r="O72" s="7">
        <v>100</v>
      </c>
      <c r="P72" s="9"/>
      <c r="Q72" s="7"/>
      <c r="R72" s="7"/>
      <c r="S72" s="9"/>
      <c r="T72" s="7"/>
      <c r="U72" s="7"/>
      <c r="V72" s="7"/>
      <c r="W72" s="7"/>
      <c r="X72" s="13">
        <v>3</v>
      </c>
      <c r="Y72" s="7">
        <v>10</v>
      </c>
      <c r="Z72" s="9"/>
      <c r="AA72" s="7"/>
      <c r="AB72" s="7"/>
      <c r="AC72" s="7"/>
      <c r="AD72" s="7"/>
    </row>
    <row r="73" spans="1:30" s="6" customFormat="1" x14ac:dyDescent="0.25">
      <c r="B73" s="7"/>
      <c r="C73" s="7"/>
      <c r="D73" s="7"/>
      <c r="E73" s="7"/>
      <c r="F73" s="7"/>
      <c r="G73" s="7"/>
      <c r="H73" s="8"/>
      <c r="K73" s="7">
        <v>14</v>
      </c>
      <c r="L73" s="7">
        <v>330</v>
      </c>
      <c r="M73" s="7"/>
      <c r="N73" s="7">
        <v>0.47908000000000001</v>
      </c>
      <c r="O73" s="7">
        <v>150</v>
      </c>
      <c r="P73" s="9"/>
      <c r="Q73" s="7"/>
      <c r="R73" s="7"/>
      <c r="S73" s="9"/>
      <c r="T73" s="7"/>
      <c r="U73" s="7"/>
      <c r="V73" s="7"/>
      <c r="W73" s="7"/>
      <c r="X73" s="13">
        <v>1</v>
      </c>
      <c r="Y73" s="7">
        <v>14</v>
      </c>
      <c r="Z73" s="9"/>
      <c r="AA73" s="7"/>
      <c r="AB73" s="7"/>
      <c r="AC73" s="7"/>
      <c r="AD73" s="7"/>
    </row>
    <row r="74" spans="1:30" s="6" customFormat="1" x14ac:dyDescent="0.25">
      <c r="B74" s="7"/>
      <c r="C74" s="7"/>
      <c r="D74" s="7"/>
      <c r="E74" s="7"/>
      <c r="F74" s="7"/>
      <c r="G74" s="7"/>
      <c r="H74" s="8"/>
      <c r="K74" s="7">
        <v>28</v>
      </c>
      <c r="L74" s="11">
        <v>440</v>
      </c>
      <c r="M74" s="9"/>
      <c r="N74" s="7">
        <v>0.30856</v>
      </c>
      <c r="O74" s="7">
        <v>200</v>
      </c>
      <c r="P74" s="9"/>
      <c r="Q74" s="7"/>
      <c r="R74" s="7"/>
      <c r="S74" s="9"/>
      <c r="T74" s="7"/>
      <c r="U74" s="7"/>
      <c r="V74" s="7"/>
      <c r="W74" s="7"/>
      <c r="X74" s="29">
        <v>0</v>
      </c>
      <c r="Y74" s="6">
        <v>15</v>
      </c>
      <c r="Z74" s="9"/>
      <c r="AA74" s="7"/>
      <c r="AB74" s="7"/>
      <c r="AC74" s="7"/>
      <c r="AD74" s="7"/>
    </row>
    <row r="75" spans="1:30" s="6" customFormat="1" x14ac:dyDescent="0.25">
      <c r="B75" s="9"/>
      <c r="C75" s="9"/>
      <c r="D75" s="9"/>
      <c r="E75" s="9"/>
      <c r="F75" s="9"/>
      <c r="G75" s="9"/>
      <c r="H75" s="8"/>
      <c r="K75" s="7">
        <v>65</v>
      </c>
      <c r="L75" s="7">
        <v>526</v>
      </c>
      <c r="M75" s="9"/>
      <c r="N75" s="7">
        <v>0.13804000000000002</v>
      </c>
      <c r="O75" s="7">
        <v>250</v>
      </c>
      <c r="P75" s="9"/>
      <c r="Q75" s="7"/>
      <c r="R75" s="7"/>
      <c r="S75" s="9"/>
      <c r="T75" s="7"/>
      <c r="U75" s="7"/>
      <c r="V75" s="7"/>
      <c r="W75" s="7"/>
      <c r="X75" s="29">
        <v>0</v>
      </c>
      <c r="Y75" s="6">
        <v>29</v>
      </c>
      <c r="Z75" s="9"/>
      <c r="AA75" s="7"/>
      <c r="AB75" s="7"/>
      <c r="AC75" s="7"/>
      <c r="AD75" s="7"/>
    </row>
    <row r="76" spans="1:30" x14ac:dyDescent="0.25">
      <c r="K76" s="12">
        <v>65</v>
      </c>
      <c r="L76" s="12">
        <v>600</v>
      </c>
      <c r="N76" s="7">
        <v>1.6240000000000001E-2</v>
      </c>
      <c r="O76" s="12">
        <v>300</v>
      </c>
      <c r="X76" s="30">
        <v>4</v>
      </c>
      <c r="Y76" s="7">
        <v>30</v>
      </c>
    </row>
    <row r="77" spans="1:30" x14ac:dyDescent="0.25">
      <c r="N77" s="7">
        <v>0</v>
      </c>
      <c r="O77" s="12">
        <v>320</v>
      </c>
      <c r="X77" s="30">
        <v>2</v>
      </c>
      <c r="Y77" s="7">
        <v>31</v>
      </c>
    </row>
    <row r="78" spans="1:30" x14ac:dyDescent="0.25">
      <c r="N78" s="7">
        <v>2.436E-2</v>
      </c>
      <c r="O78" s="12">
        <v>350</v>
      </c>
      <c r="X78" s="31">
        <v>0</v>
      </c>
      <c r="Y78" s="9">
        <v>32</v>
      </c>
    </row>
    <row r="79" spans="1:30" x14ac:dyDescent="0.25">
      <c r="N79" s="7">
        <v>0.13804000000000002</v>
      </c>
      <c r="O79" s="12">
        <v>400</v>
      </c>
      <c r="X79" s="31">
        <v>0</v>
      </c>
      <c r="Y79" s="9">
        <v>33</v>
      </c>
    </row>
    <row r="80" spans="1:30" x14ac:dyDescent="0.25">
      <c r="N80" s="7">
        <v>0.33291999999999999</v>
      </c>
      <c r="O80" s="12">
        <v>450</v>
      </c>
      <c r="X80" s="31">
        <v>2.8</v>
      </c>
      <c r="Y80" s="9">
        <v>34</v>
      </c>
    </row>
    <row r="81" spans="14:25" x14ac:dyDescent="0.25">
      <c r="N81" s="7">
        <v>0.59276000000000006</v>
      </c>
      <c r="O81" s="12">
        <v>500</v>
      </c>
      <c r="X81" s="30">
        <v>0</v>
      </c>
      <c r="Y81" s="7">
        <v>35</v>
      </c>
    </row>
    <row r="82" spans="14:25" x14ac:dyDescent="0.25">
      <c r="N82" s="7">
        <v>0.74704000000000015</v>
      </c>
      <c r="O82" s="12">
        <v>550</v>
      </c>
      <c r="X82" s="30">
        <v>0</v>
      </c>
      <c r="Y82" s="7">
        <v>38</v>
      </c>
    </row>
    <row r="83" spans="14:25" x14ac:dyDescent="0.25">
      <c r="N83" s="7">
        <v>0.81200000000000006</v>
      </c>
      <c r="O83" s="12">
        <v>600</v>
      </c>
      <c r="X83" s="18">
        <v>1.5</v>
      </c>
      <c r="Y83" s="7">
        <v>39</v>
      </c>
    </row>
    <row r="84" spans="14:25" x14ac:dyDescent="0.25">
      <c r="X84" s="18">
        <v>0.5</v>
      </c>
      <c r="Y84" s="7">
        <v>44</v>
      </c>
    </row>
    <row r="85" spans="14:25" x14ac:dyDescent="0.25">
      <c r="X85" s="28">
        <v>0</v>
      </c>
      <c r="Y85" s="9">
        <v>45</v>
      </c>
    </row>
    <row r="86" spans="14:25" x14ac:dyDescent="0.25">
      <c r="X86" s="28">
        <v>0</v>
      </c>
      <c r="Y86" s="9">
        <v>50</v>
      </c>
    </row>
    <row r="87" spans="14:25" x14ac:dyDescent="0.25">
      <c r="X87" s="28">
        <v>3</v>
      </c>
      <c r="Y87" s="9">
        <v>51</v>
      </c>
    </row>
    <row r="88" spans="14:25" x14ac:dyDescent="0.25">
      <c r="X88" s="28">
        <v>0</v>
      </c>
      <c r="Y88" s="9">
        <v>52</v>
      </c>
    </row>
    <row r="89" spans="14:25" x14ac:dyDescent="0.25">
      <c r="X89" s="18">
        <v>0</v>
      </c>
      <c r="Y89" s="7">
        <v>55</v>
      </c>
    </row>
    <row r="90" spans="14:25" x14ac:dyDescent="0.25">
      <c r="X90" s="20">
        <v>0.9</v>
      </c>
      <c r="Y90" s="7">
        <v>56</v>
      </c>
    </row>
    <row r="91" spans="14:25" x14ac:dyDescent="0.25">
      <c r="X91" s="20">
        <v>0.9</v>
      </c>
      <c r="Y91" s="7">
        <v>63</v>
      </c>
    </row>
    <row r="92" spans="14:25" x14ac:dyDescent="0.25">
      <c r="X92" s="20">
        <v>0</v>
      </c>
      <c r="Y92" s="7">
        <v>67</v>
      </c>
    </row>
    <row r="93" spans="14:25" x14ac:dyDescent="0.25">
      <c r="X93" s="20">
        <v>0</v>
      </c>
      <c r="Y93" s="7">
        <v>74</v>
      </c>
    </row>
    <row r="94" spans="14:25" x14ac:dyDescent="0.25">
      <c r="X94" s="22">
        <v>0.8</v>
      </c>
      <c r="Y94" s="7">
        <v>75</v>
      </c>
    </row>
    <row r="95" spans="14:25" x14ac:dyDescent="0.25">
      <c r="X95" s="22">
        <v>0.8</v>
      </c>
      <c r="Y95" s="7">
        <v>80</v>
      </c>
    </row>
    <row r="96" spans="14:25" x14ac:dyDescent="0.25">
      <c r="X96" s="22">
        <v>0</v>
      </c>
      <c r="Y96" s="7">
        <v>83</v>
      </c>
    </row>
    <row r="97" spans="1:30" x14ac:dyDescent="0.25">
      <c r="X97" s="22">
        <v>0</v>
      </c>
      <c r="Y97" s="7">
        <v>90</v>
      </c>
    </row>
    <row r="98" spans="1:30" x14ac:dyDescent="0.25">
      <c r="X98" s="25">
        <v>0.75</v>
      </c>
      <c r="Y98" s="7">
        <v>91</v>
      </c>
    </row>
    <row r="99" spans="1:30" x14ac:dyDescent="0.25">
      <c r="X99" s="25">
        <v>0.75</v>
      </c>
      <c r="Y99" s="7">
        <v>93</v>
      </c>
    </row>
    <row r="100" spans="1:30" x14ac:dyDescent="0.25">
      <c r="X100" s="25">
        <v>0</v>
      </c>
      <c r="Y100" s="7">
        <v>94</v>
      </c>
    </row>
    <row r="101" spans="1:30" x14ac:dyDescent="0.25">
      <c r="X101" s="25">
        <v>0</v>
      </c>
      <c r="Y101" s="7">
        <v>100</v>
      </c>
    </row>
    <row r="102" spans="1:30" s="6" customFormat="1" x14ac:dyDescent="0.25">
      <c r="A102" s="2">
        <v>16</v>
      </c>
      <c r="B102" s="3" t="s">
        <v>0</v>
      </c>
      <c r="C102" s="3" t="s">
        <v>1</v>
      </c>
      <c r="D102" s="3" t="s">
        <v>2</v>
      </c>
      <c r="E102" s="3" t="s">
        <v>3</v>
      </c>
      <c r="F102" s="3" t="s">
        <v>4</v>
      </c>
      <c r="G102" s="3" t="s">
        <v>5</v>
      </c>
      <c r="H102" s="4"/>
      <c r="I102" s="4"/>
      <c r="J102" s="4"/>
      <c r="K102" s="3" t="s">
        <v>6</v>
      </c>
      <c r="L102" s="3" t="s">
        <v>7</v>
      </c>
      <c r="M102" s="10" t="s">
        <v>23</v>
      </c>
      <c r="N102" s="3" t="s">
        <v>8</v>
      </c>
      <c r="O102" s="3" t="s">
        <v>9</v>
      </c>
      <c r="P102" s="5"/>
      <c r="Q102" s="3" t="s">
        <v>10</v>
      </c>
      <c r="R102" s="3" t="s">
        <v>11</v>
      </c>
      <c r="S102" s="5"/>
      <c r="T102" s="3" t="s">
        <v>12</v>
      </c>
      <c r="U102" s="3" t="s">
        <v>13</v>
      </c>
      <c r="V102" s="3" t="s">
        <v>14</v>
      </c>
      <c r="W102" s="3" t="s">
        <v>15</v>
      </c>
      <c r="X102" s="3" t="s">
        <v>16</v>
      </c>
      <c r="Y102" s="3" t="s">
        <v>17</v>
      </c>
      <c r="Z102" s="5"/>
      <c r="AA102" s="3" t="s">
        <v>18</v>
      </c>
      <c r="AB102" s="3" t="s">
        <v>19</v>
      </c>
      <c r="AC102" s="3" t="s">
        <v>20</v>
      </c>
      <c r="AD102" s="3" t="s">
        <v>21</v>
      </c>
    </row>
    <row r="103" spans="1:30" s="6" customFormat="1" x14ac:dyDescent="0.25">
      <c r="B103" s="7">
        <v>15750</v>
      </c>
      <c r="C103" s="7">
        <v>25</v>
      </c>
      <c r="D103" s="7">
        <v>1000000</v>
      </c>
      <c r="E103" s="7">
        <v>10000</v>
      </c>
      <c r="F103" s="7">
        <v>100</v>
      </c>
      <c r="G103" s="7">
        <v>600</v>
      </c>
      <c r="H103" s="8"/>
      <c r="K103" s="7">
        <v>65</v>
      </c>
      <c r="L103" s="7">
        <v>1</v>
      </c>
      <c r="M103" s="7">
        <v>805</v>
      </c>
      <c r="N103" s="7">
        <v>0.73892000000000002</v>
      </c>
      <c r="O103" s="7">
        <v>1</v>
      </c>
      <c r="P103" s="9"/>
      <c r="Q103" s="7">
        <v>1</v>
      </c>
      <c r="R103" s="7">
        <v>1</v>
      </c>
      <c r="S103" s="9"/>
      <c r="T103" s="7">
        <v>0</v>
      </c>
      <c r="U103" s="7">
        <v>1</v>
      </c>
      <c r="V103" s="7">
        <v>2</v>
      </c>
      <c r="W103" s="7">
        <v>1</v>
      </c>
      <c r="X103" s="13">
        <v>0</v>
      </c>
      <c r="Y103" s="7">
        <v>1</v>
      </c>
      <c r="Z103" s="9"/>
      <c r="AA103" s="7">
        <v>0.1</v>
      </c>
      <c r="AB103" s="7">
        <v>1</v>
      </c>
      <c r="AC103" s="7">
        <v>1</v>
      </c>
      <c r="AD103" s="7">
        <v>1</v>
      </c>
    </row>
    <row r="104" spans="1:30" s="6" customFormat="1" x14ac:dyDescent="0.25">
      <c r="B104" s="7"/>
      <c r="C104" s="7"/>
      <c r="D104" s="7"/>
      <c r="E104" s="7"/>
      <c r="F104" s="7"/>
      <c r="G104" s="7"/>
      <c r="H104" s="8"/>
      <c r="K104" s="7">
        <v>65</v>
      </c>
      <c r="L104" s="7">
        <v>173</v>
      </c>
      <c r="M104" s="7"/>
      <c r="N104" s="7">
        <v>0.66583999999999999</v>
      </c>
      <c r="O104" s="7">
        <v>50</v>
      </c>
      <c r="P104" s="9"/>
      <c r="Q104" s="7">
        <v>1</v>
      </c>
      <c r="R104" s="7">
        <v>100</v>
      </c>
      <c r="S104" s="9"/>
      <c r="T104" s="7">
        <v>0</v>
      </c>
      <c r="U104" s="7">
        <v>600</v>
      </c>
      <c r="V104" s="7">
        <v>2</v>
      </c>
      <c r="W104" s="7">
        <v>600</v>
      </c>
      <c r="X104" s="13">
        <v>0</v>
      </c>
      <c r="Y104" s="7">
        <v>9</v>
      </c>
      <c r="Z104" s="9"/>
      <c r="AA104" s="7">
        <v>0.1</v>
      </c>
      <c r="AB104" s="7">
        <v>600</v>
      </c>
      <c r="AC104" s="7">
        <v>1</v>
      </c>
      <c r="AD104" s="7">
        <v>100</v>
      </c>
    </row>
    <row r="105" spans="1:30" s="6" customFormat="1" x14ac:dyDescent="0.25">
      <c r="B105" s="7"/>
      <c r="C105" s="7"/>
      <c r="D105" s="7"/>
      <c r="E105" s="7"/>
      <c r="F105" s="7"/>
      <c r="G105" s="7"/>
      <c r="H105" s="8"/>
      <c r="K105" s="7">
        <v>0</v>
      </c>
      <c r="L105" s="7">
        <v>285</v>
      </c>
      <c r="M105" s="7"/>
      <c r="N105" s="7">
        <v>0.59276000000000006</v>
      </c>
      <c r="O105" s="7">
        <v>100</v>
      </c>
      <c r="P105" s="9"/>
      <c r="Q105" s="7"/>
      <c r="R105" s="7"/>
      <c r="S105" s="9"/>
      <c r="T105" s="7"/>
      <c r="U105" s="7"/>
      <c r="V105" s="7"/>
      <c r="W105" s="7"/>
      <c r="X105" s="13">
        <v>3</v>
      </c>
      <c r="Y105" s="7">
        <v>10</v>
      </c>
      <c r="Z105" s="9"/>
      <c r="AA105" s="7"/>
      <c r="AB105" s="7"/>
      <c r="AC105" s="7"/>
      <c r="AD105" s="7"/>
    </row>
    <row r="106" spans="1:30" s="6" customFormat="1" x14ac:dyDescent="0.25">
      <c r="B106" s="7"/>
      <c r="C106" s="7"/>
      <c r="D106" s="7"/>
      <c r="E106" s="7"/>
      <c r="F106" s="7"/>
      <c r="G106" s="7"/>
      <c r="H106" s="8"/>
      <c r="K106" s="7">
        <v>14</v>
      </c>
      <c r="L106" s="7">
        <v>330</v>
      </c>
      <c r="M106" s="7"/>
      <c r="N106" s="7">
        <v>0.47908000000000001</v>
      </c>
      <c r="O106" s="7">
        <v>150</v>
      </c>
      <c r="P106" s="9"/>
      <c r="Q106" s="7"/>
      <c r="R106" s="7"/>
      <c r="S106" s="9"/>
      <c r="T106" s="7"/>
      <c r="U106" s="7"/>
      <c r="V106" s="7"/>
      <c r="W106" s="7"/>
      <c r="X106" s="13">
        <v>1</v>
      </c>
      <c r="Y106" s="7">
        <v>14</v>
      </c>
      <c r="Z106" s="9"/>
      <c r="AA106" s="7"/>
      <c r="AB106" s="7"/>
      <c r="AC106" s="7"/>
      <c r="AD106" s="7"/>
    </row>
    <row r="107" spans="1:30" s="6" customFormat="1" x14ac:dyDescent="0.25">
      <c r="B107" s="7"/>
      <c r="C107" s="7"/>
      <c r="D107" s="7"/>
      <c r="E107" s="7"/>
      <c r="F107" s="7"/>
      <c r="G107" s="7"/>
      <c r="H107" s="8"/>
      <c r="K107" s="7">
        <v>28</v>
      </c>
      <c r="L107" s="11">
        <v>440</v>
      </c>
      <c r="M107" s="9"/>
      <c r="N107" s="7">
        <v>0.30856</v>
      </c>
      <c r="O107" s="7">
        <v>200</v>
      </c>
      <c r="P107" s="9"/>
      <c r="Q107" s="7"/>
      <c r="R107" s="7"/>
      <c r="S107" s="9"/>
      <c r="T107" s="7"/>
      <c r="U107" s="7"/>
      <c r="V107" s="7"/>
      <c r="W107" s="7"/>
      <c r="X107" s="29">
        <v>0</v>
      </c>
      <c r="Y107" s="6">
        <v>15</v>
      </c>
      <c r="Z107" s="9"/>
      <c r="AA107" s="7"/>
      <c r="AB107" s="7"/>
      <c r="AC107" s="7"/>
      <c r="AD107" s="7"/>
    </row>
    <row r="108" spans="1:30" s="6" customFormat="1" x14ac:dyDescent="0.25">
      <c r="B108" s="9"/>
      <c r="C108" s="9"/>
      <c r="D108" s="9"/>
      <c r="E108" s="9"/>
      <c r="F108" s="9"/>
      <c r="G108" s="9"/>
      <c r="H108" s="8"/>
      <c r="K108" s="7">
        <v>65</v>
      </c>
      <c r="L108" s="7">
        <v>526</v>
      </c>
      <c r="M108" s="9"/>
      <c r="N108" s="7">
        <v>0.13804000000000002</v>
      </c>
      <c r="O108" s="7">
        <v>250</v>
      </c>
      <c r="P108" s="9"/>
      <c r="Q108" s="7"/>
      <c r="R108" s="7"/>
      <c r="S108" s="9"/>
      <c r="T108" s="7"/>
      <c r="U108" s="7"/>
      <c r="V108" s="7"/>
      <c r="W108" s="7"/>
      <c r="X108" s="29">
        <v>0</v>
      </c>
      <c r="Y108" s="6">
        <v>29</v>
      </c>
      <c r="Z108" s="9"/>
      <c r="AA108" s="7"/>
      <c r="AB108" s="7"/>
      <c r="AC108" s="7"/>
      <c r="AD108" s="7"/>
    </row>
    <row r="109" spans="1:30" x14ac:dyDescent="0.25">
      <c r="K109" s="12">
        <v>65</v>
      </c>
      <c r="L109" s="12">
        <v>600</v>
      </c>
      <c r="N109" s="7">
        <v>1.6240000000000001E-2</v>
      </c>
      <c r="O109" s="12">
        <v>300</v>
      </c>
      <c r="X109" s="30">
        <v>4</v>
      </c>
      <c r="Y109" s="7">
        <v>30</v>
      </c>
    </row>
    <row r="110" spans="1:30" x14ac:dyDescent="0.25">
      <c r="N110" s="7">
        <v>0</v>
      </c>
      <c r="O110" s="12">
        <v>320</v>
      </c>
      <c r="X110" s="30">
        <v>2</v>
      </c>
      <c r="Y110" s="7">
        <v>31</v>
      </c>
    </row>
    <row r="111" spans="1:30" x14ac:dyDescent="0.25">
      <c r="N111" s="7">
        <v>2.436E-2</v>
      </c>
      <c r="O111" s="12">
        <v>350</v>
      </c>
      <c r="X111" s="31">
        <v>0</v>
      </c>
      <c r="Y111" s="9">
        <v>32</v>
      </c>
    </row>
    <row r="112" spans="1:30" x14ac:dyDescent="0.25">
      <c r="N112" s="7">
        <v>0.13804000000000002</v>
      </c>
      <c r="O112" s="12">
        <v>400</v>
      </c>
      <c r="X112" s="31">
        <v>0</v>
      </c>
      <c r="Y112" s="9">
        <v>33</v>
      </c>
    </row>
    <row r="113" spans="14:25" x14ac:dyDescent="0.25">
      <c r="N113" s="7">
        <v>0.33291999999999999</v>
      </c>
      <c r="O113" s="12">
        <v>450</v>
      </c>
      <c r="X113" s="31">
        <v>2.8</v>
      </c>
      <c r="Y113" s="9">
        <v>34</v>
      </c>
    </row>
    <row r="114" spans="14:25" x14ac:dyDescent="0.25">
      <c r="N114" s="7">
        <v>0.59276000000000006</v>
      </c>
      <c r="O114" s="12">
        <v>500</v>
      </c>
      <c r="X114" s="30">
        <v>0</v>
      </c>
      <c r="Y114" s="7">
        <v>35</v>
      </c>
    </row>
    <row r="115" spans="14:25" x14ac:dyDescent="0.25">
      <c r="N115" s="7">
        <v>0.74704000000000015</v>
      </c>
      <c r="O115" s="12">
        <v>550</v>
      </c>
      <c r="X115" s="30">
        <v>0</v>
      </c>
      <c r="Y115" s="7">
        <v>38</v>
      </c>
    </row>
    <row r="116" spans="14:25" x14ac:dyDescent="0.25">
      <c r="N116" s="7">
        <v>0.81200000000000006</v>
      </c>
      <c r="O116" s="12">
        <v>600</v>
      </c>
      <c r="X116" s="18">
        <v>1.5</v>
      </c>
      <c r="Y116" s="7">
        <v>39</v>
      </c>
    </row>
    <row r="117" spans="14:25" x14ac:dyDescent="0.25">
      <c r="X117" s="18">
        <v>0.5</v>
      </c>
      <c r="Y117" s="7">
        <v>44</v>
      </c>
    </row>
    <row r="118" spans="14:25" x14ac:dyDescent="0.25">
      <c r="X118" s="28">
        <v>0</v>
      </c>
      <c r="Y118" s="9">
        <v>45</v>
      </c>
    </row>
    <row r="119" spans="14:25" x14ac:dyDescent="0.25">
      <c r="X119" s="28">
        <v>0</v>
      </c>
      <c r="Y119" s="9">
        <v>50</v>
      </c>
    </row>
    <row r="120" spans="14:25" x14ac:dyDescent="0.25">
      <c r="X120" s="28">
        <v>3</v>
      </c>
      <c r="Y120" s="9">
        <v>51</v>
      </c>
    </row>
    <row r="121" spans="14:25" x14ac:dyDescent="0.25">
      <c r="X121" s="27">
        <v>0</v>
      </c>
      <c r="Y121" s="9">
        <v>52</v>
      </c>
    </row>
    <row r="122" spans="14:25" x14ac:dyDescent="0.25">
      <c r="X122" s="26">
        <v>0</v>
      </c>
      <c r="Y122" s="7">
        <v>55</v>
      </c>
    </row>
    <row r="123" spans="14:25" x14ac:dyDescent="0.25">
      <c r="X123" s="26">
        <v>0.9</v>
      </c>
      <c r="Y123" s="7">
        <v>56</v>
      </c>
    </row>
    <row r="124" spans="14:25" x14ac:dyDescent="0.25">
      <c r="X124" s="26">
        <v>0</v>
      </c>
      <c r="Y124" s="7">
        <v>57</v>
      </c>
    </row>
    <row r="125" spans="14:25" x14ac:dyDescent="0.25">
      <c r="X125" s="32">
        <v>0</v>
      </c>
      <c r="Y125" s="9">
        <v>63</v>
      </c>
    </row>
    <row r="126" spans="14:25" x14ac:dyDescent="0.25">
      <c r="X126" s="33">
        <v>5</v>
      </c>
      <c r="Y126" s="34">
        <v>64</v>
      </c>
    </row>
    <row r="127" spans="14:25" x14ac:dyDescent="0.25">
      <c r="X127" s="32">
        <v>0</v>
      </c>
      <c r="Y127" s="9">
        <v>65</v>
      </c>
    </row>
    <row r="128" spans="14:25" x14ac:dyDescent="0.25">
      <c r="X128" s="32">
        <v>1</v>
      </c>
      <c r="Y128" s="9">
        <v>66</v>
      </c>
    </row>
    <row r="129" spans="1:30" x14ac:dyDescent="0.25">
      <c r="X129" s="26">
        <v>0</v>
      </c>
      <c r="Y129" s="7">
        <v>67</v>
      </c>
    </row>
    <row r="130" spans="1:30" x14ac:dyDescent="0.25">
      <c r="X130" s="26">
        <v>0</v>
      </c>
      <c r="Y130" s="7">
        <v>74</v>
      </c>
    </row>
    <row r="131" spans="1:30" x14ac:dyDescent="0.25">
      <c r="X131" s="22">
        <v>0.8</v>
      </c>
      <c r="Y131" s="7">
        <v>75</v>
      </c>
    </row>
    <row r="132" spans="1:30" x14ac:dyDescent="0.25">
      <c r="X132" s="22">
        <v>0.8</v>
      </c>
      <c r="Y132" s="7">
        <v>80</v>
      </c>
    </row>
    <row r="133" spans="1:30" x14ac:dyDescent="0.25">
      <c r="X133" s="22">
        <v>0</v>
      </c>
      <c r="Y133" s="7">
        <v>83</v>
      </c>
    </row>
    <row r="134" spans="1:30" x14ac:dyDescent="0.25">
      <c r="X134" s="22">
        <v>0</v>
      </c>
      <c r="Y134" s="7">
        <v>90</v>
      </c>
    </row>
    <row r="135" spans="1:30" x14ac:dyDescent="0.25">
      <c r="X135" s="25">
        <v>0.75</v>
      </c>
      <c r="Y135" s="7">
        <v>91</v>
      </c>
    </row>
    <row r="136" spans="1:30" x14ac:dyDescent="0.25">
      <c r="X136" s="25">
        <v>0.75</v>
      </c>
      <c r="Y136" s="7">
        <v>93</v>
      </c>
    </row>
    <row r="137" spans="1:30" x14ac:dyDescent="0.25">
      <c r="X137" s="25">
        <v>0</v>
      </c>
      <c r="Y137" s="7">
        <v>94</v>
      </c>
    </row>
    <row r="138" spans="1:30" x14ac:dyDescent="0.25">
      <c r="X138" s="25">
        <v>0</v>
      </c>
      <c r="Y138" s="7">
        <v>100</v>
      </c>
    </row>
    <row r="140" spans="1:30" s="6" customFormat="1" x14ac:dyDescent="0.25">
      <c r="A140" s="2">
        <v>17</v>
      </c>
      <c r="B140" s="3" t="s">
        <v>0</v>
      </c>
      <c r="C140" s="3" t="s">
        <v>1</v>
      </c>
      <c r="D140" s="3" t="s">
        <v>2</v>
      </c>
      <c r="E140" s="3" t="s">
        <v>3</v>
      </c>
      <c r="F140" s="3" t="s">
        <v>4</v>
      </c>
      <c r="G140" s="3" t="s">
        <v>5</v>
      </c>
      <c r="H140" s="4"/>
      <c r="I140" s="4"/>
      <c r="J140" s="4"/>
      <c r="K140" s="3" t="s">
        <v>6</v>
      </c>
      <c r="L140" s="3" t="s">
        <v>7</v>
      </c>
      <c r="M140" s="10" t="s">
        <v>23</v>
      </c>
      <c r="N140" s="3" t="s">
        <v>8</v>
      </c>
      <c r="O140" s="3" t="s">
        <v>9</v>
      </c>
      <c r="P140" s="5"/>
      <c r="Q140" s="3" t="s">
        <v>10</v>
      </c>
      <c r="R140" s="3" t="s">
        <v>11</v>
      </c>
      <c r="S140" s="5"/>
      <c r="T140" s="3" t="s">
        <v>12</v>
      </c>
      <c r="U140" s="3" t="s">
        <v>13</v>
      </c>
      <c r="V140" s="3" t="s">
        <v>14</v>
      </c>
      <c r="W140" s="3" t="s">
        <v>15</v>
      </c>
      <c r="X140" s="3" t="s">
        <v>16</v>
      </c>
      <c r="Y140" s="3" t="s">
        <v>17</v>
      </c>
      <c r="Z140" s="5"/>
      <c r="AA140" s="3" t="s">
        <v>18</v>
      </c>
      <c r="AB140" s="3" t="s">
        <v>19</v>
      </c>
      <c r="AC140" s="3" t="s">
        <v>20</v>
      </c>
      <c r="AD140" s="3" t="s">
        <v>21</v>
      </c>
    </row>
    <row r="141" spans="1:30" s="6" customFormat="1" x14ac:dyDescent="0.25">
      <c r="B141" s="7">
        <v>15750</v>
      </c>
      <c r="C141" s="7">
        <v>25</v>
      </c>
      <c r="D141" s="7">
        <v>1000000</v>
      </c>
      <c r="E141" s="7">
        <v>10000</v>
      </c>
      <c r="F141" s="7">
        <v>100</v>
      </c>
      <c r="G141" s="7">
        <v>600</v>
      </c>
      <c r="H141" s="8"/>
      <c r="K141" s="7">
        <v>65</v>
      </c>
      <c r="L141" s="7">
        <v>1</v>
      </c>
      <c r="M141" s="7">
        <v>805</v>
      </c>
      <c r="N141" s="7">
        <v>0.73892000000000002</v>
      </c>
      <c r="O141" s="7">
        <v>1</v>
      </c>
      <c r="P141" s="9"/>
      <c r="Q141" s="7">
        <v>1</v>
      </c>
      <c r="R141" s="7">
        <v>1</v>
      </c>
      <c r="S141" s="9"/>
      <c r="T141" s="7">
        <v>0</v>
      </c>
      <c r="U141" s="7">
        <v>1</v>
      </c>
      <c r="V141" s="7">
        <v>2</v>
      </c>
      <c r="W141" s="7">
        <v>1</v>
      </c>
      <c r="X141" s="13">
        <v>0</v>
      </c>
      <c r="Y141" s="7">
        <v>1</v>
      </c>
      <c r="Z141" s="9"/>
      <c r="AA141" s="7">
        <v>0.1</v>
      </c>
      <c r="AB141" s="7">
        <v>1</v>
      </c>
      <c r="AC141" s="7">
        <v>1</v>
      </c>
      <c r="AD141" s="7">
        <v>1</v>
      </c>
    </row>
    <row r="142" spans="1:30" s="6" customFormat="1" x14ac:dyDescent="0.25">
      <c r="B142" s="7"/>
      <c r="C142" s="7"/>
      <c r="D142" s="7"/>
      <c r="E142" s="7"/>
      <c r="F142" s="7"/>
      <c r="G142" s="7"/>
      <c r="H142" s="8"/>
      <c r="K142" s="7">
        <v>65</v>
      </c>
      <c r="L142" s="7">
        <v>173</v>
      </c>
      <c r="M142" s="7"/>
      <c r="N142" s="7">
        <v>0.66583999999999999</v>
      </c>
      <c r="O142" s="7">
        <v>50</v>
      </c>
      <c r="P142" s="9"/>
      <c r="Q142" s="7">
        <v>1</v>
      </c>
      <c r="R142" s="7">
        <v>100</v>
      </c>
      <c r="S142" s="9"/>
      <c r="T142" s="7">
        <v>0</v>
      </c>
      <c r="U142" s="7">
        <v>600</v>
      </c>
      <c r="V142" s="7">
        <v>2</v>
      </c>
      <c r="W142" s="7">
        <v>600</v>
      </c>
      <c r="X142" s="13">
        <v>0</v>
      </c>
      <c r="Y142" s="7">
        <v>9</v>
      </c>
      <c r="Z142" s="9"/>
      <c r="AA142" s="7">
        <v>0.1</v>
      </c>
      <c r="AB142" s="7">
        <v>600</v>
      </c>
      <c r="AC142" s="7">
        <v>1</v>
      </c>
      <c r="AD142" s="7">
        <v>100</v>
      </c>
    </row>
    <row r="143" spans="1:30" s="6" customFormat="1" x14ac:dyDescent="0.25">
      <c r="B143" s="7"/>
      <c r="C143" s="7"/>
      <c r="D143" s="7"/>
      <c r="E143" s="7"/>
      <c r="F143" s="7"/>
      <c r="G143" s="7"/>
      <c r="H143" s="8"/>
      <c r="K143" s="7">
        <v>0</v>
      </c>
      <c r="L143" s="7">
        <v>285</v>
      </c>
      <c r="M143" s="7"/>
      <c r="N143" s="7">
        <v>0.59276000000000006</v>
      </c>
      <c r="O143" s="7">
        <v>100</v>
      </c>
      <c r="P143" s="9"/>
      <c r="Q143" s="7"/>
      <c r="R143" s="7"/>
      <c r="S143" s="9"/>
      <c r="T143" s="7"/>
      <c r="U143" s="7"/>
      <c r="V143" s="7"/>
      <c r="W143" s="7"/>
      <c r="X143" s="13">
        <v>3</v>
      </c>
      <c r="Y143" s="7">
        <v>10</v>
      </c>
      <c r="Z143" s="9"/>
      <c r="AA143" s="7"/>
      <c r="AB143" s="7"/>
      <c r="AC143" s="7"/>
      <c r="AD143" s="7"/>
    </row>
    <row r="144" spans="1:30" s="6" customFormat="1" x14ac:dyDescent="0.25">
      <c r="B144" s="7"/>
      <c r="C144" s="7"/>
      <c r="D144" s="7"/>
      <c r="E144" s="7"/>
      <c r="F144" s="7"/>
      <c r="G144" s="7"/>
      <c r="H144" s="8"/>
      <c r="K144" s="7">
        <v>14</v>
      </c>
      <c r="L144" s="7">
        <v>330</v>
      </c>
      <c r="M144" s="7"/>
      <c r="N144" s="7">
        <v>0.47908000000000001</v>
      </c>
      <c r="O144" s="7">
        <v>150</v>
      </c>
      <c r="P144" s="9"/>
      <c r="Q144" s="7"/>
      <c r="R144" s="7"/>
      <c r="S144" s="9"/>
      <c r="T144" s="7"/>
      <c r="U144" s="7"/>
      <c r="V144" s="7"/>
      <c r="W144" s="7"/>
      <c r="X144" s="13">
        <v>1</v>
      </c>
      <c r="Y144" s="7">
        <v>14</v>
      </c>
      <c r="Z144" s="9"/>
      <c r="AA144" s="7"/>
      <c r="AB144" s="7"/>
      <c r="AC144" s="7"/>
      <c r="AD144" s="7"/>
    </row>
    <row r="145" spans="2:30" s="6" customFormat="1" x14ac:dyDescent="0.25">
      <c r="B145" s="7"/>
      <c r="C145" s="7"/>
      <c r="D145" s="7"/>
      <c r="E145" s="7"/>
      <c r="F145" s="7"/>
      <c r="G145" s="7"/>
      <c r="H145" s="8"/>
      <c r="K145" s="7">
        <v>28</v>
      </c>
      <c r="L145" s="11">
        <v>440</v>
      </c>
      <c r="M145" s="9"/>
      <c r="N145" s="7">
        <v>0.30856</v>
      </c>
      <c r="O145" s="7">
        <v>200</v>
      </c>
      <c r="P145" s="9"/>
      <c r="Q145" s="7"/>
      <c r="R145" s="7"/>
      <c r="S145" s="9"/>
      <c r="T145" s="7"/>
      <c r="U145" s="7"/>
      <c r="V145" s="7"/>
      <c r="W145" s="7"/>
      <c r="X145" s="29">
        <v>0</v>
      </c>
      <c r="Y145" s="6">
        <v>15</v>
      </c>
      <c r="Z145" s="9"/>
      <c r="AA145" s="7"/>
      <c r="AB145" s="7"/>
      <c r="AC145" s="7"/>
      <c r="AD145" s="7"/>
    </row>
    <row r="146" spans="2:30" s="6" customFormat="1" x14ac:dyDescent="0.25">
      <c r="B146" s="9"/>
      <c r="C146" s="9"/>
      <c r="D146" s="9"/>
      <c r="E146" s="9"/>
      <c r="F146" s="9"/>
      <c r="G146" s="9"/>
      <c r="H146" s="8"/>
      <c r="K146" s="7">
        <v>65</v>
      </c>
      <c r="L146" s="7">
        <v>526</v>
      </c>
      <c r="M146" s="9"/>
      <c r="N146" s="7">
        <v>0.13804000000000002</v>
      </c>
      <c r="O146" s="7">
        <v>250</v>
      </c>
      <c r="P146" s="9"/>
      <c r="Q146" s="7"/>
      <c r="R146" s="7"/>
      <c r="S146" s="9"/>
      <c r="T146" s="7"/>
      <c r="U146" s="7"/>
      <c r="V146" s="7"/>
      <c r="W146" s="7"/>
      <c r="X146" s="29">
        <v>0</v>
      </c>
      <c r="Y146" s="6">
        <v>29</v>
      </c>
      <c r="Z146" s="9"/>
      <c r="AA146" s="7"/>
      <c r="AB146" s="7"/>
      <c r="AC146" s="7"/>
      <c r="AD146" s="7"/>
    </row>
    <row r="147" spans="2:30" x14ac:dyDescent="0.25">
      <c r="K147" s="12">
        <v>65</v>
      </c>
      <c r="L147" s="12">
        <v>600</v>
      </c>
      <c r="N147" s="7">
        <v>1.6240000000000001E-2</v>
      </c>
      <c r="O147" s="12">
        <v>300</v>
      </c>
      <c r="X147" s="30">
        <v>4</v>
      </c>
      <c r="Y147" s="7">
        <v>30</v>
      </c>
    </row>
    <row r="148" spans="2:30" x14ac:dyDescent="0.25">
      <c r="N148" s="7">
        <v>0</v>
      </c>
      <c r="O148" s="12">
        <v>320</v>
      </c>
      <c r="X148" s="30">
        <v>2</v>
      </c>
      <c r="Y148" s="7">
        <v>31</v>
      </c>
    </row>
    <row r="149" spans="2:30" x14ac:dyDescent="0.25">
      <c r="N149" s="7">
        <v>2.436E-2</v>
      </c>
      <c r="O149" s="12">
        <v>350</v>
      </c>
      <c r="X149" s="31">
        <v>0</v>
      </c>
      <c r="Y149" s="9">
        <v>32</v>
      </c>
    </row>
    <row r="150" spans="2:30" x14ac:dyDescent="0.25">
      <c r="N150" s="7">
        <v>0.13804000000000002</v>
      </c>
      <c r="O150" s="12">
        <v>400</v>
      </c>
      <c r="X150" s="31">
        <v>0</v>
      </c>
      <c r="Y150" s="9">
        <v>33</v>
      </c>
    </row>
    <row r="151" spans="2:30" x14ac:dyDescent="0.25">
      <c r="N151" s="7">
        <v>0.33291999999999999</v>
      </c>
      <c r="O151" s="12">
        <v>450</v>
      </c>
      <c r="X151" s="31">
        <v>2.8</v>
      </c>
      <c r="Y151" s="9">
        <v>34</v>
      </c>
    </row>
    <row r="152" spans="2:30" x14ac:dyDescent="0.25">
      <c r="N152" s="7">
        <v>0.59276000000000006</v>
      </c>
      <c r="O152" s="12">
        <v>500</v>
      </c>
      <c r="X152" s="30">
        <v>0</v>
      </c>
      <c r="Y152" s="7">
        <v>35</v>
      </c>
    </row>
    <row r="153" spans="2:30" x14ac:dyDescent="0.25">
      <c r="N153" s="7">
        <v>0.74704000000000015</v>
      </c>
      <c r="O153" s="12">
        <v>550</v>
      </c>
      <c r="X153" s="30">
        <v>0</v>
      </c>
      <c r="Y153" s="7">
        <v>38</v>
      </c>
    </row>
    <row r="154" spans="2:30" x14ac:dyDescent="0.25">
      <c r="N154" s="7">
        <v>0.81200000000000006</v>
      </c>
      <c r="O154" s="12">
        <v>600</v>
      </c>
      <c r="X154" s="18">
        <v>1.5</v>
      </c>
      <c r="Y154" s="7">
        <v>39</v>
      </c>
    </row>
    <row r="155" spans="2:30" x14ac:dyDescent="0.25">
      <c r="X155" s="18">
        <v>0.5</v>
      </c>
      <c r="Y155" s="7">
        <v>44</v>
      </c>
    </row>
    <row r="156" spans="2:30" x14ac:dyDescent="0.25">
      <c r="X156" s="28">
        <v>0</v>
      </c>
      <c r="Y156" s="9">
        <v>45</v>
      </c>
    </row>
    <row r="157" spans="2:30" x14ac:dyDescent="0.25">
      <c r="X157" s="28">
        <v>0</v>
      </c>
      <c r="Y157" s="9">
        <v>50</v>
      </c>
    </row>
    <row r="158" spans="2:30" x14ac:dyDescent="0.25">
      <c r="X158" s="28">
        <v>3</v>
      </c>
      <c r="Y158" s="9">
        <v>51</v>
      </c>
    </row>
    <row r="159" spans="2:30" x14ac:dyDescent="0.25">
      <c r="X159" s="27">
        <v>0</v>
      </c>
      <c r="Y159" s="9">
        <v>52</v>
      </c>
    </row>
    <row r="160" spans="2:30" x14ac:dyDescent="0.25">
      <c r="X160" s="26">
        <v>0</v>
      </c>
      <c r="Y160" s="7">
        <v>55</v>
      </c>
    </row>
    <row r="161" spans="24:25" x14ac:dyDescent="0.25">
      <c r="X161" s="26">
        <v>0.9</v>
      </c>
      <c r="Y161" s="7">
        <v>56</v>
      </c>
    </row>
    <row r="162" spans="24:25" x14ac:dyDescent="0.25">
      <c r="X162" s="26">
        <v>0</v>
      </c>
      <c r="Y162" s="7">
        <v>57</v>
      </c>
    </row>
    <row r="163" spans="24:25" x14ac:dyDescent="0.25">
      <c r="X163" s="32">
        <v>0</v>
      </c>
      <c r="Y163" s="9">
        <v>63</v>
      </c>
    </row>
    <row r="164" spans="24:25" x14ac:dyDescent="0.25">
      <c r="X164" s="32">
        <v>5</v>
      </c>
      <c r="Y164" s="9">
        <v>64</v>
      </c>
    </row>
    <row r="165" spans="24:25" x14ac:dyDescent="0.25">
      <c r="X165" s="32">
        <v>0</v>
      </c>
      <c r="Y165" s="9">
        <v>65</v>
      </c>
    </row>
    <row r="166" spans="24:25" x14ac:dyDescent="0.25">
      <c r="X166" s="32">
        <v>1</v>
      </c>
      <c r="Y166" s="9">
        <v>66</v>
      </c>
    </row>
    <row r="167" spans="24:25" x14ac:dyDescent="0.25">
      <c r="X167" s="26">
        <v>0</v>
      </c>
      <c r="Y167" s="7">
        <v>67</v>
      </c>
    </row>
    <row r="168" spans="24:25" x14ac:dyDescent="0.25">
      <c r="X168" s="26">
        <v>0</v>
      </c>
      <c r="Y168" s="7">
        <v>79</v>
      </c>
    </row>
    <row r="169" spans="24:25" x14ac:dyDescent="0.25">
      <c r="X169" s="22">
        <v>0.8</v>
      </c>
      <c r="Y169" s="7">
        <v>80</v>
      </c>
    </row>
    <row r="170" spans="24:25" x14ac:dyDescent="0.25">
      <c r="X170" s="22">
        <v>0.8</v>
      </c>
      <c r="Y170" s="7">
        <v>85</v>
      </c>
    </row>
    <row r="171" spans="24:25" x14ac:dyDescent="0.25">
      <c r="X171" s="22">
        <v>0</v>
      </c>
      <c r="Y171" s="7">
        <v>86</v>
      </c>
    </row>
    <row r="172" spans="24:25" x14ac:dyDescent="0.25">
      <c r="X172" s="22">
        <v>0</v>
      </c>
      <c r="Y172" s="7">
        <v>90</v>
      </c>
    </row>
    <row r="173" spans="24:25" x14ac:dyDescent="0.25">
      <c r="X173" s="25">
        <v>0.75</v>
      </c>
      <c r="Y173" s="7">
        <v>91</v>
      </c>
    </row>
    <row r="174" spans="24:25" x14ac:dyDescent="0.25">
      <c r="X174" s="25">
        <v>0.75</v>
      </c>
      <c r="Y174" s="7">
        <v>93</v>
      </c>
    </row>
    <row r="175" spans="24:25" x14ac:dyDescent="0.25">
      <c r="X175" s="25">
        <v>0</v>
      </c>
      <c r="Y175" s="7">
        <v>94</v>
      </c>
    </row>
    <row r="176" spans="24:25" x14ac:dyDescent="0.25">
      <c r="X176" s="25">
        <v>0</v>
      </c>
      <c r="Y176" s="7">
        <v>100</v>
      </c>
    </row>
    <row r="178" spans="1:30" s="6" customFormat="1" x14ac:dyDescent="0.25">
      <c r="A178" s="2">
        <v>18</v>
      </c>
      <c r="B178" s="3" t="s">
        <v>0</v>
      </c>
      <c r="C178" s="3" t="s">
        <v>1</v>
      </c>
      <c r="D178" s="3" t="s">
        <v>2</v>
      </c>
      <c r="E178" s="3" t="s">
        <v>3</v>
      </c>
      <c r="F178" s="3" t="s">
        <v>4</v>
      </c>
      <c r="G178" s="3" t="s">
        <v>5</v>
      </c>
      <c r="H178" s="4"/>
      <c r="I178" s="4"/>
      <c r="J178" s="4"/>
      <c r="K178" s="3" t="s">
        <v>6</v>
      </c>
      <c r="L178" s="3" t="s">
        <v>7</v>
      </c>
      <c r="M178" s="10" t="s">
        <v>23</v>
      </c>
      <c r="P178" s="5"/>
      <c r="Q178" s="3" t="s">
        <v>10</v>
      </c>
      <c r="R178" s="3" t="s">
        <v>11</v>
      </c>
      <c r="S178" s="5"/>
      <c r="T178" s="3" t="s">
        <v>12</v>
      </c>
      <c r="U178" s="3" t="s">
        <v>13</v>
      </c>
      <c r="V178" s="3" t="s">
        <v>14</v>
      </c>
      <c r="W178" s="3" t="s">
        <v>15</v>
      </c>
      <c r="X178" s="3" t="s">
        <v>16</v>
      </c>
      <c r="Y178" s="3" t="s">
        <v>17</v>
      </c>
      <c r="Z178" s="5"/>
      <c r="AA178" s="3" t="s">
        <v>18</v>
      </c>
      <c r="AB178" s="3" t="s">
        <v>19</v>
      </c>
      <c r="AC178" s="3" t="s">
        <v>20</v>
      </c>
      <c r="AD178" s="3" t="s">
        <v>21</v>
      </c>
    </row>
    <row r="179" spans="1:30" s="6" customFormat="1" x14ac:dyDescent="0.25">
      <c r="B179" s="7">
        <v>15750</v>
      </c>
      <c r="C179" s="7">
        <v>25</v>
      </c>
      <c r="D179" s="7">
        <v>1000000</v>
      </c>
      <c r="E179" s="7">
        <v>10000</v>
      </c>
      <c r="F179" s="7">
        <v>100</v>
      </c>
      <c r="G179" s="7">
        <v>600</v>
      </c>
      <c r="H179" s="8"/>
      <c r="K179" s="7">
        <v>65</v>
      </c>
      <c r="L179" s="7">
        <v>1</v>
      </c>
      <c r="M179" s="7">
        <v>805</v>
      </c>
      <c r="P179" s="9"/>
      <c r="Q179" s="7">
        <v>1</v>
      </c>
      <c r="R179" s="7">
        <v>1</v>
      </c>
      <c r="S179" s="9"/>
      <c r="T179" s="7">
        <v>0</v>
      </c>
      <c r="U179" s="7">
        <v>1</v>
      </c>
      <c r="V179" s="7">
        <v>2</v>
      </c>
      <c r="W179" s="7">
        <v>1</v>
      </c>
      <c r="X179" s="13">
        <v>0</v>
      </c>
      <c r="Y179" s="7">
        <v>1</v>
      </c>
      <c r="Z179" s="9"/>
      <c r="AA179" s="7">
        <v>0.1</v>
      </c>
      <c r="AB179" s="7">
        <v>1</v>
      </c>
      <c r="AC179" s="7">
        <v>1</v>
      </c>
      <c r="AD179" s="7">
        <v>1</v>
      </c>
    </row>
    <row r="180" spans="1:30" s="6" customFormat="1" x14ac:dyDescent="0.25">
      <c r="B180" s="7"/>
      <c r="C180" s="7"/>
      <c r="D180" s="7"/>
      <c r="E180" s="7"/>
      <c r="F180" s="7"/>
      <c r="G180" s="7"/>
      <c r="H180" s="8"/>
      <c r="K180" s="7">
        <v>65</v>
      </c>
      <c r="L180" s="7">
        <v>173</v>
      </c>
      <c r="M180" s="7"/>
      <c r="P180" s="9"/>
      <c r="Q180" s="7">
        <v>1</v>
      </c>
      <c r="R180" s="7">
        <v>100</v>
      </c>
      <c r="S180" s="9"/>
      <c r="T180" s="7">
        <v>0</v>
      </c>
      <c r="U180" s="7">
        <v>600</v>
      </c>
      <c r="V180" s="7">
        <v>2</v>
      </c>
      <c r="W180" s="7">
        <v>600</v>
      </c>
      <c r="X180" s="13">
        <v>0</v>
      </c>
      <c r="Y180" s="7">
        <v>9</v>
      </c>
      <c r="Z180" s="9"/>
      <c r="AA180" s="7">
        <v>0.1</v>
      </c>
      <c r="AB180" s="7">
        <v>600</v>
      </c>
      <c r="AC180" s="7">
        <v>1</v>
      </c>
      <c r="AD180" s="7">
        <v>100</v>
      </c>
    </row>
    <row r="181" spans="1:30" s="6" customFormat="1" x14ac:dyDescent="0.25">
      <c r="B181" s="7"/>
      <c r="C181" s="7"/>
      <c r="D181" s="7"/>
      <c r="E181" s="7"/>
      <c r="F181" s="7"/>
      <c r="G181" s="7"/>
      <c r="H181" s="8"/>
      <c r="K181" s="7">
        <v>0</v>
      </c>
      <c r="L181" s="7">
        <v>285</v>
      </c>
      <c r="M181" s="7"/>
      <c r="P181" s="9"/>
      <c r="Q181" s="7"/>
      <c r="R181" s="7"/>
      <c r="S181" s="9"/>
      <c r="T181" s="7"/>
      <c r="U181" s="7"/>
      <c r="V181" s="7"/>
      <c r="W181" s="7"/>
      <c r="X181" s="13">
        <v>2.75</v>
      </c>
      <c r="Y181" s="7">
        <v>10</v>
      </c>
      <c r="Z181" s="9"/>
      <c r="AA181" s="7"/>
      <c r="AB181" s="7"/>
      <c r="AC181" s="7"/>
      <c r="AD181" s="7"/>
    </row>
    <row r="182" spans="1:30" s="6" customFormat="1" x14ac:dyDescent="0.25">
      <c r="B182" s="7"/>
      <c r="C182" s="7"/>
      <c r="D182" s="7"/>
      <c r="E182" s="7"/>
      <c r="F182" s="7"/>
      <c r="G182" s="7"/>
      <c r="H182" s="8"/>
      <c r="K182" s="7">
        <v>14</v>
      </c>
      <c r="L182" s="7">
        <v>330</v>
      </c>
      <c r="M182" s="7"/>
      <c r="P182" s="9"/>
      <c r="Q182" s="7"/>
      <c r="R182" s="7"/>
      <c r="S182" s="9"/>
      <c r="T182" s="7"/>
      <c r="U182" s="7"/>
      <c r="V182" s="7"/>
      <c r="W182" s="7"/>
      <c r="X182" s="13">
        <v>1</v>
      </c>
      <c r="Y182" s="7">
        <v>14</v>
      </c>
      <c r="Z182" s="9"/>
      <c r="AA182" s="7"/>
      <c r="AB182" s="7"/>
      <c r="AC182" s="7"/>
      <c r="AD182" s="7"/>
    </row>
    <row r="183" spans="1:30" s="6" customFormat="1" x14ac:dyDescent="0.25">
      <c r="B183" s="7"/>
      <c r="C183" s="7"/>
      <c r="D183" s="7"/>
      <c r="E183" s="7"/>
      <c r="F183" s="7"/>
      <c r="G183" s="7"/>
      <c r="H183" s="8"/>
      <c r="K183" s="7">
        <v>28</v>
      </c>
      <c r="L183" s="11">
        <v>440</v>
      </c>
      <c r="M183" s="9"/>
      <c r="P183" s="9"/>
      <c r="Q183" s="7"/>
      <c r="R183" s="7"/>
      <c r="S183" s="9"/>
      <c r="T183" s="7"/>
      <c r="U183" s="7"/>
      <c r="V183" s="7"/>
      <c r="W183" s="7"/>
      <c r="X183" s="29">
        <v>0</v>
      </c>
      <c r="Y183" s="6">
        <v>15</v>
      </c>
      <c r="Z183" s="9"/>
      <c r="AA183" s="7"/>
      <c r="AB183" s="7"/>
      <c r="AC183" s="7"/>
      <c r="AD183" s="7"/>
    </row>
    <row r="184" spans="1:30" s="6" customFormat="1" x14ac:dyDescent="0.25">
      <c r="B184" s="9"/>
      <c r="C184" s="9"/>
      <c r="D184" s="9"/>
      <c r="E184" s="9"/>
      <c r="F184" s="9"/>
      <c r="G184" s="9"/>
      <c r="H184" s="8"/>
      <c r="K184" s="7">
        <v>65</v>
      </c>
      <c r="L184" s="7">
        <v>526</v>
      </c>
      <c r="M184" s="9"/>
      <c r="P184" s="9"/>
      <c r="Q184" s="7"/>
      <c r="R184" s="7"/>
      <c r="S184" s="9"/>
      <c r="T184" s="7"/>
      <c r="U184" s="7"/>
      <c r="V184" s="7"/>
      <c r="W184" s="7"/>
      <c r="X184" s="29">
        <v>0</v>
      </c>
      <c r="Y184" s="6">
        <v>29</v>
      </c>
      <c r="Z184" s="9"/>
      <c r="AA184" s="7"/>
      <c r="AB184" s="7"/>
      <c r="AC184" s="7"/>
      <c r="AD184" s="7"/>
    </row>
    <row r="185" spans="1:30" x14ac:dyDescent="0.25">
      <c r="K185" s="12">
        <v>65</v>
      </c>
      <c r="L185" s="12">
        <v>600</v>
      </c>
      <c r="X185" s="30">
        <v>4</v>
      </c>
      <c r="Y185" s="7">
        <v>30</v>
      </c>
    </row>
    <row r="186" spans="1:30" x14ac:dyDescent="0.25">
      <c r="X186" s="30">
        <v>2</v>
      </c>
      <c r="Y186" s="7">
        <v>31</v>
      </c>
    </row>
    <row r="187" spans="1:30" x14ac:dyDescent="0.25">
      <c r="X187" s="31">
        <v>0</v>
      </c>
      <c r="Y187" s="9">
        <v>32</v>
      </c>
    </row>
    <row r="188" spans="1:30" x14ac:dyDescent="0.25">
      <c r="X188" s="31">
        <v>0</v>
      </c>
      <c r="Y188" s="9">
        <v>33</v>
      </c>
    </row>
    <row r="189" spans="1:30" x14ac:dyDescent="0.25">
      <c r="X189" s="31">
        <v>2.8</v>
      </c>
      <c r="Y189" s="9">
        <v>34</v>
      </c>
    </row>
    <row r="190" spans="1:30" x14ac:dyDescent="0.25">
      <c r="X190" s="30">
        <v>0</v>
      </c>
      <c r="Y190" s="7">
        <v>35</v>
      </c>
    </row>
    <row r="191" spans="1:30" x14ac:dyDescent="0.25">
      <c r="X191" s="30">
        <v>0</v>
      </c>
      <c r="Y191" s="7">
        <v>38</v>
      </c>
    </row>
    <row r="192" spans="1:30" x14ac:dyDescent="0.25">
      <c r="X192" s="18">
        <v>1.5</v>
      </c>
      <c r="Y192" s="7">
        <v>39</v>
      </c>
    </row>
    <row r="193" spans="24:25" x14ac:dyDescent="0.25">
      <c r="X193" s="18">
        <v>0.5</v>
      </c>
      <c r="Y193" s="7">
        <v>44</v>
      </c>
    </row>
    <row r="194" spans="24:25" x14ac:dyDescent="0.25">
      <c r="X194" s="28">
        <v>0</v>
      </c>
      <c r="Y194" s="9">
        <v>45</v>
      </c>
    </row>
    <row r="195" spans="24:25" x14ac:dyDescent="0.25">
      <c r="X195" s="28">
        <v>0</v>
      </c>
      <c r="Y195" s="9">
        <v>50</v>
      </c>
    </row>
    <row r="196" spans="24:25" x14ac:dyDescent="0.25">
      <c r="X196" s="28">
        <v>3</v>
      </c>
      <c r="Y196" s="9">
        <v>51</v>
      </c>
    </row>
    <row r="197" spans="24:25" x14ac:dyDescent="0.25">
      <c r="X197" s="27">
        <v>0</v>
      </c>
      <c r="Y197" s="9">
        <v>52</v>
      </c>
    </row>
    <row r="198" spans="24:25" x14ac:dyDescent="0.25">
      <c r="X198" s="26">
        <v>0</v>
      </c>
      <c r="Y198" s="7">
        <v>55</v>
      </c>
    </row>
    <row r="199" spans="24:25" x14ac:dyDescent="0.25">
      <c r="X199" s="26">
        <v>0.9</v>
      </c>
      <c r="Y199" s="7">
        <v>56</v>
      </c>
    </row>
    <row r="200" spans="24:25" x14ac:dyDescent="0.25">
      <c r="X200" s="26">
        <v>0</v>
      </c>
      <c r="Y200" s="7">
        <v>57</v>
      </c>
    </row>
    <row r="201" spans="24:25" x14ac:dyDescent="0.25">
      <c r="X201" s="32">
        <v>0</v>
      </c>
      <c r="Y201" s="9">
        <v>63</v>
      </c>
    </row>
    <row r="202" spans="24:25" x14ac:dyDescent="0.25">
      <c r="X202" s="32">
        <v>5</v>
      </c>
      <c r="Y202" s="9">
        <v>64</v>
      </c>
    </row>
    <row r="203" spans="24:25" x14ac:dyDescent="0.25">
      <c r="X203" s="32">
        <v>0</v>
      </c>
      <c r="Y203" s="9">
        <v>65</v>
      </c>
    </row>
    <row r="204" spans="24:25" x14ac:dyDescent="0.25">
      <c r="X204" s="32">
        <v>1</v>
      </c>
      <c r="Y204" s="9">
        <v>66</v>
      </c>
    </row>
    <row r="205" spans="24:25" x14ac:dyDescent="0.25">
      <c r="X205" s="26">
        <v>0</v>
      </c>
      <c r="Y205" s="7">
        <v>67</v>
      </c>
    </row>
    <row r="206" spans="24:25" x14ac:dyDescent="0.25">
      <c r="X206" s="26">
        <v>0</v>
      </c>
      <c r="Y206" s="7">
        <v>69</v>
      </c>
    </row>
    <row r="207" spans="24:25" x14ac:dyDescent="0.25">
      <c r="X207" s="22">
        <v>0.7</v>
      </c>
      <c r="Y207" s="7">
        <v>70</v>
      </c>
    </row>
    <row r="208" spans="24:25" x14ac:dyDescent="0.25">
      <c r="X208" s="22">
        <v>0.7</v>
      </c>
      <c r="Y208" s="7">
        <v>74</v>
      </c>
    </row>
    <row r="209" spans="1:30" x14ac:dyDescent="0.25">
      <c r="X209" s="22">
        <v>0</v>
      </c>
      <c r="Y209" s="7">
        <v>75</v>
      </c>
    </row>
    <row r="210" spans="1:30" x14ac:dyDescent="0.25">
      <c r="X210" s="23">
        <v>0.75</v>
      </c>
      <c r="Y210" s="12">
        <v>76</v>
      </c>
    </row>
    <row r="211" spans="1:30" x14ac:dyDescent="0.25">
      <c r="X211" s="23">
        <v>0</v>
      </c>
      <c r="Y211" s="12">
        <v>77</v>
      </c>
    </row>
    <row r="212" spans="1:30" x14ac:dyDescent="0.25">
      <c r="X212" s="22">
        <v>0</v>
      </c>
      <c r="Y212" s="7">
        <v>91</v>
      </c>
    </row>
    <row r="213" spans="1:30" x14ac:dyDescent="0.25">
      <c r="X213" s="25">
        <v>0.75</v>
      </c>
      <c r="Y213" s="7">
        <v>92</v>
      </c>
    </row>
    <row r="214" spans="1:30" x14ac:dyDescent="0.25">
      <c r="X214" s="25">
        <v>0.75</v>
      </c>
      <c r="Y214" s="7">
        <v>94</v>
      </c>
    </row>
    <row r="215" spans="1:30" x14ac:dyDescent="0.25">
      <c r="X215" s="25">
        <v>0</v>
      </c>
      <c r="Y215" s="7">
        <v>95</v>
      </c>
    </row>
    <row r="216" spans="1:30" x14ac:dyDescent="0.25">
      <c r="X216" s="25">
        <v>0</v>
      </c>
      <c r="Y216" s="7">
        <v>100</v>
      </c>
    </row>
    <row r="218" spans="1:30" s="6" customFormat="1" x14ac:dyDescent="0.25">
      <c r="A218" s="2">
        <v>19</v>
      </c>
      <c r="B218" s="3" t="s">
        <v>0</v>
      </c>
      <c r="C218" s="3" t="s">
        <v>1</v>
      </c>
      <c r="D218" s="3" t="s">
        <v>2</v>
      </c>
      <c r="E218" s="3" t="s">
        <v>3</v>
      </c>
      <c r="F218" s="3" t="s">
        <v>4</v>
      </c>
      <c r="G218" s="3" t="s">
        <v>5</v>
      </c>
      <c r="H218" s="4"/>
      <c r="I218" s="4"/>
      <c r="J218" s="4"/>
      <c r="K218" s="3" t="s">
        <v>6</v>
      </c>
      <c r="L218" s="3" t="s">
        <v>7</v>
      </c>
      <c r="M218" s="10" t="s">
        <v>23</v>
      </c>
      <c r="N218" s="3" t="s">
        <v>8</v>
      </c>
      <c r="O218" s="3" t="s">
        <v>9</v>
      </c>
      <c r="P218" s="5"/>
      <c r="Q218" s="3" t="s">
        <v>10</v>
      </c>
      <c r="R218" s="3" t="s">
        <v>11</v>
      </c>
      <c r="S218" s="5"/>
      <c r="T218" s="3" t="s">
        <v>12</v>
      </c>
      <c r="U218" s="3" t="s">
        <v>13</v>
      </c>
      <c r="V218" s="3" t="s">
        <v>14</v>
      </c>
      <c r="W218" s="3" t="s">
        <v>15</v>
      </c>
      <c r="X218" s="3" t="s">
        <v>16</v>
      </c>
      <c r="Y218" s="3" t="s">
        <v>17</v>
      </c>
      <c r="Z218" s="5"/>
      <c r="AA218" s="3" t="s">
        <v>18</v>
      </c>
      <c r="AB218" s="3" t="s">
        <v>19</v>
      </c>
      <c r="AC218" s="3" t="s">
        <v>20</v>
      </c>
      <c r="AD218" s="3" t="s">
        <v>21</v>
      </c>
    </row>
    <row r="219" spans="1:30" s="6" customFormat="1" x14ac:dyDescent="0.25">
      <c r="B219" s="7">
        <v>15750</v>
      </c>
      <c r="C219" s="7">
        <v>25</v>
      </c>
      <c r="D219" s="7">
        <v>1000000</v>
      </c>
      <c r="E219" s="7">
        <v>10000</v>
      </c>
      <c r="F219" s="7">
        <v>100</v>
      </c>
      <c r="G219" s="7">
        <v>600</v>
      </c>
      <c r="H219" s="8"/>
      <c r="K219" s="7">
        <v>65</v>
      </c>
      <c r="L219" s="7">
        <v>1</v>
      </c>
      <c r="M219" s="7">
        <v>805</v>
      </c>
      <c r="N219" s="7">
        <v>0.74576700000000007</v>
      </c>
      <c r="O219" s="7">
        <v>1</v>
      </c>
      <c r="P219" s="9"/>
      <c r="Q219" s="7">
        <v>1</v>
      </c>
      <c r="R219" s="7">
        <v>1</v>
      </c>
      <c r="S219" s="9"/>
      <c r="T219" s="7">
        <v>0</v>
      </c>
      <c r="U219" s="7">
        <v>1</v>
      </c>
      <c r="V219" s="7">
        <v>2</v>
      </c>
      <c r="W219" s="7">
        <v>1</v>
      </c>
      <c r="X219" s="13">
        <v>0</v>
      </c>
      <c r="Y219" s="7">
        <v>1</v>
      </c>
      <c r="Z219" s="9"/>
      <c r="AA219" s="7">
        <v>0.1</v>
      </c>
      <c r="AB219" s="7">
        <v>1</v>
      </c>
      <c r="AC219" s="7">
        <v>1</v>
      </c>
      <c r="AD219" s="7">
        <v>1</v>
      </c>
    </row>
    <row r="220" spans="1:30" s="6" customFormat="1" x14ac:dyDescent="0.25">
      <c r="B220" s="7"/>
      <c r="C220" s="7"/>
      <c r="D220" s="7"/>
      <c r="E220" s="7"/>
      <c r="F220" s="7"/>
      <c r="G220" s="7"/>
      <c r="H220" s="8"/>
      <c r="K220" s="7">
        <v>65</v>
      </c>
      <c r="L220" s="7">
        <v>173</v>
      </c>
      <c r="M220" s="7"/>
      <c r="N220" s="7">
        <v>0.67359599999999997</v>
      </c>
      <c r="O220" s="7">
        <v>50</v>
      </c>
      <c r="P220" s="9"/>
      <c r="Q220" s="7">
        <v>1</v>
      </c>
      <c r="R220" s="7">
        <v>100</v>
      </c>
      <c r="S220" s="9"/>
      <c r="T220" s="7">
        <v>0</v>
      </c>
      <c r="U220" s="7">
        <v>600</v>
      </c>
      <c r="V220" s="7">
        <v>2</v>
      </c>
      <c r="W220" s="7">
        <v>600</v>
      </c>
      <c r="X220" s="13">
        <v>0</v>
      </c>
      <c r="Y220" s="7">
        <v>9</v>
      </c>
      <c r="Z220" s="9"/>
      <c r="AA220" s="7">
        <v>0.1</v>
      </c>
      <c r="AB220" s="7">
        <v>600</v>
      </c>
      <c r="AC220" s="7">
        <v>1</v>
      </c>
      <c r="AD220" s="7">
        <v>100</v>
      </c>
    </row>
    <row r="221" spans="1:30" s="6" customFormat="1" x14ac:dyDescent="0.25">
      <c r="B221" s="7"/>
      <c r="C221" s="7"/>
      <c r="D221" s="7"/>
      <c r="E221" s="7"/>
      <c r="F221" s="7"/>
      <c r="G221" s="7"/>
      <c r="H221" s="8"/>
      <c r="K221" s="7">
        <v>0</v>
      </c>
      <c r="L221" s="7">
        <v>285</v>
      </c>
      <c r="M221" s="7"/>
      <c r="N221" s="7">
        <v>0.60944399999999999</v>
      </c>
      <c r="O221" s="7">
        <v>100</v>
      </c>
      <c r="P221" s="9"/>
      <c r="Q221" s="7"/>
      <c r="R221" s="7"/>
      <c r="S221" s="9"/>
      <c r="T221" s="7"/>
      <c r="U221" s="7"/>
      <c r="V221" s="7"/>
      <c r="W221" s="7"/>
      <c r="X221" s="13">
        <v>2.75</v>
      </c>
      <c r="Y221" s="7">
        <v>10</v>
      </c>
      <c r="Z221" s="9"/>
      <c r="AA221" s="7"/>
      <c r="AB221" s="7"/>
      <c r="AC221" s="7"/>
      <c r="AD221" s="7"/>
    </row>
    <row r="222" spans="1:30" s="6" customFormat="1" x14ac:dyDescent="0.25">
      <c r="B222" s="7"/>
      <c r="C222" s="7"/>
      <c r="D222" s="7"/>
      <c r="E222" s="7"/>
      <c r="F222" s="7"/>
      <c r="G222" s="7"/>
      <c r="H222" s="8"/>
      <c r="K222" s="7">
        <v>14</v>
      </c>
      <c r="L222" s="7">
        <v>330</v>
      </c>
      <c r="M222" s="7"/>
      <c r="N222" s="7">
        <v>0.48915900000000001</v>
      </c>
      <c r="O222" s="7">
        <v>150</v>
      </c>
      <c r="P222" s="9"/>
      <c r="Q222" s="7"/>
      <c r="R222" s="7"/>
      <c r="S222" s="9"/>
      <c r="T222" s="7"/>
      <c r="U222" s="7"/>
      <c r="V222" s="7"/>
      <c r="W222" s="7"/>
      <c r="X222" s="13">
        <v>1</v>
      </c>
      <c r="Y222" s="7">
        <v>14</v>
      </c>
      <c r="Z222" s="9"/>
      <c r="AA222" s="7"/>
      <c r="AB222" s="7"/>
      <c r="AC222" s="7"/>
      <c r="AD222" s="7"/>
    </row>
    <row r="223" spans="1:30" s="6" customFormat="1" x14ac:dyDescent="0.25">
      <c r="B223" s="7"/>
      <c r="C223" s="7"/>
      <c r="D223" s="7"/>
      <c r="E223" s="7"/>
      <c r="F223" s="7"/>
      <c r="G223" s="7"/>
      <c r="H223" s="8"/>
      <c r="K223" s="7">
        <v>28</v>
      </c>
      <c r="L223" s="11">
        <v>440</v>
      </c>
      <c r="M223" s="9"/>
      <c r="N223" s="7">
        <v>0.30472199999999999</v>
      </c>
      <c r="O223" s="7">
        <v>200</v>
      </c>
      <c r="P223" s="9"/>
      <c r="Q223" s="7"/>
      <c r="R223" s="7"/>
      <c r="S223" s="9"/>
      <c r="T223" s="7"/>
      <c r="U223" s="7"/>
      <c r="V223" s="7"/>
      <c r="W223" s="7"/>
      <c r="X223" s="29">
        <v>0</v>
      </c>
      <c r="Y223" s="6">
        <v>15</v>
      </c>
      <c r="Z223" s="9"/>
      <c r="AA223" s="7"/>
      <c r="AB223" s="7"/>
      <c r="AC223" s="7"/>
      <c r="AD223" s="7"/>
    </row>
    <row r="224" spans="1:30" s="6" customFormat="1" x14ac:dyDescent="0.25">
      <c r="B224" s="9"/>
      <c r="C224" s="9"/>
      <c r="D224" s="9"/>
      <c r="E224" s="9"/>
      <c r="F224" s="9"/>
      <c r="G224" s="9"/>
      <c r="H224" s="8"/>
      <c r="K224" s="7">
        <v>65</v>
      </c>
      <c r="L224" s="7">
        <v>526</v>
      </c>
      <c r="M224" s="9"/>
      <c r="N224" s="7">
        <v>0.13632300000000003</v>
      </c>
      <c r="O224" s="7">
        <v>250</v>
      </c>
      <c r="P224" s="9"/>
      <c r="Q224" s="7"/>
      <c r="R224" s="7"/>
      <c r="S224" s="9"/>
      <c r="T224" s="7"/>
      <c r="U224" s="7"/>
      <c r="V224" s="7"/>
      <c r="W224" s="7"/>
      <c r="X224" s="29">
        <v>0</v>
      </c>
      <c r="Y224" s="6">
        <v>29</v>
      </c>
      <c r="Z224" s="9"/>
      <c r="AA224" s="7"/>
      <c r="AB224" s="7"/>
      <c r="AC224" s="7"/>
      <c r="AD224" s="7"/>
    </row>
    <row r="225" spans="11:25" x14ac:dyDescent="0.25">
      <c r="K225" s="12">
        <v>65</v>
      </c>
      <c r="L225" s="12">
        <v>600</v>
      </c>
      <c r="N225" s="7">
        <v>1.6038000000000004E-2</v>
      </c>
      <c r="O225" s="12">
        <v>300</v>
      </c>
      <c r="X225" s="30">
        <v>4</v>
      </c>
      <c r="Y225" s="7">
        <v>30</v>
      </c>
    </row>
    <row r="226" spans="11:25" x14ac:dyDescent="0.25">
      <c r="N226" s="7">
        <v>0</v>
      </c>
      <c r="O226" s="12">
        <v>320</v>
      </c>
      <c r="X226" s="30">
        <v>2</v>
      </c>
      <c r="Y226" s="7">
        <v>31</v>
      </c>
    </row>
    <row r="227" spans="11:25" x14ac:dyDescent="0.25">
      <c r="N227" s="7">
        <v>2.8066500000000005E-2</v>
      </c>
      <c r="O227" s="12">
        <v>350</v>
      </c>
      <c r="X227" s="31">
        <v>0</v>
      </c>
      <c r="Y227" s="9">
        <v>32</v>
      </c>
    </row>
    <row r="228" spans="11:25" x14ac:dyDescent="0.25">
      <c r="N228" s="7">
        <v>0.13632300000000003</v>
      </c>
      <c r="O228" s="12">
        <v>400</v>
      </c>
      <c r="X228" s="31">
        <v>0</v>
      </c>
      <c r="Y228" s="9">
        <v>33</v>
      </c>
    </row>
    <row r="229" spans="11:25" x14ac:dyDescent="0.25">
      <c r="N229" s="7">
        <v>0.33679799999999999</v>
      </c>
      <c r="O229" s="12">
        <v>450</v>
      </c>
      <c r="X229" s="31">
        <v>2.8</v>
      </c>
      <c r="Y229" s="9">
        <v>34</v>
      </c>
    </row>
    <row r="230" spans="11:25" x14ac:dyDescent="0.25">
      <c r="N230" s="7">
        <v>0.60142499999999999</v>
      </c>
      <c r="O230" s="12">
        <v>500</v>
      </c>
      <c r="X230" s="30">
        <v>0</v>
      </c>
      <c r="Y230" s="7">
        <v>35</v>
      </c>
    </row>
    <row r="231" spans="11:25" x14ac:dyDescent="0.25">
      <c r="N231" s="7">
        <v>0.76180499999999995</v>
      </c>
      <c r="O231" s="12">
        <v>550</v>
      </c>
      <c r="X231" s="30">
        <v>0</v>
      </c>
      <c r="Y231" s="7">
        <v>38</v>
      </c>
    </row>
    <row r="232" spans="11:25" x14ac:dyDescent="0.25">
      <c r="N232" s="7">
        <v>0.80190000000000006</v>
      </c>
      <c r="O232" s="12">
        <v>600</v>
      </c>
      <c r="X232" s="18">
        <v>1.5</v>
      </c>
      <c r="Y232" s="7">
        <v>39</v>
      </c>
    </row>
    <row r="233" spans="11:25" x14ac:dyDescent="0.25">
      <c r="X233" s="18">
        <v>0.5</v>
      </c>
      <c r="Y233" s="7">
        <v>44</v>
      </c>
    </row>
    <row r="234" spans="11:25" x14ac:dyDescent="0.25">
      <c r="X234" s="28">
        <v>0</v>
      </c>
      <c r="Y234" s="9">
        <v>45</v>
      </c>
    </row>
    <row r="235" spans="11:25" x14ac:dyDescent="0.25">
      <c r="X235" s="28">
        <v>0</v>
      </c>
      <c r="Y235" s="9">
        <v>50</v>
      </c>
    </row>
    <row r="236" spans="11:25" x14ac:dyDescent="0.25">
      <c r="X236" s="28">
        <v>3</v>
      </c>
      <c r="Y236" s="9">
        <v>51</v>
      </c>
    </row>
    <row r="237" spans="11:25" x14ac:dyDescent="0.25">
      <c r="X237" s="27">
        <v>0</v>
      </c>
      <c r="Y237" s="9">
        <v>52</v>
      </c>
    </row>
    <row r="238" spans="11:25" x14ac:dyDescent="0.25">
      <c r="X238" s="26">
        <v>0</v>
      </c>
      <c r="Y238" s="7">
        <v>55</v>
      </c>
    </row>
    <row r="239" spans="11:25" x14ac:dyDescent="0.25">
      <c r="X239" s="26">
        <v>0.9</v>
      </c>
      <c r="Y239" s="7">
        <v>56</v>
      </c>
    </row>
    <row r="240" spans="11:25" x14ac:dyDescent="0.25">
      <c r="X240" s="26">
        <v>0</v>
      </c>
      <c r="Y240" s="7">
        <v>57</v>
      </c>
    </row>
    <row r="241" spans="1:30" x14ac:dyDescent="0.25">
      <c r="X241" s="32">
        <v>0</v>
      </c>
      <c r="Y241" s="9">
        <v>63</v>
      </c>
    </row>
    <row r="242" spans="1:30" x14ac:dyDescent="0.25">
      <c r="X242" s="32">
        <v>5</v>
      </c>
      <c r="Y242" s="9">
        <v>64</v>
      </c>
    </row>
    <row r="243" spans="1:30" x14ac:dyDescent="0.25">
      <c r="X243" s="32">
        <v>0</v>
      </c>
      <c r="Y243" s="9">
        <v>65</v>
      </c>
    </row>
    <row r="244" spans="1:30" x14ac:dyDescent="0.25">
      <c r="X244" s="32">
        <v>1</v>
      </c>
      <c r="Y244" s="9">
        <v>66</v>
      </c>
    </row>
    <row r="245" spans="1:30" x14ac:dyDescent="0.25">
      <c r="X245" s="26">
        <v>0</v>
      </c>
      <c r="Y245" s="7">
        <v>67</v>
      </c>
    </row>
    <row r="246" spans="1:30" x14ac:dyDescent="0.25">
      <c r="X246" s="26">
        <v>0</v>
      </c>
      <c r="Y246" s="7">
        <v>75</v>
      </c>
    </row>
    <row r="247" spans="1:30" x14ac:dyDescent="0.25">
      <c r="X247" s="22">
        <v>0.7</v>
      </c>
      <c r="Y247" s="7">
        <v>76</v>
      </c>
    </row>
    <row r="248" spans="1:30" x14ac:dyDescent="0.25">
      <c r="X248" s="22">
        <v>0.7</v>
      </c>
      <c r="Y248" s="7">
        <v>81</v>
      </c>
    </row>
    <row r="249" spans="1:30" x14ac:dyDescent="0.25">
      <c r="X249" s="22">
        <v>0</v>
      </c>
      <c r="Y249" s="7">
        <v>82</v>
      </c>
    </row>
    <row r="250" spans="1:30" x14ac:dyDescent="0.25">
      <c r="X250" s="22">
        <v>0</v>
      </c>
      <c r="Y250" s="7">
        <v>91</v>
      </c>
    </row>
    <row r="251" spans="1:30" x14ac:dyDescent="0.25">
      <c r="X251" s="25">
        <v>0.75</v>
      </c>
      <c r="Y251" s="7">
        <v>92</v>
      </c>
    </row>
    <row r="252" spans="1:30" x14ac:dyDescent="0.25">
      <c r="X252" s="25">
        <v>0.75</v>
      </c>
      <c r="Y252" s="7">
        <v>94</v>
      </c>
    </row>
    <row r="253" spans="1:30" x14ac:dyDescent="0.25">
      <c r="X253" s="25">
        <v>0</v>
      </c>
      <c r="Y253" s="7">
        <v>95</v>
      </c>
    </row>
    <row r="254" spans="1:30" x14ac:dyDescent="0.25">
      <c r="X254" s="25">
        <v>0</v>
      </c>
      <c r="Y254" s="7">
        <v>100</v>
      </c>
    </row>
    <row r="256" spans="1:30" s="6" customFormat="1" x14ac:dyDescent="0.25">
      <c r="A256" s="2">
        <v>20</v>
      </c>
      <c r="B256" s="3" t="s">
        <v>0</v>
      </c>
      <c r="C256" s="3" t="s">
        <v>1</v>
      </c>
      <c r="D256" s="3" t="s">
        <v>2</v>
      </c>
      <c r="E256" s="3" t="s">
        <v>3</v>
      </c>
      <c r="F256" s="3" t="s">
        <v>4</v>
      </c>
      <c r="G256" s="3" t="s">
        <v>5</v>
      </c>
      <c r="H256" s="4"/>
      <c r="I256" s="4"/>
      <c r="J256" s="4"/>
      <c r="K256" s="3" t="s">
        <v>6</v>
      </c>
      <c r="L256" s="3" t="s">
        <v>7</v>
      </c>
      <c r="M256" s="10" t="s">
        <v>23</v>
      </c>
      <c r="N256" s="3" t="s">
        <v>8</v>
      </c>
      <c r="O256" s="3" t="s">
        <v>9</v>
      </c>
      <c r="P256" s="5"/>
      <c r="Q256" s="3" t="s">
        <v>10</v>
      </c>
      <c r="R256" s="3" t="s">
        <v>11</v>
      </c>
      <c r="S256" s="5"/>
      <c r="T256" s="3" t="s">
        <v>12</v>
      </c>
      <c r="U256" s="3" t="s">
        <v>13</v>
      </c>
      <c r="V256" s="3" t="s">
        <v>14</v>
      </c>
      <c r="W256" s="3" t="s">
        <v>15</v>
      </c>
      <c r="X256" s="3" t="s">
        <v>16</v>
      </c>
      <c r="Y256" s="3" t="s">
        <v>17</v>
      </c>
      <c r="Z256" s="5"/>
      <c r="AA256" s="3" t="s">
        <v>18</v>
      </c>
      <c r="AB256" s="3" t="s">
        <v>19</v>
      </c>
      <c r="AC256" s="3" t="s">
        <v>20</v>
      </c>
      <c r="AD256" s="3" t="s">
        <v>21</v>
      </c>
    </row>
    <row r="257" spans="2:30" s="6" customFormat="1" x14ac:dyDescent="0.25">
      <c r="B257" s="7">
        <v>15750</v>
      </c>
      <c r="C257" s="7">
        <v>25</v>
      </c>
      <c r="D257" s="7">
        <v>1000000</v>
      </c>
      <c r="E257" s="7">
        <v>10000</v>
      </c>
      <c r="F257" s="7">
        <v>100</v>
      </c>
      <c r="G257" s="7">
        <v>600</v>
      </c>
      <c r="H257" s="8"/>
      <c r="K257" s="7">
        <v>65</v>
      </c>
      <c r="L257" s="7">
        <v>1</v>
      </c>
      <c r="M257" s="7">
        <v>805</v>
      </c>
      <c r="N257" s="7">
        <v>0.74576700000000007</v>
      </c>
      <c r="O257" s="7">
        <v>1</v>
      </c>
      <c r="P257" s="9"/>
      <c r="Q257" s="7">
        <v>1</v>
      </c>
      <c r="R257" s="7">
        <v>1</v>
      </c>
      <c r="S257" s="9"/>
      <c r="T257" s="7">
        <v>0</v>
      </c>
      <c r="U257" s="7">
        <v>1</v>
      </c>
      <c r="V257" s="7">
        <v>2</v>
      </c>
      <c r="W257" s="7">
        <v>1</v>
      </c>
      <c r="X257" s="13">
        <v>0</v>
      </c>
      <c r="Y257" s="7">
        <v>1</v>
      </c>
      <c r="Z257" s="9"/>
      <c r="AA257" s="7">
        <v>0.1</v>
      </c>
      <c r="AB257" s="7">
        <v>1</v>
      </c>
      <c r="AC257" s="7">
        <v>1</v>
      </c>
      <c r="AD257" s="7">
        <v>1</v>
      </c>
    </row>
    <row r="258" spans="2:30" s="6" customFormat="1" x14ac:dyDescent="0.25">
      <c r="B258" s="7"/>
      <c r="C258" s="7"/>
      <c r="D258" s="7"/>
      <c r="E258" s="7"/>
      <c r="F258" s="7"/>
      <c r="G258" s="7"/>
      <c r="H258" s="8"/>
      <c r="K258" s="7">
        <v>65</v>
      </c>
      <c r="L258" s="7">
        <v>173</v>
      </c>
      <c r="M258" s="7"/>
      <c r="N258" s="7">
        <v>0.67359599999999997</v>
      </c>
      <c r="O258" s="7">
        <v>50</v>
      </c>
      <c r="P258" s="9"/>
      <c r="Q258" s="7">
        <v>1</v>
      </c>
      <c r="R258" s="7">
        <v>100</v>
      </c>
      <c r="S258" s="9"/>
      <c r="T258" s="7">
        <v>0</v>
      </c>
      <c r="U258" s="7">
        <v>600</v>
      </c>
      <c r="V258" s="7">
        <v>2</v>
      </c>
      <c r="W258" s="7">
        <v>600</v>
      </c>
      <c r="X258" s="13">
        <v>0</v>
      </c>
      <c r="Y258" s="7">
        <v>9</v>
      </c>
      <c r="Z258" s="9"/>
      <c r="AA258" s="7">
        <v>0.1</v>
      </c>
      <c r="AB258" s="7">
        <v>600</v>
      </c>
      <c r="AC258" s="7">
        <v>1</v>
      </c>
      <c r="AD258" s="7">
        <v>100</v>
      </c>
    </row>
    <row r="259" spans="2:30" s="6" customFormat="1" x14ac:dyDescent="0.25">
      <c r="B259" s="7"/>
      <c r="C259" s="7"/>
      <c r="D259" s="7"/>
      <c r="E259" s="7"/>
      <c r="F259" s="7"/>
      <c r="G259" s="7"/>
      <c r="H259" s="8"/>
      <c r="K259" s="7">
        <v>0</v>
      </c>
      <c r="L259" s="7">
        <v>285</v>
      </c>
      <c r="M259" s="7"/>
      <c r="N259" s="7">
        <v>0.60944399999999999</v>
      </c>
      <c r="O259" s="7">
        <v>100</v>
      </c>
      <c r="P259" s="9"/>
      <c r="Q259" s="7"/>
      <c r="R259" s="7"/>
      <c r="S259" s="9"/>
      <c r="T259" s="7"/>
      <c r="U259" s="7"/>
      <c r="V259" s="7"/>
      <c r="W259" s="7"/>
      <c r="X259" s="13">
        <v>2.75</v>
      </c>
      <c r="Y259" s="7">
        <v>10</v>
      </c>
      <c r="Z259" s="9"/>
      <c r="AA259" s="7"/>
      <c r="AB259" s="7"/>
      <c r="AC259" s="7"/>
      <c r="AD259" s="7"/>
    </row>
    <row r="260" spans="2:30" s="6" customFormat="1" x14ac:dyDescent="0.25">
      <c r="B260" s="7"/>
      <c r="C260" s="7"/>
      <c r="D260" s="7"/>
      <c r="E260" s="7"/>
      <c r="F260" s="7"/>
      <c r="G260" s="7"/>
      <c r="H260" s="8"/>
      <c r="K260" s="7">
        <v>14</v>
      </c>
      <c r="L260" s="7">
        <v>330</v>
      </c>
      <c r="M260" s="7"/>
      <c r="N260" s="7">
        <v>0.48915900000000001</v>
      </c>
      <c r="O260" s="7">
        <v>150</v>
      </c>
      <c r="P260" s="9"/>
      <c r="Q260" s="7"/>
      <c r="R260" s="7"/>
      <c r="S260" s="9"/>
      <c r="T260" s="7"/>
      <c r="U260" s="7"/>
      <c r="V260" s="7"/>
      <c r="W260" s="7"/>
      <c r="X260" s="13">
        <v>1</v>
      </c>
      <c r="Y260" s="7">
        <v>14</v>
      </c>
      <c r="Z260" s="9"/>
      <c r="AA260" s="7"/>
      <c r="AB260" s="7"/>
      <c r="AC260" s="7"/>
      <c r="AD260" s="7"/>
    </row>
    <row r="261" spans="2:30" s="6" customFormat="1" x14ac:dyDescent="0.25">
      <c r="B261" s="7"/>
      <c r="C261" s="7"/>
      <c r="D261" s="7"/>
      <c r="E261" s="7"/>
      <c r="F261" s="7"/>
      <c r="G261" s="7"/>
      <c r="H261" s="8"/>
      <c r="K261" s="7">
        <v>28</v>
      </c>
      <c r="L261" s="11">
        <v>440</v>
      </c>
      <c r="M261" s="9"/>
      <c r="N261" s="7">
        <v>0.30472199999999999</v>
      </c>
      <c r="O261" s="7">
        <v>200</v>
      </c>
      <c r="P261" s="9"/>
      <c r="Q261" s="7"/>
      <c r="R261" s="7"/>
      <c r="S261" s="9"/>
      <c r="T261" s="7"/>
      <c r="U261" s="7"/>
      <c r="V261" s="7"/>
      <c r="W261" s="7"/>
      <c r="X261" s="29">
        <v>0</v>
      </c>
      <c r="Y261" s="6">
        <v>15</v>
      </c>
      <c r="Z261" s="9"/>
      <c r="AA261" s="7"/>
      <c r="AB261" s="7"/>
      <c r="AC261" s="7"/>
      <c r="AD261" s="7"/>
    </row>
    <row r="262" spans="2:30" s="6" customFormat="1" x14ac:dyDescent="0.25">
      <c r="B262" s="9"/>
      <c r="C262" s="9"/>
      <c r="D262" s="9"/>
      <c r="E262" s="9"/>
      <c r="F262" s="9"/>
      <c r="G262" s="9"/>
      <c r="H262" s="8"/>
      <c r="K262" s="7">
        <v>65</v>
      </c>
      <c r="L262" s="7">
        <v>526</v>
      </c>
      <c r="M262" s="9"/>
      <c r="N262" s="7">
        <v>0.13632300000000003</v>
      </c>
      <c r="O262" s="7">
        <v>250</v>
      </c>
      <c r="P262" s="9"/>
      <c r="Q262" s="7"/>
      <c r="R262" s="7"/>
      <c r="S262" s="9"/>
      <c r="T262" s="7"/>
      <c r="U262" s="7"/>
      <c r="V262" s="7"/>
      <c r="W262" s="7"/>
      <c r="X262" s="29">
        <v>0</v>
      </c>
      <c r="Y262" s="6">
        <v>29</v>
      </c>
      <c r="Z262" s="9"/>
      <c r="AA262" s="7"/>
      <c r="AB262" s="7"/>
      <c r="AC262" s="7"/>
      <c r="AD262" s="7"/>
    </row>
    <row r="263" spans="2:30" x14ac:dyDescent="0.25">
      <c r="K263" s="12">
        <v>65</v>
      </c>
      <c r="L263" s="12">
        <v>600</v>
      </c>
      <c r="N263" s="7">
        <v>1.6038000000000004E-2</v>
      </c>
      <c r="O263" s="12">
        <v>300</v>
      </c>
      <c r="X263" s="30">
        <v>4</v>
      </c>
      <c r="Y263" s="7">
        <v>30</v>
      </c>
    </row>
    <row r="264" spans="2:30" x14ac:dyDescent="0.25">
      <c r="N264" s="7">
        <v>0</v>
      </c>
      <c r="O264" s="12">
        <v>320</v>
      </c>
      <c r="X264" s="30">
        <v>2</v>
      </c>
      <c r="Y264" s="7">
        <v>31</v>
      </c>
    </row>
    <row r="265" spans="2:30" x14ac:dyDescent="0.25">
      <c r="N265" s="7">
        <v>2.8066500000000005E-2</v>
      </c>
      <c r="O265" s="12">
        <v>350</v>
      </c>
      <c r="X265" s="31">
        <v>0</v>
      </c>
      <c r="Y265" s="9">
        <v>32</v>
      </c>
    </row>
    <row r="266" spans="2:30" x14ac:dyDescent="0.25">
      <c r="N266" s="7">
        <v>0.13632300000000003</v>
      </c>
      <c r="O266" s="12">
        <v>400</v>
      </c>
      <c r="X266" s="31">
        <v>0</v>
      </c>
      <c r="Y266" s="9">
        <v>33</v>
      </c>
    </row>
    <row r="267" spans="2:30" x14ac:dyDescent="0.25">
      <c r="N267" s="7">
        <v>0.33679799999999999</v>
      </c>
      <c r="O267" s="12">
        <v>450</v>
      </c>
      <c r="X267" s="31">
        <v>2.8</v>
      </c>
      <c r="Y267" s="9">
        <v>34</v>
      </c>
    </row>
    <row r="268" spans="2:30" x14ac:dyDescent="0.25">
      <c r="N268" s="7">
        <v>0.60142499999999999</v>
      </c>
      <c r="O268" s="12">
        <v>500</v>
      </c>
      <c r="X268" s="30">
        <v>0</v>
      </c>
      <c r="Y268" s="7">
        <v>35</v>
      </c>
    </row>
    <row r="269" spans="2:30" x14ac:dyDescent="0.25">
      <c r="N269" s="7">
        <v>0.76180499999999995</v>
      </c>
      <c r="O269" s="12">
        <v>550</v>
      </c>
      <c r="X269" s="30">
        <v>0</v>
      </c>
      <c r="Y269" s="7">
        <v>38</v>
      </c>
    </row>
    <row r="270" spans="2:30" x14ac:dyDescent="0.25">
      <c r="N270" s="7">
        <v>0.80190000000000006</v>
      </c>
      <c r="O270" s="12">
        <v>600</v>
      </c>
      <c r="X270" s="18">
        <v>1.5</v>
      </c>
      <c r="Y270" s="7">
        <v>39</v>
      </c>
    </row>
    <row r="271" spans="2:30" x14ac:dyDescent="0.25">
      <c r="X271" s="18">
        <v>0.5</v>
      </c>
      <c r="Y271" s="7">
        <v>44</v>
      </c>
    </row>
    <row r="272" spans="2:30" x14ac:dyDescent="0.25">
      <c r="X272" s="28">
        <v>0</v>
      </c>
      <c r="Y272" s="9">
        <v>45</v>
      </c>
    </row>
    <row r="273" spans="24:25" x14ac:dyDescent="0.25">
      <c r="X273" s="28">
        <v>0</v>
      </c>
      <c r="Y273" s="9">
        <v>50</v>
      </c>
    </row>
    <row r="274" spans="24:25" x14ac:dyDescent="0.25">
      <c r="X274" s="28">
        <v>3</v>
      </c>
      <c r="Y274" s="9">
        <v>51</v>
      </c>
    </row>
    <row r="275" spans="24:25" x14ac:dyDescent="0.25">
      <c r="X275" s="27">
        <v>0</v>
      </c>
      <c r="Y275" s="9">
        <v>52</v>
      </c>
    </row>
    <row r="276" spans="24:25" x14ac:dyDescent="0.25">
      <c r="X276" s="26">
        <v>0</v>
      </c>
      <c r="Y276" s="7">
        <v>55</v>
      </c>
    </row>
    <row r="277" spans="24:25" x14ac:dyDescent="0.25">
      <c r="X277" s="26">
        <v>0.9</v>
      </c>
      <c r="Y277" s="7">
        <v>56</v>
      </c>
    </row>
    <row r="278" spans="24:25" x14ac:dyDescent="0.25">
      <c r="X278" s="26">
        <v>0</v>
      </c>
      <c r="Y278" s="7">
        <v>57</v>
      </c>
    </row>
    <row r="279" spans="24:25" x14ac:dyDescent="0.25">
      <c r="X279" s="32">
        <v>0</v>
      </c>
      <c r="Y279" s="9">
        <v>63</v>
      </c>
    </row>
    <row r="280" spans="24:25" x14ac:dyDescent="0.25">
      <c r="X280" s="32">
        <v>5</v>
      </c>
      <c r="Y280" s="9">
        <v>64</v>
      </c>
    </row>
    <row r="281" spans="24:25" x14ac:dyDescent="0.25">
      <c r="X281" s="32">
        <v>0</v>
      </c>
      <c r="Y281" s="9">
        <v>65</v>
      </c>
    </row>
    <row r="282" spans="24:25" x14ac:dyDescent="0.25">
      <c r="X282" s="32">
        <v>1</v>
      </c>
      <c r="Y282" s="9">
        <v>66</v>
      </c>
    </row>
    <row r="283" spans="24:25" x14ac:dyDescent="0.25">
      <c r="X283" s="26">
        <v>0</v>
      </c>
      <c r="Y283" s="7">
        <v>67</v>
      </c>
    </row>
    <row r="284" spans="24:25" x14ac:dyDescent="0.25">
      <c r="X284" s="26">
        <v>0</v>
      </c>
      <c r="Y284" s="7">
        <v>75</v>
      </c>
    </row>
    <row r="285" spans="24:25" x14ac:dyDescent="0.25">
      <c r="X285" s="22">
        <v>0.7</v>
      </c>
      <c r="Y285" s="7">
        <v>76</v>
      </c>
    </row>
    <row r="286" spans="24:25" x14ac:dyDescent="0.25">
      <c r="X286" s="22">
        <v>0.7</v>
      </c>
      <c r="Y286" s="7">
        <v>81</v>
      </c>
    </row>
    <row r="287" spans="24:25" x14ac:dyDescent="0.25">
      <c r="X287" s="22">
        <v>0</v>
      </c>
      <c r="Y287" s="7">
        <v>82</v>
      </c>
    </row>
    <row r="288" spans="24:25" x14ac:dyDescent="0.25">
      <c r="X288" s="22">
        <v>0</v>
      </c>
      <c r="Y288" s="7">
        <v>91</v>
      </c>
    </row>
    <row r="289" spans="1:30" x14ac:dyDescent="0.25">
      <c r="X289" s="25">
        <v>0.8</v>
      </c>
      <c r="Y289" s="7">
        <v>92</v>
      </c>
    </row>
    <row r="290" spans="1:30" x14ac:dyDescent="0.25">
      <c r="X290" s="25">
        <v>0</v>
      </c>
      <c r="Y290" s="7">
        <v>96</v>
      </c>
    </row>
    <row r="291" spans="1:30" x14ac:dyDescent="0.25">
      <c r="X291" s="25">
        <v>0</v>
      </c>
      <c r="Y291" s="7">
        <v>100</v>
      </c>
    </row>
    <row r="292" spans="1:30" x14ac:dyDescent="0.25">
      <c r="X292" s="25"/>
      <c r="Y292" s="7"/>
    </row>
    <row r="293" spans="1:30" s="6" customFormat="1" x14ac:dyDescent="0.25">
      <c r="A293" s="2">
        <v>20</v>
      </c>
      <c r="B293" s="3" t="s">
        <v>0</v>
      </c>
      <c r="C293" s="3" t="s">
        <v>1</v>
      </c>
      <c r="D293" s="3" t="s">
        <v>2</v>
      </c>
      <c r="E293" s="3" t="s">
        <v>3</v>
      </c>
      <c r="F293" s="3" t="s">
        <v>4</v>
      </c>
      <c r="G293" s="3" t="s">
        <v>5</v>
      </c>
      <c r="H293" s="4"/>
      <c r="I293" s="4"/>
      <c r="J293" s="4"/>
      <c r="K293" s="3" t="s">
        <v>6</v>
      </c>
      <c r="L293" s="3" t="s">
        <v>7</v>
      </c>
      <c r="M293" s="10" t="s">
        <v>23</v>
      </c>
      <c r="N293" s="3" t="s">
        <v>8</v>
      </c>
      <c r="O293" s="3" t="s">
        <v>9</v>
      </c>
      <c r="P293" s="5"/>
      <c r="Q293" s="3" t="s">
        <v>10</v>
      </c>
      <c r="R293" s="3" t="s">
        <v>11</v>
      </c>
      <c r="S293" s="5"/>
      <c r="T293" s="3" t="s">
        <v>12</v>
      </c>
      <c r="U293" s="3" t="s">
        <v>13</v>
      </c>
      <c r="V293" s="3" t="s">
        <v>14</v>
      </c>
      <c r="W293" s="3" t="s">
        <v>15</v>
      </c>
      <c r="X293" s="3" t="s">
        <v>16</v>
      </c>
      <c r="Y293" s="3" t="s">
        <v>17</v>
      </c>
      <c r="Z293" s="5"/>
      <c r="AA293" s="3" t="s">
        <v>18</v>
      </c>
      <c r="AB293" s="3" t="s">
        <v>19</v>
      </c>
      <c r="AC293" s="3" t="s">
        <v>20</v>
      </c>
      <c r="AD293" s="3" t="s">
        <v>21</v>
      </c>
    </row>
    <row r="294" spans="1:30" s="6" customFormat="1" x14ac:dyDescent="0.25">
      <c r="B294" s="7">
        <v>15750</v>
      </c>
      <c r="C294" s="7">
        <v>25</v>
      </c>
      <c r="D294" s="7">
        <v>1000000</v>
      </c>
      <c r="E294" s="7">
        <v>10000</v>
      </c>
      <c r="F294" s="7">
        <v>100</v>
      </c>
      <c r="G294" s="7">
        <v>600</v>
      </c>
      <c r="H294" s="8"/>
      <c r="K294" s="7">
        <f>SUM(K257*3.2808399)</f>
        <v>213.2545935</v>
      </c>
      <c r="L294" s="7">
        <v>1</v>
      </c>
      <c r="M294" s="7">
        <f>SUM(M257* 3.2808399)</f>
        <v>2641.0761195</v>
      </c>
      <c r="N294" s="7">
        <f>SUM(N257*$C$301)</f>
        <v>2.4467421297033005</v>
      </c>
      <c r="O294" s="7">
        <v>1</v>
      </c>
      <c r="P294" s="9"/>
      <c r="Q294" s="7">
        <v>1</v>
      </c>
      <c r="R294" s="7">
        <v>1</v>
      </c>
      <c r="S294" s="9"/>
      <c r="T294" s="7">
        <v>0</v>
      </c>
      <c r="U294" s="7">
        <v>1</v>
      </c>
      <c r="V294" s="7">
        <f>SUM(V219*$C$301)</f>
        <v>6.5616798000000003</v>
      </c>
      <c r="W294" s="7">
        <v>1</v>
      </c>
      <c r="X294" s="13">
        <v>0</v>
      </c>
      <c r="Y294" s="7">
        <v>1</v>
      </c>
      <c r="Z294" s="9"/>
      <c r="AA294" s="7">
        <f>SUM(AA257*$AA$296)</f>
        <v>0.32808399000000005</v>
      </c>
      <c r="AB294" s="7">
        <v>1</v>
      </c>
      <c r="AC294" s="7">
        <v>1</v>
      </c>
      <c r="AD294" s="7">
        <v>1</v>
      </c>
    </row>
    <row r="295" spans="1:30" s="6" customFormat="1" x14ac:dyDescent="0.25">
      <c r="B295" s="7"/>
      <c r="C295" s="7"/>
      <c r="D295" s="7"/>
      <c r="E295" s="7"/>
      <c r="F295" s="7"/>
      <c r="G295" s="7"/>
      <c r="H295" s="8"/>
      <c r="K295" s="7">
        <f t="shared" ref="K295:K300" si="0">SUM(K258*3.2808399)</f>
        <v>213.2545935</v>
      </c>
      <c r="L295" s="7">
        <v>173</v>
      </c>
      <c r="M295" s="7"/>
      <c r="N295" s="7">
        <f t="shared" ref="N295:N307" si="1">SUM(N258*$C$301)</f>
        <v>2.2099606332803998</v>
      </c>
      <c r="O295" s="7">
        <v>50</v>
      </c>
      <c r="P295" s="9"/>
      <c r="Q295" s="7">
        <v>1</v>
      </c>
      <c r="R295" s="7">
        <v>100</v>
      </c>
      <c r="S295" s="9"/>
      <c r="T295" s="7">
        <v>0</v>
      </c>
      <c r="U295" s="7">
        <v>600</v>
      </c>
      <c r="V295" s="7">
        <f>SUM(V220*$C$301)</f>
        <v>6.5616798000000003</v>
      </c>
      <c r="W295" s="7">
        <v>631</v>
      </c>
      <c r="X295" s="13">
        <v>0</v>
      </c>
      <c r="Y295" s="7">
        <v>9</v>
      </c>
      <c r="Z295" s="9"/>
      <c r="AA295" s="7">
        <f>SUM(AA258*$AA$296)</f>
        <v>0.32808399000000005</v>
      </c>
      <c r="AB295" s="7">
        <v>600</v>
      </c>
      <c r="AC295" s="7">
        <v>1</v>
      </c>
      <c r="AD295" s="7">
        <v>100</v>
      </c>
    </row>
    <row r="296" spans="1:30" s="6" customFormat="1" x14ac:dyDescent="0.25">
      <c r="B296" s="7"/>
      <c r="C296" s="7"/>
      <c r="D296" s="7"/>
      <c r="E296" s="7"/>
      <c r="F296" s="7"/>
      <c r="G296" s="7"/>
      <c r="H296" s="8"/>
      <c r="K296" s="7">
        <f t="shared" si="0"/>
        <v>0</v>
      </c>
      <c r="L296" s="7">
        <v>285</v>
      </c>
      <c r="M296" s="7"/>
      <c r="N296" s="7">
        <f t="shared" si="1"/>
        <v>1.9994881920156</v>
      </c>
      <c r="O296" s="7">
        <v>100</v>
      </c>
      <c r="P296" s="9"/>
      <c r="Q296" s="7"/>
      <c r="R296" s="7"/>
      <c r="S296" s="9"/>
      <c r="T296" s="7"/>
      <c r="U296" s="7"/>
      <c r="V296" s="7"/>
      <c r="W296" s="7"/>
      <c r="X296" s="13">
        <v>2.75</v>
      </c>
      <c r="Y296" s="7">
        <v>10</v>
      </c>
      <c r="Z296" s="9"/>
      <c r="AA296" s="45">
        <v>3.2808399000000001</v>
      </c>
      <c r="AB296" s="7"/>
      <c r="AC296" s="7"/>
      <c r="AD296" s="7"/>
    </row>
    <row r="297" spans="1:30" s="6" customFormat="1" x14ac:dyDescent="0.25">
      <c r="B297" s="7"/>
      <c r="C297" s="7"/>
      <c r="D297" s="7"/>
      <c r="E297" s="7"/>
      <c r="F297" s="7"/>
      <c r="G297" s="7"/>
      <c r="H297" s="8"/>
      <c r="K297" s="7">
        <f t="shared" si="0"/>
        <v>45.931758600000002</v>
      </c>
      <c r="L297" s="7">
        <v>330</v>
      </c>
      <c r="M297" s="7"/>
      <c r="N297" s="7">
        <f t="shared" si="1"/>
        <v>1.6048523646441002</v>
      </c>
      <c r="O297" s="7">
        <v>150</v>
      </c>
      <c r="P297" s="9"/>
      <c r="Q297" s="7"/>
      <c r="R297" s="7"/>
      <c r="S297" s="9"/>
      <c r="T297" s="7"/>
      <c r="U297" s="7"/>
      <c r="V297" s="7"/>
      <c r="W297" s="7"/>
      <c r="X297" s="13">
        <v>1</v>
      </c>
      <c r="Y297" s="7">
        <v>14</v>
      </c>
      <c r="Z297" s="9"/>
      <c r="AA297" s="7"/>
      <c r="AB297" s="7"/>
      <c r="AC297" s="7"/>
      <c r="AD297" s="7"/>
    </row>
    <row r="298" spans="1:30" s="6" customFormat="1" x14ac:dyDescent="0.25">
      <c r="B298" s="7"/>
      <c r="C298" s="7"/>
      <c r="D298" s="7"/>
      <c r="E298" s="7"/>
      <c r="F298" s="7"/>
      <c r="G298" s="7"/>
      <c r="H298" s="8"/>
      <c r="K298" s="7">
        <f t="shared" si="0"/>
        <v>91.863517200000004</v>
      </c>
      <c r="L298" s="11">
        <v>440</v>
      </c>
      <c r="M298" s="9"/>
      <c r="N298" s="7">
        <f t="shared" si="1"/>
        <v>0.99974409600780001</v>
      </c>
      <c r="O298" s="7">
        <v>200</v>
      </c>
      <c r="P298" s="9"/>
      <c r="Q298" s="7"/>
      <c r="R298" s="7"/>
      <c r="S298" s="9"/>
      <c r="T298" s="7"/>
      <c r="U298" s="7"/>
      <c r="V298" s="7"/>
      <c r="W298" s="7"/>
      <c r="X298" s="29">
        <v>0</v>
      </c>
      <c r="Y298" s="6">
        <v>15</v>
      </c>
      <c r="Z298" s="9"/>
      <c r="AA298" s="7"/>
      <c r="AB298" s="7"/>
      <c r="AC298" s="7"/>
      <c r="AD298" s="7"/>
    </row>
    <row r="299" spans="1:30" s="6" customFormat="1" x14ac:dyDescent="0.25">
      <c r="B299" s="9"/>
      <c r="C299" s="9"/>
      <c r="D299" s="9"/>
      <c r="E299" s="9"/>
      <c r="F299" s="9"/>
      <c r="G299" s="9"/>
      <c r="H299" s="8"/>
      <c r="K299" s="7">
        <f t="shared" si="0"/>
        <v>213.2545935</v>
      </c>
      <c r="L299" s="7">
        <v>526</v>
      </c>
      <c r="M299" s="9"/>
      <c r="N299" s="7">
        <f t="shared" si="1"/>
        <v>0.44725393768770011</v>
      </c>
      <c r="O299" s="7">
        <v>250</v>
      </c>
      <c r="P299" s="9"/>
      <c r="Q299" s="7"/>
      <c r="R299" s="7"/>
      <c r="S299" s="9"/>
      <c r="T299" s="7"/>
      <c r="U299" s="7"/>
      <c r="V299" s="7"/>
      <c r="W299" s="7"/>
      <c r="X299" s="29">
        <v>0</v>
      </c>
      <c r="Y299" s="6">
        <v>29</v>
      </c>
      <c r="Z299" s="9"/>
      <c r="AA299" s="7"/>
      <c r="AB299" s="7"/>
      <c r="AC299" s="7"/>
      <c r="AD299" s="7"/>
    </row>
    <row r="300" spans="1:30" x14ac:dyDescent="0.25">
      <c r="K300" s="7">
        <f t="shared" si="0"/>
        <v>213.2545935</v>
      </c>
      <c r="L300" s="12">
        <v>631</v>
      </c>
      <c r="N300" s="7">
        <f t="shared" si="1"/>
        <v>5.2618110316200013E-2</v>
      </c>
      <c r="O300" s="12">
        <v>300</v>
      </c>
      <c r="X300" s="30">
        <v>4</v>
      </c>
      <c r="Y300" s="7">
        <v>30</v>
      </c>
    </row>
    <row r="301" spans="1:30" ht="15.75" x14ac:dyDescent="0.25">
      <c r="B301" t="s">
        <v>57</v>
      </c>
      <c r="C301" s="44">
        <v>3.2808399000000001</v>
      </c>
      <c r="N301" s="7">
        <f t="shared" si="1"/>
        <v>0</v>
      </c>
      <c r="O301" s="12">
        <v>320</v>
      </c>
      <c r="X301" s="30">
        <v>2</v>
      </c>
      <c r="Y301" s="7">
        <v>31</v>
      </c>
    </row>
    <row r="302" spans="1:30" x14ac:dyDescent="0.25">
      <c r="N302" s="7">
        <f t="shared" si="1"/>
        <v>9.2081693053350025E-2</v>
      </c>
      <c r="O302" s="12">
        <v>350</v>
      </c>
      <c r="X302" s="31">
        <v>0</v>
      </c>
      <c r="Y302" s="9">
        <v>32</v>
      </c>
    </row>
    <row r="303" spans="1:30" x14ac:dyDescent="0.25">
      <c r="N303" s="7">
        <f t="shared" si="1"/>
        <v>0.44725393768770011</v>
      </c>
      <c r="O303" s="12">
        <v>400</v>
      </c>
      <c r="X303" s="31">
        <v>0</v>
      </c>
      <c r="Y303" s="9">
        <v>33</v>
      </c>
    </row>
    <row r="304" spans="1:30" x14ac:dyDescent="0.25">
      <c r="N304" s="7">
        <f t="shared" si="1"/>
        <v>1.1049803166401999</v>
      </c>
      <c r="O304" s="12">
        <v>450</v>
      </c>
      <c r="X304" s="31">
        <v>2.8</v>
      </c>
      <c r="Y304" s="9">
        <v>34</v>
      </c>
    </row>
    <row r="305" spans="13:25" x14ac:dyDescent="0.25">
      <c r="N305" s="7">
        <f t="shared" si="1"/>
        <v>1.9731791368575</v>
      </c>
      <c r="O305" s="12">
        <v>500</v>
      </c>
      <c r="X305" s="30">
        <v>0</v>
      </c>
      <c r="Y305" s="7">
        <v>35</v>
      </c>
    </row>
    <row r="306" spans="13:25" x14ac:dyDescent="0.25">
      <c r="N306" s="7">
        <f t="shared" si="1"/>
        <v>2.4993602400195001</v>
      </c>
      <c r="O306" s="12">
        <v>550</v>
      </c>
      <c r="X306" s="30">
        <v>0</v>
      </c>
      <c r="Y306" s="7">
        <v>38</v>
      </c>
    </row>
    <row r="307" spans="13:25" x14ac:dyDescent="0.25">
      <c r="N307" s="7">
        <f t="shared" si="1"/>
        <v>2.6309055158100003</v>
      </c>
      <c r="O307" s="12">
        <v>600</v>
      </c>
      <c r="X307" s="18">
        <v>1.5</v>
      </c>
      <c r="Y307" s="7">
        <v>39</v>
      </c>
    </row>
    <row r="308" spans="13:25" x14ac:dyDescent="0.25">
      <c r="X308" s="18">
        <v>0.5</v>
      </c>
      <c r="Y308" s="7">
        <v>44</v>
      </c>
    </row>
    <row r="309" spans="13:25" x14ac:dyDescent="0.25">
      <c r="M309">
        <f>SUM(N294-$N$307)</f>
        <v>-0.1841633861066998</v>
      </c>
      <c r="X309" s="28">
        <v>0</v>
      </c>
      <c r="Y309" s="9">
        <v>45</v>
      </c>
    </row>
    <row r="310" spans="13:25" x14ac:dyDescent="0.25">
      <c r="M310">
        <f t="shared" ref="M310:M322" si="2">SUM(N295-$N$307)</f>
        <v>-0.42094488252960049</v>
      </c>
      <c r="X310" s="28">
        <v>0</v>
      </c>
      <c r="Y310" s="9">
        <v>50</v>
      </c>
    </row>
    <row r="311" spans="13:25" x14ac:dyDescent="0.25">
      <c r="M311">
        <f t="shared" si="2"/>
        <v>-0.6314173237944003</v>
      </c>
      <c r="X311" s="28">
        <v>3</v>
      </c>
      <c r="Y311" s="9">
        <v>51</v>
      </c>
    </row>
    <row r="312" spans="13:25" x14ac:dyDescent="0.25">
      <c r="M312">
        <f t="shared" si="2"/>
        <v>-1.0260531511659001</v>
      </c>
      <c r="X312" s="27">
        <v>0</v>
      </c>
      <c r="Y312" s="9">
        <v>52</v>
      </c>
    </row>
    <row r="313" spans="13:25" x14ac:dyDescent="0.25">
      <c r="M313">
        <f t="shared" si="2"/>
        <v>-1.6311614198022002</v>
      </c>
      <c r="X313" s="26">
        <v>0</v>
      </c>
      <c r="Y313" s="7">
        <v>55</v>
      </c>
    </row>
    <row r="314" spans="13:25" x14ac:dyDescent="0.25">
      <c r="M314">
        <f t="shared" si="2"/>
        <v>-2.1836515781223</v>
      </c>
      <c r="X314" s="26">
        <v>0.9</v>
      </c>
      <c r="Y314" s="7">
        <v>56</v>
      </c>
    </row>
    <row r="315" spans="13:25" x14ac:dyDescent="0.25">
      <c r="M315">
        <f t="shared" si="2"/>
        <v>-2.5782874054938003</v>
      </c>
      <c r="X315" s="26">
        <v>0</v>
      </c>
      <c r="Y315" s="7">
        <v>57</v>
      </c>
    </row>
    <row r="316" spans="13:25" x14ac:dyDescent="0.25">
      <c r="M316">
        <f t="shared" si="2"/>
        <v>-2.6309055158100003</v>
      </c>
      <c r="Q316">
        <v>-2595.7234862053101</v>
      </c>
      <c r="X316" s="32">
        <v>0</v>
      </c>
      <c r="Y316" s="9">
        <v>63</v>
      </c>
    </row>
    <row r="317" spans="13:25" x14ac:dyDescent="0.25">
      <c r="M317">
        <f t="shared" si="2"/>
        <v>-2.5388238227566502</v>
      </c>
      <c r="X317" s="32">
        <v>5</v>
      </c>
      <c r="Y317" s="9">
        <v>64</v>
      </c>
    </row>
    <row r="318" spans="13:25" x14ac:dyDescent="0.25">
      <c r="M318">
        <f t="shared" si="2"/>
        <v>-2.1836515781223</v>
      </c>
      <c r="X318" s="32">
        <v>0</v>
      </c>
      <c r="Y318" s="9">
        <v>65</v>
      </c>
    </row>
    <row r="319" spans="13:25" x14ac:dyDescent="0.25">
      <c r="M319">
        <f t="shared" si="2"/>
        <v>-1.5259251991698004</v>
      </c>
      <c r="X319" s="32">
        <v>1</v>
      </c>
      <c r="Y319" s="9">
        <v>66</v>
      </c>
    </row>
    <row r="320" spans="13:25" x14ac:dyDescent="0.25">
      <c r="M320">
        <f t="shared" si="2"/>
        <v>-0.6577263789525003</v>
      </c>
      <c r="X320" s="26">
        <v>0</v>
      </c>
      <c r="Y320" s="7">
        <v>67</v>
      </c>
    </row>
    <row r="321" spans="1:30" x14ac:dyDescent="0.25">
      <c r="M321">
        <f t="shared" si="2"/>
        <v>-0.13154527579050024</v>
      </c>
      <c r="X321" s="26">
        <v>0</v>
      </c>
      <c r="Y321" s="7">
        <v>75</v>
      </c>
    </row>
    <row r="322" spans="1:30" x14ac:dyDescent="0.25">
      <c r="M322">
        <f t="shared" si="2"/>
        <v>0</v>
      </c>
      <c r="X322" s="22">
        <v>0.7</v>
      </c>
      <c r="Y322" s="7">
        <v>76</v>
      </c>
    </row>
    <row r="323" spans="1:30" x14ac:dyDescent="0.25">
      <c r="X323" s="22">
        <v>0.7</v>
      </c>
      <c r="Y323" s="7">
        <v>81</v>
      </c>
    </row>
    <row r="324" spans="1:30" x14ac:dyDescent="0.25">
      <c r="X324" s="22">
        <v>0</v>
      </c>
      <c r="Y324" s="7">
        <v>82</v>
      </c>
    </row>
    <row r="325" spans="1:30" x14ac:dyDescent="0.25">
      <c r="X325" s="22">
        <v>0</v>
      </c>
      <c r="Y325" s="7">
        <v>91</v>
      </c>
    </row>
    <row r="326" spans="1:30" x14ac:dyDescent="0.25">
      <c r="X326" s="25">
        <v>0.8</v>
      </c>
      <c r="Y326" s="7">
        <v>92</v>
      </c>
    </row>
    <row r="327" spans="1:30" x14ac:dyDescent="0.25">
      <c r="X327" s="25">
        <v>0</v>
      </c>
      <c r="Y327" s="7">
        <v>96</v>
      </c>
    </row>
    <row r="328" spans="1:30" x14ac:dyDescent="0.25">
      <c r="X328" s="25">
        <v>0</v>
      </c>
      <c r="Y328" s="7">
        <v>100</v>
      </c>
    </row>
    <row r="329" spans="1:30" x14ac:dyDescent="0.25">
      <c r="X329" s="25"/>
      <c r="Y329" s="7"/>
    </row>
    <row r="330" spans="1:30" s="6" customFormat="1" x14ac:dyDescent="0.25">
      <c r="A330" s="2">
        <v>21</v>
      </c>
      <c r="B330" s="3" t="s">
        <v>0</v>
      </c>
      <c r="C330" s="3" t="s">
        <v>1</v>
      </c>
      <c r="D330" s="3" t="s">
        <v>2</v>
      </c>
      <c r="E330" s="3" t="s">
        <v>3</v>
      </c>
      <c r="F330" s="3" t="s">
        <v>4</v>
      </c>
      <c r="G330" s="3" t="s">
        <v>5</v>
      </c>
      <c r="H330" s="4"/>
      <c r="I330" s="4"/>
      <c r="J330" s="4"/>
      <c r="K330" s="3" t="s">
        <v>6</v>
      </c>
      <c r="L330" s="3" t="s">
        <v>7</v>
      </c>
      <c r="M330" s="10" t="s">
        <v>23</v>
      </c>
      <c r="N330" s="3" t="s">
        <v>8</v>
      </c>
      <c r="O330" s="3" t="s">
        <v>9</v>
      </c>
      <c r="P330" s="5"/>
      <c r="Q330" s="3" t="s">
        <v>10</v>
      </c>
      <c r="R330" s="3" t="s">
        <v>11</v>
      </c>
      <c r="S330" s="5"/>
      <c r="T330" s="3" t="s">
        <v>12</v>
      </c>
      <c r="U330" s="3" t="s">
        <v>13</v>
      </c>
      <c r="V330" s="3" t="s">
        <v>14</v>
      </c>
      <c r="W330" s="3" t="s">
        <v>15</v>
      </c>
      <c r="X330" s="3" t="s">
        <v>16</v>
      </c>
      <c r="Y330" s="3" t="s">
        <v>17</v>
      </c>
      <c r="Z330" s="5"/>
      <c r="AA330" s="3" t="s">
        <v>18</v>
      </c>
      <c r="AB330" s="3" t="s">
        <v>19</v>
      </c>
      <c r="AC330" s="3" t="s">
        <v>20</v>
      </c>
      <c r="AD330" s="3" t="s">
        <v>21</v>
      </c>
    </row>
    <row r="331" spans="1:30" s="6" customFormat="1" x14ac:dyDescent="0.25">
      <c r="B331" s="7">
        <v>15750</v>
      </c>
      <c r="C331" s="7">
        <v>25</v>
      </c>
      <c r="D331" s="7">
        <v>1000000</v>
      </c>
      <c r="E331" s="7">
        <v>10000</v>
      </c>
      <c r="F331" s="7">
        <v>100</v>
      </c>
      <c r="G331" s="7">
        <v>600</v>
      </c>
      <c r="H331" s="8"/>
      <c r="K331" s="7">
        <v>213.2545935</v>
      </c>
      <c r="L331" s="7">
        <v>1</v>
      </c>
      <c r="M331" s="7">
        <v>2641.0761195</v>
      </c>
      <c r="N331" s="7">
        <v>2.4467421297033005</v>
      </c>
      <c r="O331" s="7">
        <v>1</v>
      </c>
      <c r="P331" s="9"/>
      <c r="Q331" s="7">
        <v>1</v>
      </c>
      <c r="R331" s="7">
        <v>1</v>
      </c>
      <c r="S331" s="9"/>
      <c r="T331" s="7">
        <v>0</v>
      </c>
      <c r="U331" s="7">
        <v>1</v>
      </c>
      <c r="V331" s="7">
        <v>6.5616798000000003</v>
      </c>
      <c r="W331" s="7">
        <v>1</v>
      </c>
      <c r="X331" s="13">
        <v>0</v>
      </c>
      <c r="Y331" s="7">
        <v>1</v>
      </c>
      <c r="Z331" s="9"/>
      <c r="AA331" s="7">
        <v>0.32808399000000005</v>
      </c>
      <c r="AB331" s="7">
        <v>1</v>
      </c>
      <c r="AC331" s="7">
        <v>1</v>
      </c>
      <c r="AD331" s="7">
        <v>1</v>
      </c>
    </row>
    <row r="332" spans="1:30" s="6" customFormat="1" x14ac:dyDescent="0.25">
      <c r="B332" s="7"/>
      <c r="C332" s="7"/>
      <c r="D332" s="7"/>
      <c r="E332" s="7"/>
      <c r="F332" s="7"/>
      <c r="G332" s="7"/>
      <c r="H332" s="8"/>
      <c r="K332" s="7">
        <v>213.2545935</v>
      </c>
      <c r="L332" s="7">
        <v>173</v>
      </c>
      <c r="M332" s="7"/>
      <c r="N332" s="7">
        <v>2.2099606332803998</v>
      </c>
      <c r="O332" s="7">
        <v>50</v>
      </c>
      <c r="P332" s="9"/>
      <c r="Q332" s="7">
        <v>1</v>
      </c>
      <c r="R332" s="7">
        <v>100</v>
      </c>
      <c r="S332" s="9"/>
      <c r="T332" s="7">
        <v>0</v>
      </c>
      <c r="U332" s="7">
        <v>600</v>
      </c>
      <c r="V332" s="7">
        <v>6.5616798000000003</v>
      </c>
      <c r="W332" s="7">
        <v>631</v>
      </c>
      <c r="X332" s="13">
        <v>0</v>
      </c>
      <c r="Y332" s="7">
        <v>9</v>
      </c>
      <c r="Z332" s="9"/>
      <c r="AA332" s="7">
        <v>0.32808399000000005</v>
      </c>
      <c r="AB332" s="7">
        <v>631</v>
      </c>
      <c r="AC332" s="7">
        <v>1</v>
      </c>
      <c r="AD332" s="7">
        <v>100</v>
      </c>
    </row>
    <row r="333" spans="1:30" s="6" customFormat="1" x14ac:dyDescent="0.25">
      <c r="B333" s="7"/>
      <c r="C333" s="7"/>
      <c r="D333" s="7"/>
      <c r="E333" s="7"/>
      <c r="F333" s="7"/>
      <c r="G333" s="7"/>
      <c r="H333" s="8"/>
      <c r="K333" s="7">
        <v>0</v>
      </c>
      <c r="L333" s="7">
        <v>285</v>
      </c>
      <c r="M333" s="7"/>
      <c r="N333" s="7">
        <v>1.9994881920156</v>
      </c>
      <c r="O333" s="7">
        <v>100</v>
      </c>
      <c r="P333" s="9"/>
      <c r="Q333" s="7"/>
      <c r="R333" s="7"/>
      <c r="S333" s="9"/>
      <c r="T333" s="7"/>
      <c r="U333" s="7"/>
      <c r="V333" s="7"/>
      <c r="W333" s="7"/>
      <c r="X333" s="13">
        <v>2.75</v>
      </c>
      <c r="Y333" s="7">
        <v>10</v>
      </c>
      <c r="Z333" s="9"/>
      <c r="AA333" s="45"/>
      <c r="AB333" s="7"/>
      <c r="AC333" s="7"/>
      <c r="AD333" s="7"/>
    </row>
    <row r="334" spans="1:30" s="6" customFormat="1" x14ac:dyDescent="0.25">
      <c r="B334" s="7"/>
      <c r="C334" s="7"/>
      <c r="D334" s="7"/>
      <c r="E334" s="7"/>
      <c r="F334" s="7"/>
      <c r="G334" s="7"/>
      <c r="H334" s="8"/>
      <c r="K334" s="7">
        <v>45.931758600000002</v>
      </c>
      <c r="L334" s="7">
        <v>330</v>
      </c>
      <c r="M334" s="7"/>
      <c r="N334" s="7">
        <v>1.6048523646441002</v>
      </c>
      <c r="O334" s="7">
        <v>150</v>
      </c>
      <c r="P334" s="9"/>
      <c r="Q334" s="7"/>
      <c r="R334" s="7"/>
      <c r="S334" s="9"/>
      <c r="T334" s="7"/>
      <c r="U334" s="7"/>
      <c r="V334" s="7"/>
      <c r="W334" s="7"/>
      <c r="X334" s="13">
        <v>1</v>
      </c>
      <c r="Y334" s="7">
        <v>14</v>
      </c>
      <c r="Z334" s="9"/>
      <c r="AA334" s="7"/>
      <c r="AB334" s="7"/>
      <c r="AC334" s="7"/>
      <c r="AD334" s="7"/>
    </row>
    <row r="335" spans="1:30" s="6" customFormat="1" x14ac:dyDescent="0.25">
      <c r="B335" s="7"/>
      <c r="C335" s="7"/>
      <c r="D335" s="7"/>
      <c r="E335" s="7"/>
      <c r="F335" s="7"/>
      <c r="G335" s="7"/>
      <c r="H335" s="8"/>
      <c r="K335" s="7">
        <v>91.863517200000004</v>
      </c>
      <c r="L335" s="11">
        <v>440</v>
      </c>
      <c r="M335" s="9"/>
      <c r="N335" s="7">
        <v>0.99974409600780001</v>
      </c>
      <c r="O335" s="7">
        <v>200</v>
      </c>
      <c r="P335" s="9"/>
      <c r="Q335" s="7"/>
      <c r="R335" s="7"/>
      <c r="S335" s="9"/>
      <c r="T335" s="7"/>
      <c r="U335" s="7"/>
      <c r="V335" s="7"/>
      <c r="W335" s="7"/>
      <c r="X335" s="29">
        <v>0</v>
      </c>
      <c r="Y335" s="6">
        <v>15</v>
      </c>
      <c r="Z335" s="9"/>
      <c r="AA335" s="7"/>
      <c r="AB335" s="7"/>
      <c r="AC335" s="7"/>
      <c r="AD335" s="7"/>
    </row>
    <row r="336" spans="1:30" s="6" customFormat="1" x14ac:dyDescent="0.25">
      <c r="B336" s="9"/>
      <c r="C336" s="9"/>
      <c r="D336" s="9"/>
      <c r="E336" s="9"/>
      <c r="F336" s="9"/>
      <c r="G336" s="9"/>
      <c r="H336" s="8"/>
      <c r="K336" s="7">
        <v>213.2545935</v>
      </c>
      <c r="L336" s="7">
        <v>526</v>
      </c>
      <c r="M336" s="9"/>
      <c r="N336" s="7">
        <v>0.44725393768770011</v>
      </c>
      <c r="O336" s="7">
        <v>250</v>
      </c>
      <c r="P336" s="9"/>
      <c r="Q336" s="7"/>
      <c r="R336" s="7"/>
      <c r="S336" s="9"/>
      <c r="T336" s="7"/>
      <c r="U336" s="7"/>
      <c r="V336" s="7"/>
      <c r="W336" s="7"/>
      <c r="X336" s="29">
        <v>0</v>
      </c>
      <c r="Y336" s="6">
        <v>29</v>
      </c>
      <c r="Z336" s="9"/>
      <c r="AA336" s="7"/>
      <c r="AB336" s="7"/>
      <c r="AC336" s="7"/>
      <c r="AD336" s="7"/>
    </row>
    <row r="337" spans="2:25" x14ac:dyDescent="0.25">
      <c r="K337" s="7">
        <v>213.2545935</v>
      </c>
      <c r="L337" s="12">
        <v>631</v>
      </c>
      <c r="N337" s="7">
        <v>5.2618110316200013E-2</v>
      </c>
      <c r="O337" s="12">
        <v>300</v>
      </c>
      <c r="X337" s="30">
        <v>4</v>
      </c>
      <c r="Y337" s="7">
        <v>30</v>
      </c>
    </row>
    <row r="338" spans="2:25" ht="15.75" x14ac:dyDescent="0.25">
      <c r="B338" t="s">
        <v>57</v>
      </c>
      <c r="C338" s="44">
        <v>3.2808399000000001</v>
      </c>
      <c r="N338" s="7">
        <v>0</v>
      </c>
      <c r="O338" s="12">
        <v>320</v>
      </c>
      <c r="X338" s="30">
        <v>2</v>
      </c>
      <c r="Y338" s="7">
        <v>31</v>
      </c>
    </row>
    <row r="339" spans="2:25" x14ac:dyDescent="0.25">
      <c r="N339" s="7">
        <v>9.2081693053350025E-2</v>
      </c>
      <c r="O339" s="12">
        <v>350</v>
      </c>
      <c r="X339" s="31">
        <v>0</v>
      </c>
      <c r="Y339" s="9">
        <v>32</v>
      </c>
    </row>
    <row r="340" spans="2:25" x14ac:dyDescent="0.25">
      <c r="N340" s="7">
        <v>0.44725393768770011</v>
      </c>
      <c r="O340" s="12">
        <v>400</v>
      </c>
      <c r="X340" s="31">
        <v>0</v>
      </c>
      <c r="Y340" s="9">
        <v>33</v>
      </c>
    </row>
    <row r="341" spans="2:25" x14ac:dyDescent="0.25">
      <c r="N341" s="7">
        <v>1.1049803166401999</v>
      </c>
      <c r="O341" s="12">
        <v>450</v>
      </c>
      <c r="X341" s="31">
        <v>2.8</v>
      </c>
      <c r="Y341" s="9">
        <v>34</v>
      </c>
    </row>
    <row r="342" spans="2:25" x14ac:dyDescent="0.25">
      <c r="N342" s="7">
        <v>1.9731791368575</v>
      </c>
      <c r="O342" s="12">
        <v>500</v>
      </c>
      <c r="X342" s="30">
        <v>0</v>
      </c>
      <c r="Y342" s="7">
        <v>35</v>
      </c>
    </row>
    <row r="343" spans="2:25" x14ac:dyDescent="0.25">
      <c r="N343" s="7">
        <v>2.4993602400195001</v>
      </c>
      <c r="O343" s="12">
        <v>550</v>
      </c>
      <c r="X343" s="30">
        <v>0</v>
      </c>
      <c r="Y343" s="7">
        <v>38</v>
      </c>
    </row>
    <row r="344" spans="2:25" x14ac:dyDescent="0.25">
      <c r="N344" s="7">
        <v>2.6309055158100003</v>
      </c>
      <c r="O344" s="12">
        <v>600</v>
      </c>
      <c r="X344" s="18">
        <v>1.5</v>
      </c>
      <c r="Y344" s="7">
        <v>39</v>
      </c>
    </row>
    <row r="345" spans="2:25" x14ac:dyDescent="0.25">
      <c r="X345" s="18">
        <v>0.5</v>
      </c>
      <c r="Y345" s="7">
        <v>44</v>
      </c>
    </row>
    <row r="346" spans="2:25" x14ac:dyDescent="0.25">
      <c r="X346" s="28">
        <v>0</v>
      </c>
      <c r="Y346" s="9">
        <v>45</v>
      </c>
    </row>
    <row r="347" spans="2:25" x14ac:dyDescent="0.25">
      <c r="X347" s="28">
        <v>0</v>
      </c>
      <c r="Y347" s="9">
        <v>50</v>
      </c>
    </row>
    <row r="348" spans="2:25" x14ac:dyDescent="0.25">
      <c r="X348" s="28">
        <v>3</v>
      </c>
      <c r="Y348" s="9">
        <v>51</v>
      </c>
    </row>
    <row r="349" spans="2:25" x14ac:dyDescent="0.25">
      <c r="X349" s="27">
        <v>0</v>
      </c>
      <c r="Y349" s="9">
        <v>52</v>
      </c>
    </row>
    <row r="350" spans="2:25" x14ac:dyDescent="0.25">
      <c r="X350" s="26">
        <v>0</v>
      </c>
      <c r="Y350" s="7">
        <v>55</v>
      </c>
    </row>
    <row r="351" spans="2:25" x14ac:dyDescent="0.25">
      <c r="X351" s="26">
        <v>0.9</v>
      </c>
      <c r="Y351" s="7">
        <v>56</v>
      </c>
    </row>
    <row r="352" spans="2:25" x14ac:dyDescent="0.25">
      <c r="X352" s="26">
        <v>0</v>
      </c>
      <c r="Y352" s="7">
        <v>57</v>
      </c>
    </row>
    <row r="353" spans="1:30" x14ac:dyDescent="0.25">
      <c r="X353" s="32">
        <v>0</v>
      </c>
      <c r="Y353" s="9">
        <v>63</v>
      </c>
    </row>
    <row r="354" spans="1:30" x14ac:dyDescent="0.25">
      <c r="X354" s="32">
        <v>5</v>
      </c>
      <c r="Y354" s="9">
        <v>64</v>
      </c>
    </row>
    <row r="355" spans="1:30" x14ac:dyDescent="0.25">
      <c r="X355" s="32">
        <v>0</v>
      </c>
      <c r="Y355" s="9">
        <v>65</v>
      </c>
    </row>
    <row r="356" spans="1:30" x14ac:dyDescent="0.25">
      <c r="X356" s="32">
        <v>1</v>
      </c>
      <c r="Y356" s="9">
        <v>66</v>
      </c>
    </row>
    <row r="357" spans="1:30" x14ac:dyDescent="0.25">
      <c r="X357" s="26">
        <v>0</v>
      </c>
      <c r="Y357" s="7">
        <v>67</v>
      </c>
    </row>
    <row r="358" spans="1:30" x14ac:dyDescent="0.25">
      <c r="X358" s="26">
        <v>0</v>
      </c>
      <c r="Y358" s="7">
        <v>75</v>
      </c>
    </row>
    <row r="359" spans="1:30" x14ac:dyDescent="0.25">
      <c r="X359" s="22">
        <v>0.7</v>
      </c>
      <c r="Y359" s="7">
        <v>76</v>
      </c>
    </row>
    <row r="360" spans="1:30" x14ac:dyDescent="0.25">
      <c r="X360" s="22">
        <v>0.7</v>
      </c>
      <c r="Y360" s="7">
        <v>81</v>
      </c>
    </row>
    <row r="361" spans="1:30" x14ac:dyDescent="0.25">
      <c r="X361" s="22">
        <v>0</v>
      </c>
      <c r="Y361" s="7">
        <v>82</v>
      </c>
    </row>
    <row r="362" spans="1:30" x14ac:dyDescent="0.25">
      <c r="X362" s="22">
        <v>0</v>
      </c>
      <c r="Y362" s="7">
        <v>91</v>
      </c>
    </row>
    <row r="363" spans="1:30" x14ac:dyDescent="0.25">
      <c r="X363" s="25">
        <v>0.8</v>
      </c>
      <c r="Y363" s="7">
        <v>92</v>
      </c>
    </row>
    <row r="364" spans="1:30" x14ac:dyDescent="0.25">
      <c r="X364" s="25">
        <v>0</v>
      </c>
      <c r="Y364" s="7">
        <v>96</v>
      </c>
    </row>
    <row r="365" spans="1:30" x14ac:dyDescent="0.25">
      <c r="X365" s="25">
        <v>0</v>
      </c>
      <c r="Y365" s="7">
        <v>100</v>
      </c>
    </row>
    <row r="367" spans="1:30" s="6" customFormat="1" x14ac:dyDescent="0.25">
      <c r="A367" s="2">
        <v>22</v>
      </c>
      <c r="B367" s="3" t="s">
        <v>0</v>
      </c>
      <c r="C367" s="3" t="s">
        <v>1</v>
      </c>
      <c r="D367" s="3" t="s">
        <v>2</v>
      </c>
      <c r="E367" s="3" t="s">
        <v>3</v>
      </c>
      <c r="F367" s="3" t="s">
        <v>4</v>
      </c>
      <c r="G367" s="3" t="s">
        <v>5</v>
      </c>
      <c r="H367" s="4"/>
      <c r="I367" s="4"/>
      <c r="J367" s="4"/>
      <c r="K367" s="3" t="s">
        <v>6</v>
      </c>
      <c r="L367" s="3" t="s">
        <v>7</v>
      </c>
      <c r="M367" s="10" t="s">
        <v>23</v>
      </c>
      <c r="N367" s="3" t="s">
        <v>8</v>
      </c>
      <c r="O367" s="3" t="s">
        <v>9</v>
      </c>
      <c r="P367" s="5"/>
      <c r="Q367" s="3" t="s">
        <v>10</v>
      </c>
      <c r="R367" s="3" t="s">
        <v>11</v>
      </c>
      <c r="S367" s="5"/>
      <c r="T367" s="3" t="s">
        <v>12</v>
      </c>
      <c r="U367" s="3" t="s">
        <v>13</v>
      </c>
      <c r="V367" s="3" t="s">
        <v>14</v>
      </c>
      <c r="W367" s="3" t="s">
        <v>15</v>
      </c>
      <c r="X367" s="3" t="s">
        <v>16</v>
      </c>
      <c r="Y367" s="3" t="s">
        <v>17</v>
      </c>
      <c r="Z367" s="5"/>
      <c r="AA367" s="3" t="s">
        <v>18</v>
      </c>
      <c r="AB367" s="3" t="s">
        <v>19</v>
      </c>
      <c r="AC367" s="3" t="s">
        <v>20</v>
      </c>
      <c r="AD367" s="3" t="s">
        <v>21</v>
      </c>
    </row>
    <row r="368" spans="1:30" s="6" customFormat="1" x14ac:dyDescent="0.25">
      <c r="B368" s="7">
        <v>15750</v>
      </c>
      <c r="C368" s="7">
        <v>25</v>
      </c>
      <c r="D368" s="7">
        <v>1000000</v>
      </c>
      <c r="E368" s="7">
        <v>10000</v>
      </c>
      <c r="F368" s="7">
        <v>100</v>
      </c>
      <c r="G368" s="7">
        <v>600</v>
      </c>
      <c r="H368" s="8"/>
      <c r="K368" s="7">
        <v>213.2545935</v>
      </c>
      <c r="L368" s="7">
        <v>1</v>
      </c>
      <c r="M368" s="7">
        <v>2641.0761195</v>
      </c>
      <c r="N368" s="7">
        <v>2.4467421297033005</v>
      </c>
      <c r="O368" s="7">
        <v>1</v>
      </c>
      <c r="P368" s="9"/>
      <c r="Q368" s="7">
        <v>1</v>
      </c>
      <c r="R368" s="7">
        <v>1</v>
      </c>
      <c r="S368" s="9"/>
      <c r="T368" s="7">
        <v>0</v>
      </c>
      <c r="U368" s="7">
        <v>1</v>
      </c>
      <c r="V368" s="7">
        <v>6.5616798000000003</v>
      </c>
      <c r="W368" s="7">
        <v>1</v>
      </c>
      <c r="X368" s="13">
        <v>0</v>
      </c>
      <c r="Y368" s="7">
        <v>1</v>
      </c>
      <c r="Z368" s="9"/>
      <c r="AA368" s="7">
        <v>0.32808399000000005</v>
      </c>
      <c r="AB368" s="7">
        <v>1</v>
      </c>
      <c r="AC368" s="7">
        <v>1</v>
      </c>
      <c r="AD368" s="7">
        <v>1</v>
      </c>
    </row>
    <row r="369" spans="2:30" s="6" customFormat="1" x14ac:dyDescent="0.25">
      <c r="B369" s="7"/>
      <c r="C369" s="7"/>
      <c r="D369" s="7"/>
      <c r="E369" s="7"/>
      <c r="F369" s="7"/>
      <c r="G369" s="7"/>
      <c r="H369" s="8"/>
      <c r="K369" s="7">
        <v>213.2545935</v>
      </c>
      <c r="L369" s="7">
        <v>173</v>
      </c>
      <c r="M369" s="7"/>
      <c r="N369" s="7">
        <v>2.2099606332803998</v>
      </c>
      <c r="O369">
        <v>52</v>
      </c>
      <c r="P369" s="9"/>
      <c r="Q369" s="7">
        <v>1</v>
      </c>
      <c r="R369" s="7">
        <v>100</v>
      </c>
      <c r="S369" s="9"/>
      <c r="T369" s="7">
        <v>0</v>
      </c>
      <c r="U369" s="7">
        <v>631</v>
      </c>
      <c r="V369" s="7">
        <v>6.5616798000000003</v>
      </c>
      <c r="W369" s="7">
        <v>631</v>
      </c>
      <c r="X369" s="13">
        <v>0</v>
      </c>
      <c r="Y369" s="7">
        <v>9</v>
      </c>
      <c r="Z369" s="9"/>
      <c r="AA369" s="7">
        <v>0.32808399000000005</v>
      </c>
      <c r="AB369" s="7">
        <v>631</v>
      </c>
      <c r="AC369" s="7">
        <v>1</v>
      </c>
      <c r="AD369" s="7">
        <v>100</v>
      </c>
    </row>
    <row r="370" spans="2:30" s="6" customFormat="1" x14ac:dyDescent="0.25">
      <c r="B370" s="7"/>
      <c r="C370" s="7"/>
      <c r="D370" s="7"/>
      <c r="E370" s="7"/>
      <c r="F370" s="7"/>
      <c r="G370" s="7"/>
      <c r="H370" s="8"/>
      <c r="K370" s="7">
        <v>0</v>
      </c>
      <c r="L370" s="7">
        <v>285</v>
      </c>
      <c r="M370" s="7"/>
      <c r="N370" s="7">
        <v>1.9994881920156</v>
      </c>
      <c r="O370">
        <v>105</v>
      </c>
      <c r="P370" s="9"/>
      <c r="Q370" s="7"/>
      <c r="R370" s="7"/>
      <c r="S370" s="9"/>
      <c r="T370" s="7"/>
      <c r="U370" s="7"/>
      <c r="V370" s="7"/>
      <c r="W370" s="7"/>
      <c r="X370" s="13">
        <v>2.75</v>
      </c>
      <c r="Y370" s="7">
        <v>10</v>
      </c>
      <c r="Z370" s="9"/>
      <c r="AA370" s="45"/>
      <c r="AB370" s="7"/>
      <c r="AC370" s="7"/>
      <c r="AD370" s="7"/>
    </row>
    <row r="371" spans="2:30" s="6" customFormat="1" x14ac:dyDescent="0.25">
      <c r="B371" s="7"/>
      <c r="C371" s="7"/>
      <c r="D371" s="7"/>
      <c r="E371" s="7"/>
      <c r="F371" s="7"/>
      <c r="G371" s="7"/>
      <c r="H371" s="8"/>
      <c r="K371" s="7">
        <v>45.931758600000002</v>
      </c>
      <c r="L371" s="7">
        <v>330</v>
      </c>
      <c r="M371" s="7"/>
      <c r="N371" s="7">
        <v>1.6048523646441002</v>
      </c>
      <c r="O371">
        <v>158</v>
      </c>
      <c r="P371" s="9"/>
      <c r="Q371" s="7"/>
      <c r="R371" s="7"/>
      <c r="S371" s="9"/>
      <c r="T371" s="7"/>
      <c r="U371" s="7"/>
      <c r="V371" s="7"/>
      <c r="W371" s="7"/>
      <c r="X371" s="13">
        <v>1</v>
      </c>
      <c r="Y371" s="7">
        <v>14</v>
      </c>
      <c r="Z371" s="9"/>
      <c r="AA371" s="7"/>
      <c r="AB371" s="7"/>
      <c r="AC371" s="7"/>
      <c r="AD371" s="7"/>
    </row>
    <row r="372" spans="2:30" s="6" customFormat="1" x14ac:dyDescent="0.25">
      <c r="B372" s="7"/>
      <c r="C372" s="7"/>
      <c r="D372" s="7"/>
      <c r="E372" s="7"/>
      <c r="F372" s="7"/>
      <c r="G372" s="7"/>
      <c r="H372" s="8"/>
      <c r="K372" s="7">
        <v>91.863517200000004</v>
      </c>
      <c r="L372" s="11">
        <v>440</v>
      </c>
      <c r="M372" s="9"/>
      <c r="N372" s="7">
        <v>0.99974409600780001</v>
      </c>
      <c r="O372">
        <v>210</v>
      </c>
      <c r="P372" s="9"/>
      <c r="Q372" s="7"/>
      <c r="R372" s="7"/>
      <c r="S372" s="9"/>
      <c r="T372" s="7"/>
      <c r="U372" s="7"/>
      <c r="V372" s="7"/>
      <c r="W372" s="7"/>
      <c r="X372" s="29">
        <v>0</v>
      </c>
      <c r="Y372" s="6">
        <v>15</v>
      </c>
      <c r="Z372" s="9"/>
      <c r="AA372" s="7"/>
      <c r="AB372" s="7"/>
      <c r="AC372" s="7"/>
      <c r="AD372" s="7"/>
    </row>
    <row r="373" spans="2:30" s="6" customFormat="1" x14ac:dyDescent="0.25">
      <c r="B373" s="9"/>
      <c r="C373" s="9"/>
      <c r="D373" s="9"/>
      <c r="E373" s="9"/>
      <c r="F373" s="9"/>
      <c r="G373" s="9"/>
      <c r="H373" s="8"/>
      <c r="K373" s="7">
        <v>213.2545935</v>
      </c>
      <c r="L373" s="7">
        <v>526</v>
      </c>
      <c r="M373" s="9"/>
      <c r="N373" s="7">
        <v>0.44725393768770011</v>
      </c>
      <c r="O373">
        <v>263</v>
      </c>
      <c r="P373" s="9"/>
      <c r="Q373" s="7"/>
      <c r="R373" s="7"/>
      <c r="S373" s="9"/>
      <c r="T373" s="7"/>
      <c r="U373" s="7"/>
      <c r="V373" s="7"/>
      <c r="W373" s="7"/>
      <c r="X373" s="29">
        <v>0</v>
      </c>
      <c r="Y373" s="6">
        <v>29</v>
      </c>
      <c r="Z373" s="9"/>
      <c r="AA373" s="7"/>
      <c r="AB373" s="7"/>
      <c r="AC373" s="7"/>
      <c r="AD373" s="7"/>
    </row>
    <row r="374" spans="2:30" x14ac:dyDescent="0.25">
      <c r="K374" s="7">
        <v>213.2545935</v>
      </c>
      <c r="L374" s="12">
        <v>631</v>
      </c>
      <c r="N374" s="7">
        <v>5.2618110316200013E-2</v>
      </c>
      <c r="O374">
        <v>315</v>
      </c>
      <c r="X374" s="30">
        <v>4</v>
      </c>
      <c r="Y374" s="7">
        <v>30</v>
      </c>
    </row>
    <row r="375" spans="2:30" ht="15.75" x14ac:dyDescent="0.25">
      <c r="B375" t="s">
        <v>57</v>
      </c>
      <c r="C375" s="44">
        <v>3.2808399000000001</v>
      </c>
      <c r="N375" s="7">
        <v>0</v>
      </c>
      <c r="O375">
        <v>336</v>
      </c>
      <c r="X375" s="30">
        <v>2</v>
      </c>
      <c r="Y375" s="7">
        <v>31</v>
      </c>
    </row>
    <row r="376" spans="2:30" x14ac:dyDescent="0.25">
      <c r="N376" s="7">
        <v>9.2081693053350025E-2</v>
      </c>
      <c r="O376">
        <v>368</v>
      </c>
      <c r="X376" s="31">
        <v>0</v>
      </c>
      <c r="Y376" s="9">
        <v>32</v>
      </c>
    </row>
    <row r="377" spans="2:30" x14ac:dyDescent="0.25">
      <c r="N377" s="7">
        <v>0.44725393768770011</v>
      </c>
      <c r="O377">
        <v>420</v>
      </c>
      <c r="X377" s="31">
        <v>0</v>
      </c>
      <c r="Y377" s="9">
        <v>33</v>
      </c>
    </row>
    <row r="378" spans="2:30" x14ac:dyDescent="0.25">
      <c r="N378" s="7">
        <v>1.1049803166401999</v>
      </c>
      <c r="O378">
        <v>473</v>
      </c>
      <c r="X378" s="31">
        <v>2.8</v>
      </c>
      <c r="Y378" s="9">
        <v>34</v>
      </c>
    </row>
    <row r="379" spans="2:30" x14ac:dyDescent="0.25">
      <c r="N379" s="7">
        <v>1.9731791368575</v>
      </c>
      <c r="O379">
        <v>525</v>
      </c>
      <c r="X379" s="30">
        <v>0</v>
      </c>
      <c r="Y379" s="7">
        <v>35</v>
      </c>
    </row>
    <row r="380" spans="2:30" x14ac:dyDescent="0.25">
      <c r="N380" s="7">
        <v>2.4993602400195001</v>
      </c>
      <c r="O380">
        <v>578</v>
      </c>
      <c r="X380" s="30">
        <v>0</v>
      </c>
      <c r="Y380" s="7">
        <v>38</v>
      </c>
    </row>
    <row r="381" spans="2:30" x14ac:dyDescent="0.25">
      <c r="N381" s="7">
        <v>2.6309055158100003</v>
      </c>
      <c r="O381">
        <v>631</v>
      </c>
      <c r="X381" s="18">
        <v>1.5</v>
      </c>
      <c r="Y381" s="7">
        <v>39</v>
      </c>
    </row>
    <row r="382" spans="2:30" x14ac:dyDescent="0.25">
      <c r="X382" s="18">
        <v>0.5</v>
      </c>
      <c r="Y382" s="7">
        <v>44</v>
      </c>
    </row>
    <row r="383" spans="2:30" x14ac:dyDescent="0.25">
      <c r="X383" s="28">
        <v>0</v>
      </c>
      <c r="Y383" s="9">
        <v>45</v>
      </c>
    </row>
    <row r="384" spans="2:30" x14ac:dyDescent="0.25">
      <c r="X384" s="28">
        <v>0</v>
      </c>
      <c r="Y384" s="9">
        <v>50</v>
      </c>
    </row>
    <row r="385" spans="24:25" x14ac:dyDescent="0.25">
      <c r="X385" s="28">
        <v>3</v>
      </c>
      <c r="Y385" s="9">
        <v>51</v>
      </c>
    </row>
    <row r="386" spans="24:25" x14ac:dyDescent="0.25">
      <c r="X386" s="27">
        <v>0</v>
      </c>
      <c r="Y386" s="9">
        <v>52</v>
      </c>
    </row>
    <row r="387" spans="24:25" x14ac:dyDescent="0.25">
      <c r="X387" s="26">
        <v>0</v>
      </c>
      <c r="Y387" s="7">
        <v>55</v>
      </c>
    </row>
    <row r="388" spans="24:25" x14ac:dyDescent="0.25">
      <c r="X388" s="26">
        <v>0.9</v>
      </c>
      <c r="Y388" s="7">
        <v>56</v>
      </c>
    </row>
    <row r="389" spans="24:25" x14ac:dyDescent="0.25">
      <c r="X389" s="26">
        <v>0</v>
      </c>
      <c r="Y389" s="7">
        <v>57</v>
      </c>
    </row>
    <row r="390" spans="24:25" x14ac:dyDescent="0.25">
      <c r="X390" s="32">
        <v>0</v>
      </c>
      <c r="Y390" s="9">
        <v>63</v>
      </c>
    </row>
    <row r="391" spans="24:25" x14ac:dyDescent="0.25">
      <c r="X391" s="32">
        <v>5</v>
      </c>
      <c r="Y391" s="9">
        <v>64</v>
      </c>
    </row>
    <row r="392" spans="24:25" x14ac:dyDescent="0.25">
      <c r="X392" s="32">
        <v>0</v>
      </c>
      <c r="Y392" s="9">
        <v>65</v>
      </c>
    </row>
    <row r="393" spans="24:25" x14ac:dyDescent="0.25">
      <c r="X393" s="32">
        <v>1</v>
      </c>
      <c r="Y393" s="9">
        <v>66</v>
      </c>
    </row>
    <row r="394" spans="24:25" x14ac:dyDescent="0.25">
      <c r="X394" s="26">
        <v>0</v>
      </c>
      <c r="Y394" s="7">
        <v>67</v>
      </c>
    </row>
    <row r="395" spans="24:25" x14ac:dyDescent="0.25">
      <c r="X395" s="26">
        <v>0</v>
      </c>
      <c r="Y395" s="7">
        <v>75</v>
      </c>
    </row>
    <row r="396" spans="24:25" x14ac:dyDescent="0.25">
      <c r="X396" s="22">
        <v>0.7</v>
      </c>
      <c r="Y396" s="7">
        <v>76</v>
      </c>
    </row>
    <row r="397" spans="24:25" x14ac:dyDescent="0.25">
      <c r="X397" s="22">
        <v>0.7</v>
      </c>
      <c r="Y397" s="7">
        <v>81</v>
      </c>
    </row>
    <row r="398" spans="24:25" x14ac:dyDescent="0.25">
      <c r="X398" s="22">
        <v>0</v>
      </c>
      <c r="Y398" s="7">
        <v>82</v>
      </c>
    </row>
    <row r="399" spans="24:25" x14ac:dyDescent="0.25">
      <c r="X399" s="22">
        <v>0</v>
      </c>
      <c r="Y399" s="7">
        <v>91</v>
      </c>
    </row>
    <row r="400" spans="24:25" x14ac:dyDescent="0.25">
      <c r="X400" s="25">
        <v>0.8</v>
      </c>
      <c r="Y400" s="7">
        <v>92</v>
      </c>
    </row>
    <row r="401" spans="24:25" x14ac:dyDescent="0.25">
      <c r="X401" s="25">
        <v>0</v>
      </c>
      <c r="Y401" s="7">
        <v>96</v>
      </c>
    </row>
    <row r="402" spans="24:25" x14ac:dyDescent="0.25">
      <c r="X402" s="25">
        <v>0</v>
      </c>
      <c r="Y402" s="7">
        <v>100</v>
      </c>
    </row>
  </sheetData>
  <mergeCells count="1">
    <mergeCell ref="B1:G2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373"/>
  <sheetViews>
    <sheetView topLeftCell="R190" zoomScale="66" zoomScaleNormal="66" workbookViewId="0">
      <selection activeCell="AE241" sqref="AE241:AF243"/>
    </sheetView>
  </sheetViews>
  <sheetFormatPr defaultRowHeight="15" x14ac:dyDescent="0.25"/>
  <cols>
    <col min="2" max="2" width="29.140625" customWidth="1"/>
    <col min="3" max="3" width="34.5703125" customWidth="1"/>
    <col min="4" max="4" width="23.140625" customWidth="1"/>
    <col min="5" max="5" width="29.28515625" customWidth="1"/>
    <col min="6" max="6" width="14.5703125" customWidth="1"/>
    <col min="8" max="8" width="1" customWidth="1"/>
    <col min="9" max="9" width="0.5703125" hidden="1" customWidth="1"/>
    <col min="10" max="10" width="0.42578125" customWidth="1"/>
    <col min="11" max="11" width="21.42578125" customWidth="1"/>
    <col min="12" max="12" width="17.5703125" customWidth="1"/>
    <col min="13" max="13" width="27.85546875" customWidth="1"/>
    <col min="14" max="14" width="51" customWidth="1"/>
    <col min="15" max="15" width="19" customWidth="1"/>
    <col min="16" max="16" width="50.5703125" customWidth="1"/>
    <col min="17" max="17" width="44.7109375" customWidth="1"/>
    <col min="18" max="18" width="4.140625" customWidth="1"/>
    <col min="19" max="19" width="21.5703125" customWidth="1"/>
    <col min="20" max="20" width="31.85546875" customWidth="1"/>
    <col min="21" max="21" width="26.42578125" customWidth="1"/>
    <col min="22" max="22" width="30.140625" customWidth="1"/>
    <col min="23" max="23" width="8.28515625" customWidth="1"/>
    <col min="24" max="24" width="27.5703125" customWidth="1"/>
    <col min="25" max="25" width="24.28515625" customWidth="1"/>
    <col min="26" max="26" width="44.42578125" customWidth="1"/>
    <col min="27" max="27" width="35.85546875" customWidth="1"/>
    <col min="28" max="28" width="33" customWidth="1"/>
    <col min="29" max="29" width="47.28515625" customWidth="1"/>
    <col min="30" max="30" width="3.7109375" customWidth="1"/>
    <col min="31" max="31" width="60" customWidth="1"/>
    <col min="32" max="32" width="65.140625" customWidth="1"/>
    <col min="33" max="33" width="38.85546875" customWidth="1"/>
    <col min="34" max="34" width="40.42578125" customWidth="1"/>
  </cols>
  <sheetData>
    <row r="1" spans="1:34" ht="15" customHeight="1" x14ac:dyDescent="0.25">
      <c r="B1" s="128" t="s">
        <v>22</v>
      </c>
      <c r="C1" s="128"/>
      <c r="D1" s="128"/>
      <c r="E1" s="128"/>
      <c r="F1" s="128"/>
      <c r="G1" s="128"/>
      <c r="K1" s="1"/>
      <c r="L1" s="1"/>
      <c r="M1" s="1"/>
      <c r="N1" s="1"/>
      <c r="O1" s="1"/>
      <c r="P1" s="1"/>
      <c r="Q1" s="1"/>
      <c r="R1" s="1"/>
    </row>
    <row r="2" spans="1:34" ht="15" customHeight="1" x14ac:dyDescent="0.25">
      <c r="B2" s="129"/>
      <c r="C2" s="129"/>
      <c r="D2" s="129"/>
      <c r="E2" s="129"/>
      <c r="F2" s="129"/>
      <c r="G2" s="129"/>
      <c r="K2" s="1"/>
      <c r="L2" s="1"/>
      <c r="M2" s="1"/>
      <c r="N2" s="1"/>
      <c r="O2" s="1"/>
      <c r="P2" s="1"/>
      <c r="Q2" s="1"/>
      <c r="R2" s="1"/>
    </row>
    <row r="3" spans="1:34" s="6" customFormat="1" x14ac:dyDescent="0.25">
      <c r="A3" s="2">
        <v>26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4"/>
      <c r="I3" s="4"/>
      <c r="J3" s="4"/>
      <c r="K3" s="3" t="s">
        <v>6</v>
      </c>
      <c r="L3" s="3" t="s">
        <v>7</v>
      </c>
      <c r="M3" s="124" t="s">
        <v>23</v>
      </c>
      <c r="N3" s="3" t="s">
        <v>8</v>
      </c>
      <c r="O3" s="3" t="s">
        <v>9</v>
      </c>
      <c r="P3" s="3" t="s">
        <v>10</v>
      </c>
      <c r="Q3" s="3" t="s">
        <v>11</v>
      </c>
      <c r="R3" s="5"/>
      <c r="S3" s="3" t="s">
        <v>10</v>
      </c>
      <c r="T3" s="3" t="s">
        <v>11</v>
      </c>
      <c r="U3" s="5"/>
      <c r="V3" s="5"/>
      <c r="W3" s="5"/>
      <c r="X3" s="3" t="s">
        <v>12</v>
      </c>
      <c r="Y3" s="3" t="s">
        <v>13</v>
      </c>
      <c r="Z3" s="3" t="s">
        <v>14</v>
      </c>
      <c r="AA3" s="3" t="s">
        <v>15</v>
      </c>
      <c r="AB3" s="3" t="s">
        <v>16</v>
      </c>
      <c r="AC3" s="3" t="s">
        <v>17</v>
      </c>
      <c r="AD3" s="5"/>
      <c r="AE3" s="3" t="s">
        <v>18</v>
      </c>
      <c r="AF3" s="3" t="s">
        <v>19</v>
      </c>
      <c r="AG3" s="3" t="s">
        <v>20</v>
      </c>
      <c r="AH3" s="3" t="s">
        <v>21</v>
      </c>
    </row>
    <row r="4" spans="1:34" s="6" customFormat="1" x14ac:dyDescent="0.25">
      <c r="B4" s="7">
        <v>15750</v>
      </c>
      <c r="C4" s="7">
        <v>25</v>
      </c>
      <c r="D4" s="7">
        <v>1000000</v>
      </c>
      <c r="E4" s="7">
        <v>10000</v>
      </c>
      <c r="F4" s="7">
        <v>100</v>
      </c>
      <c r="G4" s="7">
        <v>631</v>
      </c>
      <c r="H4" s="8"/>
      <c r="K4" s="7">
        <v>166</v>
      </c>
      <c r="L4" s="35">
        <v>1</v>
      </c>
      <c r="M4" s="37">
        <v>2641.0761195</v>
      </c>
      <c r="N4" s="7">
        <v>2.4467421297033005</v>
      </c>
      <c r="O4" s="7">
        <v>1</v>
      </c>
      <c r="P4" s="9">
        <v>1</v>
      </c>
      <c r="Q4" s="9">
        <v>1</v>
      </c>
      <c r="R4" s="9"/>
      <c r="S4" s="7">
        <v>1</v>
      </c>
      <c r="T4" s="7">
        <v>1</v>
      </c>
      <c r="U4" s="9"/>
      <c r="V4" s="9"/>
      <c r="W4" s="9"/>
      <c r="X4" s="7">
        <v>0</v>
      </c>
      <c r="Y4" s="7">
        <v>1</v>
      </c>
      <c r="Z4" s="7">
        <v>6.5616798000000003</v>
      </c>
      <c r="AA4" s="7">
        <v>1</v>
      </c>
      <c r="AB4" s="13">
        <v>0</v>
      </c>
      <c r="AC4" s="7">
        <v>1</v>
      </c>
      <c r="AD4" s="9"/>
      <c r="AE4" s="7">
        <v>0.32808399000000005</v>
      </c>
      <c r="AF4" s="7">
        <v>1</v>
      </c>
      <c r="AG4" s="7">
        <v>1</v>
      </c>
      <c r="AH4" s="7">
        <v>1</v>
      </c>
    </row>
    <row r="5" spans="1:34" s="6" customFormat="1" x14ac:dyDescent="0.25">
      <c r="B5" s="7"/>
      <c r="C5" s="7"/>
      <c r="D5" s="7"/>
      <c r="E5" s="7"/>
      <c r="F5" s="7"/>
      <c r="G5" s="7"/>
      <c r="H5" s="8"/>
      <c r="K5" s="7">
        <v>166</v>
      </c>
      <c r="L5" s="35">
        <v>40</v>
      </c>
      <c r="M5" s="37"/>
      <c r="N5" s="7">
        <v>2.2099606332803998</v>
      </c>
      <c r="O5">
        <v>52</v>
      </c>
      <c r="P5" s="154">
        <v>1</v>
      </c>
      <c r="Q5" s="154">
        <v>100</v>
      </c>
      <c r="R5" s="9"/>
      <c r="S5" s="7">
        <v>1</v>
      </c>
      <c r="T5" s="7">
        <v>100</v>
      </c>
      <c r="U5" s="9"/>
      <c r="V5" s="9"/>
      <c r="W5" s="9"/>
      <c r="X5" s="7">
        <v>0</v>
      </c>
      <c r="Y5" s="7">
        <v>631</v>
      </c>
      <c r="Z5" s="7">
        <v>6.5616798000000003</v>
      </c>
      <c r="AA5" s="7">
        <v>631</v>
      </c>
      <c r="AB5" s="13">
        <v>0</v>
      </c>
      <c r="AC5" s="7">
        <v>18</v>
      </c>
      <c r="AD5" s="9"/>
      <c r="AE5" s="7">
        <v>0.32808399000000005</v>
      </c>
      <c r="AF5" s="7">
        <v>631</v>
      </c>
      <c r="AG5" s="7">
        <v>1</v>
      </c>
      <c r="AH5" s="7">
        <v>100</v>
      </c>
    </row>
    <row r="6" spans="1:34" s="6" customFormat="1" x14ac:dyDescent="0.25">
      <c r="B6" s="7"/>
      <c r="C6" s="7"/>
      <c r="D6" s="7"/>
      <c r="E6" s="7"/>
      <c r="F6" s="7"/>
      <c r="G6" s="7"/>
      <c r="H6" s="8"/>
      <c r="K6" s="7">
        <v>166</v>
      </c>
      <c r="L6" s="35">
        <v>80</v>
      </c>
      <c r="M6" s="37"/>
      <c r="N6" s="7">
        <v>1.9994881920156</v>
      </c>
      <c r="O6">
        <v>105</v>
      </c>
      <c r="P6"/>
      <c r="Q6"/>
      <c r="R6" s="9"/>
      <c r="S6" s="7"/>
      <c r="T6" s="7"/>
      <c r="U6" s="9"/>
      <c r="V6" s="9"/>
      <c r="W6" s="9"/>
      <c r="X6" s="7"/>
      <c r="Y6" s="7"/>
      <c r="Z6" s="7"/>
      <c r="AA6" s="7"/>
      <c r="AB6" s="13">
        <v>2.75</v>
      </c>
      <c r="AC6" s="7">
        <v>19</v>
      </c>
      <c r="AD6" s="9"/>
      <c r="AE6" s="3" t="s">
        <v>20</v>
      </c>
      <c r="AF6" s="3" t="s">
        <v>21</v>
      </c>
      <c r="AG6" s="7"/>
      <c r="AH6" s="7"/>
    </row>
    <row r="7" spans="1:34" s="6" customFormat="1" x14ac:dyDescent="0.25">
      <c r="B7" s="7"/>
      <c r="C7" s="7"/>
      <c r="D7" s="7"/>
      <c r="E7" s="7"/>
      <c r="F7" s="7"/>
      <c r="G7" s="7"/>
      <c r="H7" s="8"/>
      <c r="K7" s="7">
        <v>166</v>
      </c>
      <c r="L7" s="35">
        <v>120</v>
      </c>
      <c r="M7" s="37"/>
      <c r="N7" s="7">
        <v>1.6048523646441002</v>
      </c>
      <c r="O7">
        <v>158</v>
      </c>
      <c r="P7"/>
      <c r="Q7"/>
      <c r="R7" s="9"/>
      <c r="S7" s="7"/>
      <c r="T7" s="7"/>
      <c r="U7" s="9"/>
      <c r="V7" s="9"/>
      <c r="W7" s="9"/>
      <c r="X7" s="7"/>
      <c r="Y7" s="7"/>
      <c r="Z7" s="7"/>
      <c r="AA7" s="7"/>
      <c r="AB7" s="13">
        <v>1</v>
      </c>
      <c r="AC7" s="7">
        <v>23</v>
      </c>
      <c r="AD7" s="9"/>
      <c r="AE7" s="7">
        <v>1</v>
      </c>
      <c r="AF7" s="7">
        <v>1</v>
      </c>
      <c r="AG7" s="7"/>
      <c r="AH7" s="7"/>
    </row>
    <row r="8" spans="1:34" s="6" customFormat="1" x14ac:dyDescent="0.25">
      <c r="B8" s="7"/>
      <c r="C8" s="7"/>
      <c r="D8" s="7"/>
      <c r="E8" s="7"/>
      <c r="F8" s="7"/>
      <c r="G8" s="7"/>
      <c r="H8" s="8"/>
      <c r="K8" s="7">
        <v>166</v>
      </c>
      <c r="L8" s="35">
        <v>160</v>
      </c>
      <c r="M8" s="9"/>
      <c r="N8" s="7">
        <v>0.99974409600780001</v>
      </c>
      <c r="O8">
        <v>210</v>
      </c>
      <c r="P8"/>
      <c r="Q8"/>
      <c r="R8" s="9"/>
      <c r="S8" s="7"/>
      <c r="T8" s="7"/>
      <c r="U8" s="9"/>
      <c r="V8" s="9"/>
      <c r="W8" s="9"/>
      <c r="X8" s="7"/>
      <c r="Y8" s="7"/>
      <c r="Z8" s="7"/>
      <c r="AA8" s="7"/>
      <c r="AB8" s="29">
        <v>0</v>
      </c>
      <c r="AC8" s="6">
        <v>24</v>
      </c>
      <c r="AD8" s="9"/>
      <c r="AE8" s="7">
        <v>1</v>
      </c>
      <c r="AF8" s="7">
        <v>100</v>
      </c>
      <c r="AG8" s="7"/>
      <c r="AH8" s="7"/>
    </row>
    <row r="9" spans="1:34" s="6" customFormat="1" x14ac:dyDescent="0.25">
      <c r="B9" s="9"/>
      <c r="C9" s="9"/>
      <c r="D9" s="9"/>
      <c r="E9" s="9"/>
      <c r="F9" s="9"/>
      <c r="G9" s="9"/>
      <c r="H9" s="8"/>
      <c r="K9" s="7">
        <v>166</v>
      </c>
      <c r="L9" s="35">
        <v>170</v>
      </c>
      <c r="M9" s="9"/>
      <c r="N9" s="7">
        <v>0.44725393768770011</v>
      </c>
      <c r="O9">
        <v>263</v>
      </c>
      <c r="P9"/>
      <c r="Q9"/>
      <c r="R9" s="9"/>
      <c r="S9" s="7"/>
      <c r="T9" s="7"/>
      <c r="U9" s="9"/>
      <c r="V9" s="9"/>
      <c r="W9" s="9"/>
      <c r="X9" s="7"/>
      <c r="Y9" s="7"/>
      <c r="Z9" s="7"/>
      <c r="AA9" s="7"/>
      <c r="AB9" s="29">
        <v>0</v>
      </c>
      <c r="AC9" s="6">
        <v>29</v>
      </c>
      <c r="AD9" s="9"/>
      <c r="AE9" s="7"/>
      <c r="AF9" s="7"/>
      <c r="AG9" s="7"/>
      <c r="AH9" s="7"/>
    </row>
    <row r="10" spans="1:34" x14ac:dyDescent="0.25">
      <c r="K10" s="7">
        <v>64</v>
      </c>
      <c r="L10" s="35">
        <v>200</v>
      </c>
      <c r="N10" s="7">
        <v>5.2618110316200013E-2</v>
      </c>
      <c r="O10">
        <v>315</v>
      </c>
      <c r="AB10" s="30">
        <v>4</v>
      </c>
      <c r="AC10" s="7">
        <v>30</v>
      </c>
    </row>
    <row r="11" spans="1:34" ht="15.75" x14ac:dyDescent="0.25">
      <c r="B11" t="s">
        <v>57</v>
      </c>
      <c r="C11" s="44">
        <v>3.2808399000000001</v>
      </c>
      <c r="K11" s="35">
        <v>38</v>
      </c>
      <c r="L11" s="35">
        <v>240</v>
      </c>
      <c r="N11" s="7">
        <v>0</v>
      </c>
      <c r="O11">
        <v>336</v>
      </c>
      <c r="AB11" s="30">
        <v>2</v>
      </c>
      <c r="AC11" s="7">
        <v>31</v>
      </c>
    </row>
    <row r="12" spans="1:34" x14ac:dyDescent="0.25">
      <c r="K12" s="35">
        <v>0</v>
      </c>
      <c r="L12" s="35">
        <v>280</v>
      </c>
      <c r="N12" s="7">
        <v>9.2081693053350025E-2</v>
      </c>
      <c r="O12">
        <v>368</v>
      </c>
      <c r="AB12" s="31">
        <v>0</v>
      </c>
      <c r="AC12" s="9">
        <v>32</v>
      </c>
    </row>
    <row r="13" spans="1:34" x14ac:dyDescent="0.25">
      <c r="K13" s="35">
        <v>4</v>
      </c>
      <c r="L13" s="35">
        <v>320</v>
      </c>
      <c r="N13" s="7">
        <v>0.44725393768770011</v>
      </c>
      <c r="O13">
        <v>420</v>
      </c>
      <c r="AB13" s="31">
        <v>0</v>
      </c>
      <c r="AC13" s="9">
        <v>33</v>
      </c>
    </row>
    <row r="14" spans="1:34" x14ac:dyDescent="0.25">
      <c r="K14" s="35">
        <v>8</v>
      </c>
      <c r="L14" s="35">
        <v>360</v>
      </c>
      <c r="N14" s="7">
        <v>1.1049803166401999</v>
      </c>
      <c r="O14">
        <v>473</v>
      </c>
      <c r="AB14" s="31">
        <v>2.8</v>
      </c>
      <c r="AC14" s="9">
        <v>34</v>
      </c>
    </row>
    <row r="15" spans="1:34" x14ac:dyDescent="0.25">
      <c r="K15" s="35">
        <v>32</v>
      </c>
      <c r="L15" s="35">
        <v>400</v>
      </c>
      <c r="N15" s="7">
        <v>1.9731791368575</v>
      </c>
      <c r="O15">
        <v>525</v>
      </c>
      <c r="AB15" s="30">
        <v>0</v>
      </c>
      <c r="AC15" s="7">
        <v>35</v>
      </c>
    </row>
    <row r="16" spans="1:34" x14ac:dyDescent="0.25">
      <c r="K16" s="35">
        <v>74</v>
      </c>
      <c r="L16" s="35">
        <v>440</v>
      </c>
      <c r="N16" s="7">
        <v>2.4993602400195001</v>
      </c>
      <c r="O16">
        <v>578</v>
      </c>
      <c r="AB16" s="30">
        <v>0</v>
      </c>
      <c r="AC16" s="7">
        <v>38</v>
      </c>
    </row>
    <row r="17" spans="11:29" x14ac:dyDescent="0.25">
      <c r="K17" s="35">
        <v>103</v>
      </c>
      <c r="L17" s="35">
        <v>480</v>
      </c>
      <c r="N17" s="7">
        <v>2.6309055158100003</v>
      </c>
      <c r="O17">
        <v>631</v>
      </c>
      <c r="AB17" s="18">
        <v>1.5</v>
      </c>
      <c r="AC17" s="7">
        <v>39</v>
      </c>
    </row>
    <row r="18" spans="11:29" x14ac:dyDescent="0.25">
      <c r="K18" s="35">
        <v>166</v>
      </c>
      <c r="L18" s="35">
        <v>504</v>
      </c>
      <c r="AB18" s="18">
        <v>0.5</v>
      </c>
      <c r="AC18" s="7">
        <v>44</v>
      </c>
    </row>
    <row r="19" spans="11:29" x14ac:dyDescent="0.25">
      <c r="K19" s="35">
        <v>166</v>
      </c>
      <c r="L19" s="35">
        <v>520</v>
      </c>
      <c r="AB19" s="28">
        <v>0</v>
      </c>
      <c r="AC19" s="9">
        <v>45</v>
      </c>
    </row>
    <row r="20" spans="11:29" x14ac:dyDescent="0.25">
      <c r="K20" s="35">
        <v>166</v>
      </c>
      <c r="L20" s="35">
        <v>560</v>
      </c>
      <c r="R20">
        <v>0</v>
      </c>
      <c r="S20" s="35">
        <v>1</v>
      </c>
      <c r="T20">
        <f t="shared" ref="T20:T39" si="0">+SUM(175-R20)</f>
        <v>175</v>
      </c>
      <c r="AB20" s="28">
        <v>0</v>
      </c>
      <c r="AC20" s="9">
        <v>50</v>
      </c>
    </row>
    <row r="21" spans="11:29" x14ac:dyDescent="0.25">
      <c r="K21" s="35">
        <v>166</v>
      </c>
      <c r="L21" s="35">
        <v>600</v>
      </c>
      <c r="R21">
        <v>0</v>
      </c>
      <c r="S21" s="35">
        <v>40</v>
      </c>
      <c r="T21">
        <f t="shared" si="0"/>
        <v>175</v>
      </c>
      <c r="AB21" s="28">
        <v>3</v>
      </c>
      <c r="AC21" s="9">
        <v>51</v>
      </c>
    </row>
    <row r="22" spans="11:29" x14ac:dyDescent="0.25">
      <c r="K22" s="35">
        <v>166</v>
      </c>
      <c r="L22" s="35">
        <v>631</v>
      </c>
      <c r="R22">
        <v>0</v>
      </c>
      <c r="S22" s="35">
        <v>80</v>
      </c>
      <c r="T22">
        <f t="shared" si="0"/>
        <v>175</v>
      </c>
      <c r="AB22" s="27">
        <v>0</v>
      </c>
      <c r="AC22" s="9">
        <v>52</v>
      </c>
    </row>
    <row r="23" spans="11:29" x14ac:dyDescent="0.25">
      <c r="R23">
        <v>0</v>
      </c>
      <c r="S23" s="35">
        <v>120</v>
      </c>
      <c r="T23">
        <f t="shared" si="0"/>
        <v>175</v>
      </c>
      <c r="AB23" s="26">
        <v>0</v>
      </c>
      <c r="AC23" s="7">
        <v>55</v>
      </c>
    </row>
    <row r="24" spans="11:29" x14ac:dyDescent="0.25">
      <c r="R24">
        <v>0</v>
      </c>
      <c r="S24" s="42">
        <v>122</v>
      </c>
      <c r="T24" s="42">
        <f t="shared" si="0"/>
        <v>175</v>
      </c>
      <c r="U24" s="42"/>
      <c r="V24" s="42"/>
      <c r="AB24" s="26">
        <v>0.9</v>
      </c>
      <c r="AC24" s="7">
        <v>56</v>
      </c>
    </row>
    <row r="25" spans="11:29" x14ac:dyDescent="0.25">
      <c r="R25">
        <v>60</v>
      </c>
      <c r="S25" s="35">
        <v>160</v>
      </c>
      <c r="T25">
        <f t="shared" si="0"/>
        <v>115</v>
      </c>
      <c r="AB25" s="26">
        <v>0</v>
      </c>
      <c r="AC25" s="7">
        <v>57</v>
      </c>
    </row>
    <row r="26" spans="11:29" x14ac:dyDescent="0.25">
      <c r="R26">
        <v>85</v>
      </c>
      <c r="S26" s="35">
        <v>200</v>
      </c>
      <c r="T26">
        <f t="shared" si="0"/>
        <v>90</v>
      </c>
      <c r="AB26" s="32">
        <v>0</v>
      </c>
      <c r="AC26" s="9">
        <v>63</v>
      </c>
    </row>
    <row r="27" spans="11:29" x14ac:dyDescent="0.25">
      <c r="R27">
        <v>105</v>
      </c>
      <c r="S27" s="35">
        <v>240</v>
      </c>
      <c r="T27">
        <f t="shared" si="0"/>
        <v>70</v>
      </c>
      <c r="AB27" s="32">
        <v>5</v>
      </c>
      <c r="AC27" s="9">
        <v>64</v>
      </c>
    </row>
    <row r="28" spans="11:29" x14ac:dyDescent="0.25">
      <c r="R28">
        <v>175</v>
      </c>
      <c r="S28" s="35">
        <v>280</v>
      </c>
      <c r="T28">
        <f t="shared" si="0"/>
        <v>0</v>
      </c>
      <c r="AB28" s="32">
        <v>0</v>
      </c>
      <c r="AC28" s="9">
        <v>65</v>
      </c>
    </row>
    <row r="29" spans="11:29" x14ac:dyDescent="0.25">
      <c r="R29">
        <v>169</v>
      </c>
      <c r="S29" s="35">
        <v>320</v>
      </c>
      <c r="T29">
        <f t="shared" si="0"/>
        <v>6</v>
      </c>
      <c r="AB29" s="32">
        <v>1</v>
      </c>
      <c r="AC29" s="9">
        <v>66</v>
      </c>
    </row>
    <row r="30" spans="11:29" x14ac:dyDescent="0.25">
      <c r="R30">
        <v>163</v>
      </c>
      <c r="S30" s="35">
        <v>360</v>
      </c>
      <c r="T30">
        <f t="shared" si="0"/>
        <v>12</v>
      </c>
      <c r="AB30" s="26">
        <v>0</v>
      </c>
      <c r="AC30" s="7">
        <v>67</v>
      </c>
    </row>
    <row r="31" spans="11:29" x14ac:dyDescent="0.25">
      <c r="R31">
        <v>135</v>
      </c>
      <c r="S31" s="35">
        <v>400</v>
      </c>
      <c r="T31">
        <f t="shared" si="0"/>
        <v>40</v>
      </c>
      <c r="AB31" s="26">
        <v>0</v>
      </c>
      <c r="AC31" s="7">
        <v>75</v>
      </c>
    </row>
    <row r="32" spans="11:29" x14ac:dyDescent="0.25">
      <c r="R32">
        <v>58</v>
      </c>
      <c r="S32" s="35">
        <v>440</v>
      </c>
      <c r="T32">
        <f t="shared" si="0"/>
        <v>117</v>
      </c>
      <c r="AB32" s="22">
        <v>0.7</v>
      </c>
      <c r="AC32" s="7">
        <v>76</v>
      </c>
    </row>
    <row r="33" spans="1:34" x14ac:dyDescent="0.25">
      <c r="R33" s="6">
        <v>0</v>
      </c>
      <c r="S33" s="6">
        <v>478</v>
      </c>
      <c r="T33">
        <f t="shared" si="0"/>
        <v>175</v>
      </c>
      <c r="AB33" s="22">
        <v>0.7</v>
      </c>
      <c r="AC33" s="7">
        <v>81</v>
      </c>
    </row>
    <row r="34" spans="1:34" s="6" customFormat="1" x14ac:dyDescent="0.25">
      <c r="A34"/>
      <c r="B34"/>
      <c r="C34"/>
      <c r="D34"/>
      <c r="E34"/>
      <c r="F34"/>
      <c r="G34"/>
      <c r="H34"/>
      <c r="I34"/>
      <c r="J34"/>
      <c r="N34"/>
      <c r="O34"/>
      <c r="P34"/>
      <c r="Q34"/>
      <c r="R34" s="6">
        <v>0</v>
      </c>
      <c r="S34" s="35">
        <v>480</v>
      </c>
      <c r="T34">
        <f t="shared" si="0"/>
        <v>175</v>
      </c>
      <c r="U34"/>
      <c r="V34"/>
      <c r="W34"/>
      <c r="X34"/>
      <c r="Y34"/>
      <c r="Z34"/>
      <c r="AA34"/>
      <c r="AB34" s="22">
        <v>0</v>
      </c>
      <c r="AC34" s="7">
        <v>82</v>
      </c>
      <c r="AD34"/>
      <c r="AE34"/>
      <c r="AF34"/>
      <c r="AG34"/>
      <c r="AH34"/>
    </row>
    <row r="35" spans="1:34" s="6" customFormat="1" x14ac:dyDescent="0.25">
      <c r="A35"/>
      <c r="B35"/>
      <c r="C35"/>
      <c r="D35"/>
      <c r="E35"/>
      <c r="F35"/>
      <c r="G35"/>
      <c r="H35"/>
      <c r="I35"/>
      <c r="J35"/>
      <c r="N35"/>
      <c r="O35"/>
      <c r="P35"/>
      <c r="Q35"/>
      <c r="R35" s="6">
        <v>0</v>
      </c>
      <c r="S35" s="35">
        <v>504</v>
      </c>
      <c r="T35">
        <f t="shared" si="0"/>
        <v>175</v>
      </c>
      <c r="U35"/>
      <c r="V35"/>
      <c r="W35"/>
      <c r="X35"/>
      <c r="Y35"/>
      <c r="Z35"/>
      <c r="AA35"/>
      <c r="AB35" s="22">
        <v>0</v>
      </c>
      <c r="AC35" s="7">
        <v>91</v>
      </c>
      <c r="AD35"/>
      <c r="AE35"/>
      <c r="AF35"/>
      <c r="AG35"/>
      <c r="AH35"/>
    </row>
    <row r="36" spans="1:34" s="6" customFormat="1" x14ac:dyDescent="0.25">
      <c r="A36"/>
      <c r="B36"/>
      <c r="C36"/>
      <c r="D36"/>
      <c r="E36"/>
      <c r="F36"/>
      <c r="G36"/>
      <c r="H36"/>
      <c r="I36"/>
      <c r="J36"/>
      <c r="N36"/>
      <c r="O36"/>
      <c r="P36"/>
      <c r="Q36"/>
      <c r="R36" s="6">
        <v>0</v>
      </c>
      <c r="S36" s="35">
        <v>520</v>
      </c>
      <c r="T36">
        <f t="shared" si="0"/>
        <v>175</v>
      </c>
      <c r="U36"/>
      <c r="V36"/>
      <c r="W36"/>
      <c r="X36"/>
      <c r="Y36"/>
      <c r="Z36"/>
      <c r="AA36"/>
      <c r="AB36" s="25">
        <v>0.8</v>
      </c>
      <c r="AC36" s="7">
        <v>92</v>
      </c>
      <c r="AD36"/>
      <c r="AE36"/>
      <c r="AF36"/>
      <c r="AG36"/>
      <c r="AH36"/>
    </row>
    <row r="37" spans="1:34" s="6" customFormat="1" x14ac:dyDescent="0.25">
      <c r="A37"/>
      <c r="B37"/>
      <c r="C37"/>
      <c r="D37"/>
      <c r="E37"/>
      <c r="F37"/>
      <c r="G37"/>
      <c r="H37"/>
      <c r="I37"/>
      <c r="J37"/>
      <c r="N37"/>
      <c r="O37"/>
      <c r="P37"/>
      <c r="Q37"/>
      <c r="R37" s="6">
        <v>0</v>
      </c>
      <c r="S37" s="35">
        <v>560</v>
      </c>
      <c r="T37">
        <f t="shared" si="0"/>
        <v>175</v>
      </c>
      <c r="U37"/>
      <c r="V37"/>
      <c r="W37"/>
      <c r="X37"/>
      <c r="Y37"/>
      <c r="Z37"/>
      <c r="AA37"/>
      <c r="AB37" s="25">
        <v>0</v>
      </c>
      <c r="AC37" s="7">
        <v>96</v>
      </c>
      <c r="AD37"/>
      <c r="AE37"/>
      <c r="AF37"/>
      <c r="AG37"/>
      <c r="AH37"/>
    </row>
    <row r="38" spans="1:34" s="6" customFormat="1" x14ac:dyDescent="0.25">
      <c r="A38"/>
      <c r="B38"/>
      <c r="C38"/>
      <c r="D38"/>
      <c r="E38"/>
      <c r="F38"/>
      <c r="G38"/>
      <c r="H38"/>
      <c r="I38"/>
      <c r="J38"/>
      <c r="N38"/>
      <c r="O38"/>
      <c r="P38"/>
      <c r="Q38"/>
      <c r="R38" s="6">
        <v>0</v>
      </c>
      <c r="S38" s="35">
        <v>600</v>
      </c>
      <c r="T38">
        <f t="shared" si="0"/>
        <v>175</v>
      </c>
      <c r="U38"/>
      <c r="V38"/>
      <c r="W38"/>
      <c r="X38"/>
      <c r="Y38"/>
      <c r="Z38"/>
      <c r="AA38"/>
      <c r="AB38" s="25">
        <v>0</v>
      </c>
      <c r="AC38" s="7">
        <v>100</v>
      </c>
      <c r="AD38"/>
      <c r="AE38"/>
      <c r="AF38"/>
      <c r="AG38"/>
      <c r="AH38"/>
    </row>
    <row r="39" spans="1:34" s="6" customFormat="1" x14ac:dyDescent="0.25">
      <c r="A39"/>
      <c r="B39"/>
      <c r="C39"/>
      <c r="D39"/>
      <c r="E39"/>
      <c r="F39"/>
      <c r="G39"/>
      <c r="H39"/>
      <c r="I39"/>
      <c r="J39"/>
      <c r="N39"/>
      <c r="O39"/>
      <c r="P39"/>
      <c r="Q39"/>
      <c r="R39" s="6">
        <v>0</v>
      </c>
      <c r="S39" s="35">
        <v>631</v>
      </c>
      <c r="T39">
        <f t="shared" si="0"/>
        <v>175</v>
      </c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</row>
    <row r="40" spans="1:34" s="6" customFormat="1" x14ac:dyDescent="0.25">
      <c r="A40"/>
      <c r="B40"/>
      <c r="C40"/>
      <c r="D40"/>
      <c r="E40"/>
      <c r="F40"/>
      <c r="G40"/>
      <c r="H40"/>
      <c r="I40"/>
      <c r="J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</row>
    <row r="42" spans="1:34" s="6" customFormat="1" x14ac:dyDescent="0.25">
      <c r="A42" s="2">
        <v>32</v>
      </c>
      <c r="B42" s="3" t="s">
        <v>0</v>
      </c>
      <c r="C42" s="3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4"/>
      <c r="I42" s="4"/>
      <c r="J42" s="4"/>
      <c r="K42" s="3" t="s">
        <v>6</v>
      </c>
      <c r="L42" s="3" t="s">
        <v>7</v>
      </c>
      <c r="M42" s="124" t="s">
        <v>23</v>
      </c>
      <c r="N42" s="3" t="s">
        <v>8</v>
      </c>
      <c r="O42" s="3" t="s">
        <v>9</v>
      </c>
      <c r="P42" s="5"/>
      <c r="Q42" s="5"/>
      <c r="R42" s="5"/>
      <c r="S42" s="3" t="s">
        <v>10</v>
      </c>
      <c r="T42" s="3" t="s">
        <v>11</v>
      </c>
      <c r="U42" s="5"/>
      <c r="V42" s="5"/>
      <c r="W42" s="5"/>
      <c r="X42" s="3" t="s">
        <v>12</v>
      </c>
      <c r="Y42" s="3" t="s">
        <v>13</v>
      </c>
      <c r="Z42" s="3" t="s">
        <v>14</v>
      </c>
      <c r="AA42" s="3" t="s">
        <v>15</v>
      </c>
      <c r="AB42" s="3" t="s">
        <v>16</v>
      </c>
      <c r="AC42" s="3" t="s">
        <v>17</v>
      </c>
      <c r="AD42" s="5"/>
      <c r="AE42" s="3" t="s">
        <v>18</v>
      </c>
      <c r="AF42" s="3" t="s">
        <v>19</v>
      </c>
      <c r="AG42" s="3" t="s">
        <v>20</v>
      </c>
      <c r="AH42" s="3" t="s">
        <v>21</v>
      </c>
    </row>
    <row r="43" spans="1:34" s="6" customFormat="1" x14ac:dyDescent="0.25">
      <c r="B43" s="7">
        <v>15750</v>
      </c>
      <c r="C43" s="7">
        <v>25</v>
      </c>
      <c r="D43" s="7">
        <v>1000000</v>
      </c>
      <c r="E43" s="7">
        <v>10000</v>
      </c>
      <c r="F43" s="7">
        <v>100</v>
      </c>
      <c r="G43" s="7">
        <v>631</v>
      </c>
      <c r="H43" s="8"/>
      <c r="K43" s="7">
        <v>175</v>
      </c>
      <c r="L43" s="35">
        <v>1</v>
      </c>
      <c r="M43" s="37">
        <v>2641.0761195</v>
      </c>
      <c r="N43" s="7">
        <v>2.4467421297033005</v>
      </c>
      <c r="O43" s="7">
        <v>1</v>
      </c>
      <c r="P43" s="9"/>
      <c r="Q43" s="9"/>
      <c r="R43" s="9"/>
      <c r="S43" s="7">
        <v>1</v>
      </c>
      <c r="T43" s="7">
        <v>1</v>
      </c>
      <c r="U43" s="9"/>
      <c r="V43" s="9"/>
      <c r="W43" s="9"/>
      <c r="X43" s="7">
        <v>0</v>
      </c>
      <c r="Y43" s="7">
        <v>1</v>
      </c>
      <c r="Z43" s="7">
        <v>6.5616798000000003</v>
      </c>
      <c r="AA43" s="7">
        <v>1</v>
      </c>
      <c r="AB43" s="6">
        <v>1.6</v>
      </c>
      <c r="AC43" s="6">
        <v>1</v>
      </c>
      <c r="AD43" s="9"/>
      <c r="AE43" s="7">
        <v>0.32808399000000005</v>
      </c>
      <c r="AF43" s="7">
        <v>1</v>
      </c>
      <c r="AG43" s="7">
        <v>1</v>
      </c>
      <c r="AH43" s="7">
        <v>1</v>
      </c>
    </row>
    <row r="44" spans="1:34" s="6" customFormat="1" x14ac:dyDescent="0.25">
      <c r="B44" s="7"/>
      <c r="C44" s="7"/>
      <c r="D44" s="7"/>
      <c r="E44" s="7"/>
      <c r="F44" s="7"/>
      <c r="G44" s="7"/>
      <c r="H44" s="8"/>
      <c r="K44" s="7">
        <v>175</v>
      </c>
      <c r="L44" s="35">
        <v>40</v>
      </c>
      <c r="M44" s="37"/>
      <c r="N44" s="7">
        <v>2.2099606332803998</v>
      </c>
      <c r="O44">
        <v>52</v>
      </c>
      <c r="P44"/>
      <c r="Q44"/>
      <c r="R44" s="9"/>
      <c r="S44" s="7">
        <v>1</v>
      </c>
      <c r="T44" s="7">
        <v>100</v>
      </c>
      <c r="U44" s="9"/>
      <c r="V44" s="9"/>
      <c r="W44" s="9"/>
      <c r="X44" s="7">
        <v>0</v>
      </c>
      <c r="Y44" s="7">
        <v>631</v>
      </c>
      <c r="Z44" s="7">
        <v>6.5616798000000003</v>
      </c>
      <c r="AA44" s="7">
        <v>631</v>
      </c>
      <c r="AB44" s="13">
        <v>1</v>
      </c>
      <c r="AC44" s="7">
        <v>4</v>
      </c>
      <c r="AD44" s="9"/>
      <c r="AE44" s="7">
        <v>0.32808399000000005</v>
      </c>
      <c r="AF44" s="7">
        <v>631</v>
      </c>
      <c r="AG44" s="7">
        <v>1</v>
      </c>
      <c r="AH44" s="7">
        <v>100</v>
      </c>
    </row>
    <row r="45" spans="1:34" s="6" customFormat="1" x14ac:dyDescent="0.25">
      <c r="B45" s="7"/>
      <c r="C45" s="7"/>
      <c r="D45" s="7"/>
      <c r="E45" s="7"/>
      <c r="F45" s="7"/>
      <c r="G45" s="7"/>
      <c r="H45" s="8"/>
      <c r="K45" s="7">
        <v>175</v>
      </c>
      <c r="L45" s="35">
        <v>80</v>
      </c>
      <c r="M45" s="37"/>
      <c r="N45" s="7">
        <v>1.9994881920156</v>
      </c>
      <c r="O45">
        <v>105</v>
      </c>
      <c r="P45"/>
      <c r="Q45"/>
      <c r="R45" s="9"/>
      <c r="S45" s="7"/>
      <c r="T45" s="7"/>
      <c r="U45" s="9"/>
      <c r="V45" s="9"/>
      <c r="W45" s="9"/>
      <c r="X45" s="7"/>
      <c r="Y45" s="7"/>
      <c r="Z45" s="7"/>
      <c r="AA45" s="7"/>
      <c r="AB45" s="13">
        <v>0</v>
      </c>
      <c r="AC45" s="7">
        <v>5</v>
      </c>
      <c r="AD45" s="9"/>
      <c r="AE45" s="45"/>
      <c r="AF45" s="7"/>
      <c r="AG45" s="7"/>
      <c r="AH45" s="7"/>
    </row>
    <row r="46" spans="1:34" s="6" customFormat="1" x14ac:dyDescent="0.25">
      <c r="B46" s="7"/>
      <c r="C46" s="7"/>
      <c r="D46" s="7"/>
      <c r="E46" s="7"/>
      <c r="F46" s="7"/>
      <c r="G46" s="7"/>
      <c r="H46" s="8"/>
      <c r="K46" s="7">
        <v>175</v>
      </c>
      <c r="L46" s="35">
        <v>120</v>
      </c>
      <c r="M46" s="37"/>
      <c r="N46" s="7">
        <v>1.6048523646441002</v>
      </c>
      <c r="O46">
        <v>158</v>
      </c>
      <c r="P46"/>
      <c r="Q46"/>
      <c r="R46" s="9"/>
      <c r="S46" s="7"/>
      <c r="T46" s="7"/>
      <c r="U46" s="9"/>
      <c r="V46" s="9"/>
      <c r="W46" s="9"/>
      <c r="X46" s="7"/>
      <c r="Y46" s="7"/>
      <c r="Z46" s="7"/>
      <c r="AA46" s="7"/>
      <c r="AB46" s="6">
        <v>0</v>
      </c>
      <c r="AC46" s="6">
        <v>6</v>
      </c>
      <c r="AD46" s="9"/>
      <c r="AE46" s="7"/>
      <c r="AF46" s="7"/>
      <c r="AG46" s="7"/>
      <c r="AH46" s="7"/>
    </row>
    <row r="47" spans="1:34" s="6" customFormat="1" x14ac:dyDescent="0.25">
      <c r="B47" s="7"/>
      <c r="C47" s="7"/>
      <c r="D47" s="7"/>
      <c r="E47" s="7"/>
      <c r="F47" s="7"/>
      <c r="G47" s="7"/>
      <c r="H47" s="8"/>
      <c r="K47" s="7">
        <v>175</v>
      </c>
      <c r="L47" s="35">
        <v>122</v>
      </c>
      <c r="M47" s="9"/>
      <c r="N47" s="7">
        <v>0.99974409600780001</v>
      </c>
      <c r="O47">
        <v>210</v>
      </c>
      <c r="P47"/>
      <c r="Q47"/>
      <c r="R47" s="9"/>
      <c r="S47" s="7"/>
      <c r="T47" s="7"/>
      <c r="U47" s="9"/>
      <c r="V47" s="9"/>
      <c r="W47" s="9"/>
      <c r="X47" s="7"/>
      <c r="Y47" s="7"/>
      <c r="Z47" s="7"/>
      <c r="AA47" s="7"/>
      <c r="AB47" s="6">
        <v>2.75</v>
      </c>
      <c r="AC47" s="6">
        <v>7</v>
      </c>
      <c r="AD47" s="9"/>
      <c r="AE47" s="7"/>
      <c r="AF47" s="7"/>
      <c r="AG47" s="7"/>
      <c r="AH47" s="7"/>
    </row>
    <row r="48" spans="1:34" s="6" customFormat="1" x14ac:dyDescent="0.25">
      <c r="B48" s="9"/>
      <c r="C48" s="9"/>
      <c r="D48" s="9"/>
      <c r="E48" s="9"/>
      <c r="F48" s="9"/>
      <c r="G48" s="9"/>
      <c r="H48" s="8"/>
      <c r="K48" s="7">
        <v>115</v>
      </c>
      <c r="L48" s="35">
        <v>160</v>
      </c>
      <c r="M48" s="9"/>
      <c r="N48" s="7">
        <v>0.44725393768770011</v>
      </c>
      <c r="O48">
        <v>263</v>
      </c>
      <c r="P48"/>
      <c r="Q48"/>
      <c r="R48" s="9"/>
      <c r="S48" s="7"/>
      <c r="T48" s="7"/>
      <c r="U48" s="9"/>
      <c r="V48" s="9"/>
      <c r="W48" s="9"/>
      <c r="X48" s="7"/>
      <c r="Y48" s="7"/>
      <c r="Z48" s="7"/>
      <c r="AA48" s="7"/>
      <c r="AB48" s="6">
        <v>0</v>
      </c>
      <c r="AC48" s="6">
        <v>8</v>
      </c>
      <c r="AD48" s="9"/>
      <c r="AE48" s="7"/>
      <c r="AF48" s="7"/>
      <c r="AG48" s="7"/>
      <c r="AH48" s="7"/>
    </row>
    <row r="49" spans="2:29" x14ac:dyDescent="0.25">
      <c r="K49" s="7">
        <v>90</v>
      </c>
      <c r="L49" s="35">
        <v>200</v>
      </c>
      <c r="N49" s="7">
        <v>5.2618110316200013E-2</v>
      </c>
      <c r="O49">
        <v>315</v>
      </c>
      <c r="AB49" s="6">
        <v>0</v>
      </c>
      <c r="AC49" s="6">
        <v>9</v>
      </c>
    </row>
    <row r="50" spans="2:29" ht="15.75" x14ac:dyDescent="0.25">
      <c r="B50" t="s">
        <v>57</v>
      </c>
      <c r="C50" s="44">
        <v>3.2808399000000001</v>
      </c>
      <c r="K50" s="35">
        <v>70</v>
      </c>
      <c r="L50" s="35">
        <v>240</v>
      </c>
      <c r="N50" s="7">
        <v>0</v>
      </c>
      <c r="O50">
        <v>336</v>
      </c>
      <c r="AB50" s="6">
        <v>1.75</v>
      </c>
      <c r="AC50" s="6">
        <v>10</v>
      </c>
    </row>
    <row r="51" spans="2:29" x14ac:dyDescent="0.25">
      <c r="K51" s="35">
        <v>0</v>
      </c>
      <c r="L51" s="35">
        <v>280</v>
      </c>
      <c r="N51" s="7">
        <v>9.2081693053350025E-2</v>
      </c>
      <c r="O51">
        <v>368</v>
      </c>
      <c r="AB51" s="6">
        <v>0</v>
      </c>
      <c r="AC51" s="6">
        <v>12</v>
      </c>
    </row>
    <row r="52" spans="2:29" x14ac:dyDescent="0.25">
      <c r="K52" s="35">
        <v>6</v>
      </c>
      <c r="L52" s="35">
        <v>320</v>
      </c>
      <c r="N52" s="7">
        <v>0.44725393768770011</v>
      </c>
      <c r="O52">
        <v>420</v>
      </c>
      <c r="AB52" s="6">
        <v>0</v>
      </c>
      <c r="AC52" s="6">
        <v>100</v>
      </c>
    </row>
    <row r="53" spans="2:29" x14ac:dyDescent="0.25">
      <c r="K53" s="35">
        <v>12</v>
      </c>
      <c r="L53" s="35">
        <v>360</v>
      </c>
      <c r="N53" s="7">
        <v>1.1049803166401999</v>
      </c>
      <c r="O53">
        <v>473</v>
      </c>
    </row>
    <row r="54" spans="2:29" x14ac:dyDescent="0.25">
      <c r="K54" s="35">
        <v>40</v>
      </c>
      <c r="L54" s="35">
        <v>400</v>
      </c>
      <c r="N54" s="7">
        <v>1.9731791368575</v>
      </c>
      <c r="O54">
        <v>525</v>
      </c>
    </row>
    <row r="55" spans="2:29" x14ac:dyDescent="0.25">
      <c r="K55" s="35">
        <v>117</v>
      </c>
      <c r="L55" s="35">
        <v>440</v>
      </c>
      <c r="N55" s="7">
        <v>2.4993602400195001</v>
      </c>
      <c r="O55">
        <v>578</v>
      </c>
      <c r="Z55" t="s">
        <v>206</v>
      </c>
      <c r="AA55" t="s">
        <v>207</v>
      </c>
      <c r="AB55" s="9"/>
      <c r="AC55" s="9"/>
    </row>
    <row r="56" spans="2:29" x14ac:dyDescent="0.25">
      <c r="K56" s="35">
        <v>175</v>
      </c>
      <c r="L56" s="35">
        <v>478</v>
      </c>
      <c r="N56" s="7">
        <v>2.6309055158100003</v>
      </c>
      <c r="O56">
        <v>631</v>
      </c>
      <c r="Z56">
        <v>1.4400000000000002</v>
      </c>
      <c r="AA56">
        <v>1.4560000000000002</v>
      </c>
      <c r="AB56" s="6">
        <v>1.7</v>
      </c>
      <c r="AC56" s="6">
        <v>1</v>
      </c>
    </row>
    <row r="57" spans="2:29" x14ac:dyDescent="0.25">
      <c r="K57" s="35">
        <v>175</v>
      </c>
      <c r="L57" s="35">
        <v>480</v>
      </c>
      <c r="Z57">
        <v>0.9</v>
      </c>
      <c r="AA57">
        <v>0.91</v>
      </c>
      <c r="AB57" s="6">
        <f>SUM(AB44*0.9)</f>
        <v>0.9</v>
      </c>
      <c r="AC57" s="7">
        <v>3</v>
      </c>
    </row>
    <row r="58" spans="2:29" x14ac:dyDescent="0.25">
      <c r="K58" s="35">
        <v>175</v>
      </c>
      <c r="L58" s="35">
        <v>506</v>
      </c>
      <c r="Z58">
        <v>0</v>
      </c>
      <c r="AA58">
        <v>0</v>
      </c>
      <c r="AB58" s="6">
        <f>SUM(AB45*0.71)</f>
        <v>0</v>
      </c>
      <c r="AC58" s="7">
        <v>5</v>
      </c>
    </row>
    <row r="59" spans="2:29" x14ac:dyDescent="0.25">
      <c r="K59" s="35">
        <v>175</v>
      </c>
      <c r="L59" s="35">
        <v>520</v>
      </c>
      <c r="Z59">
        <v>1.9249999999999998</v>
      </c>
      <c r="AA59">
        <v>1.9524999999999999</v>
      </c>
      <c r="AB59" s="6">
        <f>SUM(AB47*0.7)</f>
        <v>1.9249999999999998</v>
      </c>
      <c r="AC59" s="6">
        <v>6</v>
      </c>
    </row>
    <row r="60" spans="2:29" x14ac:dyDescent="0.25">
      <c r="K60" s="35">
        <v>175</v>
      </c>
      <c r="L60" s="35">
        <v>560</v>
      </c>
      <c r="Z60">
        <v>0</v>
      </c>
      <c r="AA60">
        <v>0</v>
      </c>
      <c r="AB60" s="6">
        <f>SUM(AB48*0.7)</f>
        <v>0</v>
      </c>
      <c r="AC60" s="6">
        <v>7</v>
      </c>
    </row>
    <row r="61" spans="2:29" x14ac:dyDescent="0.25">
      <c r="K61" s="35">
        <v>175</v>
      </c>
      <c r="L61" s="35">
        <v>600</v>
      </c>
      <c r="Z61">
        <v>1.2249999999999999</v>
      </c>
      <c r="AA61">
        <v>1.2424999999999999</v>
      </c>
      <c r="AB61" s="6">
        <f>SUM(AB50*0.7)</f>
        <v>1.2249999999999999</v>
      </c>
      <c r="AC61" s="6">
        <v>8</v>
      </c>
    </row>
    <row r="62" spans="2:29" x14ac:dyDescent="0.25">
      <c r="K62">
        <v>175</v>
      </c>
      <c r="L62">
        <v>631</v>
      </c>
      <c r="Z62">
        <v>0</v>
      </c>
      <c r="AA62">
        <v>0</v>
      </c>
      <c r="AB62" s="6">
        <f>SUM(AB51*0.7)</f>
        <v>0</v>
      </c>
      <c r="AC62" s="6">
        <v>10</v>
      </c>
    </row>
    <row r="63" spans="2:29" x14ac:dyDescent="0.25">
      <c r="T63" s="42"/>
      <c r="U63" s="42"/>
      <c r="V63" s="42"/>
      <c r="Z63">
        <v>0</v>
      </c>
      <c r="AA63">
        <v>0</v>
      </c>
      <c r="AB63" s="6">
        <f>SUM(AB52*0.7)</f>
        <v>0</v>
      </c>
      <c r="AC63" s="6">
        <v>100</v>
      </c>
    </row>
    <row r="65" spans="1:34" x14ac:dyDescent="0.25">
      <c r="K65">
        <v>0</v>
      </c>
      <c r="L65" s="35">
        <v>1</v>
      </c>
      <c r="M65">
        <f t="shared" ref="M65:M82" si="1">+SUM(175-K65)</f>
        <v>175</v>
      </c>
      <c r="Z65" s="6" t="s">
        <v>208</v>
      </c>
      <c r="AA65" t="s">
        <v>209</v>
      </c>
    </row>
    <row r="66" spans="1:34" x14ac:dyDescent="0.25">
      <c r="K66">
        <v>0</v>
      </c>
      <c r="L66" s="35">
        <v>40</v>
      </c>
      <c r="M66">
        <f t="shared" si="1"/>
        <v>175</v>
      </c>
      <c r="Z66" s="6">
        <v>1.6</v>
      </c>
      <c r="AA66">
        <v>1.7</v>
      </c>
      <c r="AC66" s="6"/>
    </row>
    <row r="67" spans="1:34" x14ac:dyDescent="0.25">
      <c r="K67">
        <v>0</v>
      </c>
      <c r="L67" s="35">
        <v>80</v>
      </c>
      <c r="M67">
        <f t="shared" si="1"/>
        <v>175</v>
      </c>
      <c r="Z67" s="30">
        <v>0.9</v>
      </c>
      <c r="AA67">
        <v>0.9</v>
      </c>
      <c r="AC67" s="6"/>
    </row>
    <row r="68" spans="1:34" x14ac:dyDescent="0.25">
      <c r="K68">
        <v>0</v>
      </c>
      <c r="L68" s="35">
        <v>120</v>
      </c>
      <c r="M68">
        <f t="shared" si="1"/>
        <v>175</v>
      </c>
      <c r="Z68" s="30">
        <v>0</v>
      </c>
      <c r="AA68">
        <v>0</v>
      </c>
      <c r="AC68" s="9"/>
    </row>
    <row r="69" spans="1:34" x14ac:dyDescent="0.25">
      <c r="K69">
        <v>0</v>
      </c>
      <c r="L69" s="42">
        <v>122</v>
      </c>
      <c r="M69">
        <f t="shared" si="1"/>
        <v>175</v>
      </c>
      <c r="Z69" s="30">
        <v>1.9249999999999998</v>
      </c>
      <c r="AA69">
        <v>1.9249999999999998</v>
      </c>
      <c r="AC69" s="9"/>
    </row>
    <row r="70" spans="1:34" x14ac:dyDescent="0.25">
      <c r="K70">
        <v>60</v>
      </c>
      <c r="L70" s="35">
        <v>160</v>
      </c>
      <c r="M70">
        <f t="shared" si="1"/>
        <v>115</v>
      </c>
      <c r="Z70" s="30">
        <v>0</v>
      </c>
      <c r="AA70">
        <v>0</v>
      </c>
      <c r="AC70" s="9"/>
    </row>
    <row r="71" spans="1:34" x14ac:dyDescent="0.25">
      <c r="K71">
        <v>85</v>
      </c>
      <c r="L71" s="35">
        <v>200</v>
      </c>
      <c r="M71">
        <f t="shared" si="1"/>
        <v>90</v>
      </c>
      <c r="Z71" s="30">
        <v>1.2249999999999999</v>
      </c>
      <c r="AA71">
        <v>1.2249999999999999</v>
      </c>
      <c r="AC71" s="9"/>
    </row>
    <row r="72" spans="1:34" x14ac:dyDescent="0.25">
      <c r="K72">
        <v>105</v>
      </c>
      <c r="L72" s="35">
        <v>240</v>
      </c>
      <c r="M72">
        <f t="shared" si="1"/>
        <v>70</v>
      </c>
      <c r="R72" s="6"/>
      <c r="Z72" s="30">
        <v>0</v>
      </c>
      <c r="AA72">
        <v>0</v>
      </c>
      <c r="AC72" s="7"/>
    </row>
    <row r="73" spans="1:34" s="6" customFormat="1" x14ac:dyDescent="0.25">
      <c r="A73"/>
      <c r="B73"/>
      <c r="C73"/>
      <c r="D73"/>
      <c r="E73"/>
      <c r="F73"/>
      <c r="G73"/>
      <c r="H73"/>
      <c r="I73"/>
      <c r="J73"/>
      <c r="K73">
        <v>175</v>
      </c>
      <c r="L73" s="35">
        <v>280</v>
      </c>
      <c r="M73">
        <f t="shared" si="1"/>
        <v>0</v>
      </c>
      <c r="N73"/>
      <c r="O73"/>
      <c r="P73"/>
      <c r="Q73"/>
      <c r="S73"/>
      <c r="T73"/>
      <c r="U73"/>
      <c r="V73"/>
      <c r="W73"/>
      <c r="X73"/>
      <c r="Y73"/>
      <c r="Z73" s="30">
        <v>0</v>
      </c>
      <c r="AA73">
        <v>0</v>
      </c>
      <c r="AC73" s="7"/>
      <c r="AD73"/>
      <c r="AE73"/>
      <c r="AF73"/>
      <c r="AG73"/>
      <c r="AH73"/>
    </row>
    <row r="74" spans="1:34" s="6" customFormat="1" x14ac:dyDescent="0.25">
      <c r="A74"/>
      <c r="B74"/>
      <c r="C74"/>
      <c r="D74"/>
      <c r="E74"/>
      <c r="F74"/>
      <c r="G74"/>
      <c r="H74"/>
      <c r="I74"/>
      <c r="J74"/>
      <c r="K74">
        <v>169</v>
      </c>
      <c r="L74" s="35">
        <v>320</v>
      </c>
      <c r="M74">
        <f t="shared" si="1"/>
        <v>6</v>
      </c>
      <c r="N74"/>
      <c r="O74"/>
      <c r="P74"/>
      <c r="Q74"/>
      <c r="S74"/>
      <c r="T74"/>
      <c r="U74"/>
      <c r="V74"/>
      <c r="W74"/>
      <c r="X74"/>
      <c r="Y74"/>
      <c r="Z74"/>
      <c r="AA74"/>
      <c r="AC74" s="7"/>
      <c r="AD74"/>
      <c r="AE74"/>
      <c r="AF74"/>
      <c r="AG74"/>
      <c r="AH74"/>
    </row>
    <row r="75" spans="1:34" s="6" customFormat="1" x14ac:dyDescent="0.25">
      <c r="A75"/>
      <c r="B75"/>
      <c r="C75"/>
      <c r="D75"/>
      <c r="E75"/>
      <c r="F75"/>
      <c r="G75"/>
      <c r="H75"/>
      <c r="I75"/>
      <c r="J75"/>
      <c r="K75">
        <v>163</v>
      </c>
      <c r="L75" s="35">
        <v>360</v>
      </c>
      <c r="M75">
        <f t="shared" si="1"/>
        <v>12</v>
      </c>
      <c r="N75"/>
      <c r="O75"/>
      <c r="P75"/>
      <c r="Q75"/>
      <c r="S75"/>
      <c r="T75"/>
      <c r="U75"/>
      <c r="V75"/>
      <c r="W75"/>
      <c r="X75"/>
      <c r="Y75"/>
      <c r="Z75"/>
      <c r="AA75"/>
      <c r="AB75" s="30"/>
      <c r="AC75" s="9"/>
      <c r="AD75"/>
      <c r="AE75"/>
      <c r="AF75"/>
      <c r="AG75"/>
      <c r="AH75"/>
    </row>
    <row r="76" spans="1:34" s="6" customFormat="1" x14ac:dyDescent="0.25">
      <c r="A76"/>
      <c r="B76"/>
      <c r="C76"/>
      <c r="D76"/>
      <c r="E76"/>
      <c r="F76"/>
      <c r="G76"/>
      <c r="H76"/>
      <c r="I76"/>
      <c r="J76"/>
      <c r="K76">
        <v>138</v>
      </c>
      <c r="L76" s="35">
        <v>400</v>
      </c>
      <c r="M76">
        <f t="shared" si="1"/>
        <v>37</v>
      </c>
      <c r="N76"/>
      <c r="O76"/>
      <c r="P76"/>
      <c r="Q76"/>
      <c r="S76"/>
      <c r="T76"/>
      <c r="U76"/>
      <c r="V76"/>
      <c r="W76"/>
      <c r="X76"/>
      <c r="Y76"/>
      <c r="Z76"/>
      <c r="AA76"/>
      <c r="AB76" s="30"/>
      <c r="AC76" s="9"/>
      <c r="AD76"/>
      <c r="AE76"/>
      <c r="AF76"/>
      <c r="AG76"/>
      <c r="AH76"/>
    </row>
    <row r="77" spans="1:34" s="6" customFormat="1" x14ac:dyDescent="0.25">
      <c r="A77"/>
      <c r="B77"/>
      <c r="C77"/>
      <c r="D77"/>
      <c r="E77"/>
      <c r="F77"/>
      <c r="G77"/>
      <c r="H77"/>
      <c r="I77"/>
      <c r="J77"/>
      <c r="K77">
        <v>90</v>
      </c>
      <c r="L77" s="35">
        <v>440</v>
      </c>
      <c r="M77">
        <f t="shared" si="1"/>
        <v>85</v>
      </c>
      <c r="N77"/>
      <c r="O77"/>
      <c r="P77"/>
      <c r="Q77"/>
      <c r="S77"/>
      <c r="T77"/>
      <c r="U77"/>
      <c r="V77"/>
      <c r="W77"/>
      <c r="X77"/>
      <c r="Y77"/>
      <c r="Z77"/>
      <c r="AA77"/>
      <c r="AB77" s="30"/>
      <c r="AC77" s="9"/>
      <c r="AD77"/>
      <c r="AE77"/>
      <c r="AF77"/>
      <c r="AG77"/>
      <c r="AH77"/>
    </row>
    <row r="78" spans="1:34" s="6" customFormat="1" x14ac:dyDescent="0.25">
      <c r="A78"/>
      <c r="B78"/>
      <c r="C78"/>
      <c r="D78"/>
      <c r="E78"/>
      <c r="F78"/>
      <c r="G78"/>
      <c r="H78"/>
      <c r="I78"/>
      <c r="J78"/>
      <c r="K78" s="6">
        <v>57</v>
      </c>
      <c r="L78" s="6">
        <v>480</v>
      </c>
      <c r="M78">
        <f t="shared" si="1"/>
        <v>118</v>
      </c>
      <c r="N78"/>
      <c r="O78"/>
      <c r="P78"/>
      <c r="Q78"/>
      <c r="S78"/>
      <c r="T78"/>
      <c r="U78"/>
      <c r="V78"/>
      <c r="W78"/>
      <c r="X78"/>
      <c r="Y78"/>
      <c r="Z78"/>
      <c r="AA78"/>
      <c r="AB78" s="30"/>
      <c r="AC78" s="9"/>
      <c r="AD78"/>
      <c r="AE78"/>
      <c r="AF78"/>
      <c r="AG78"/>
      <c r="AH78"/>
    </row>
    <row r="79" spans="1:34" x14ac:dyDescent="0.25">
      <c r="K79" s="6">
        <v>0</v>
      </c>
      <c r="L79" s="35">
        <v>520</v>
      </c>
      <c r="M79">
        <f t="shared" si="1"/>
        <v>175</v>
      </c>
      <c r="AB79" s="30"/>
      <c r="AC79" s="7"/>
    </row>
    <row r="80" spans="1:34" x14ac:dyDescent="0.25">
      <c r="K80" s="6">
        <v>0</v>
      </c>
      <c r="L80" s="35">
        <v>560</v>
      </c>
      <c r="M80">
        <f t="shared" si="1"/>
        <v>175</v>
      </c>
      <c r="AB80" s="30"/>
      <c r="AC80" s="7"/>
    </row>
    <row r="81" spans="1:34" x14ac:dyDescent="0.25">
      <c r="K81" s="6">
        <v>0</v>
      </c>
      <c r="L81" s="35">
        <v>600</v>
      </c>
      <c r="M81">
        <f t="shared" si="1"/>
        <v>175</v>
      </c>
      <c r="AB81" s="30"/>
      <c r="AC81" s="7"/>
    </row>
    <row r="82" spans="1:34" x14ac:dyDescent="0.25">
      <c r="K82" s="6">
        <v>0</v>
      </c>
      <c r="L82" s="35">
        <v>631</v>
      </c>
      <c r="M82">
        <f t="shared" si="1"/>
        <v>175</v>
      </c>
      <c r="AB82" s="30"/>
      <c r="AC82" s="7"/>
    </row>
    <row r="83" spans="1:34" x14ac:dyDescent="0.25">
      <c r="AB83" s="30"/>
      <c r="AC83" s="7"/>
    </row>
    <row r="84" spans="1:34" x14ac:dyDescent="0.25">
      <c r="AB84" s="30"/>
      <c r="AC84" s="7"/>
    </row>
    <row r="85" spans="1:34" x14ac:dyDescent="0.25">
      <c r="AB85" s="30"/>
      <c r="AC85" s="7"/>
    </row>
    <row r="86" spans="1:34" x14ac:dyDescent="0.25">
      <c r="AB86" s="30"/>
      <c r="AC86" s="7"/>
    </row>
    <row r="87" spans="1:34" x14ac:dyDescent="0.25">
      <c r="AB87" s="30"/>
      <c r="AC87" s="7"/>
    </row>
    <row r="89" spans="1:34" s="6" customFormat="1" x14ac:dyDescent="0.25">
      <c r="A89" s="2">
        <v>34</v>
      </c>
      <c r="B89" s="3" t="s">
        <v>0</v>
      </c>
      <c r="C89" s="3" t="s">
        <v>1</v>
      </c>
      <c r="D89" s="3" t="s">
        <v>2</v>
      </c>
      <c r="E89" s="3" t="s">
        <v>3</v>
      </c>
      <c r="F89" s="3" t="s">
        <v>4</v>
      </c>
      <c r="G89" s="3" t="s">
        <v>5</v>
      </c>
      <c r="H89" s="4"/>
      <c r="I89" s="4"/>
      <c r="J89" s="4"/>
      <c r="K89" s="3" t="s">
        <v>6</v>
      </c>
      <c r="L89" s="3" t="s">
        <v>7</v>
      </c>
      <c r="M89" s="124" t="s">
        <v>23</v>
      </c>
      <c r="N89" s="3" t="s">
        <v>8</v>
      </c>
      <c r="O89" s="3" t="s">
        <v>9</v>
      </c>
      <c r="P89" s="3" t="s">
        <v>210</v>
      </c>
      <c r="Q89" s="3" t="s">
        <v>9</v>
      </c>
      <c r="R89" s="5"/>
      <c r="S89" s="3" t="s">
        <v>211</v>
      </c>
      <c r="T89" s="3" t="s">
        <v>212</v>
      </c>
      <c r="U89" s="3" t="s">
        <v>213</v>
      </c>
      <c r="V89" s="3" t="s">
        <v>212</v>
      </c>
      <c r="W89" s="5"/>
      <c r="X89" s="3" t="s">
        <v>12</v>
      </c>
      <c r="Y89" s="3" t="s">
        <v>13</v>
      </c>
      <c r="Z89" s="3" t="s">
        <v>14</v>
      </c>
      <c r="AA89" s="3" t="s">
        <v>15</v>
      </c>
      <c r="AB89" s="3" t="s">
        <v>16</v>
      </c>
      <c r="AC89" s="3" t="s">
        <v>17</v>
      </c>
      <c r="AD89" s="5"/>
      <c r="AE89" s="3" t="s">
        <v>18</v>
      </c>
      <c r="AF89" s="3" t="s">
        <v>19</v>
      </c>
      <c r="AG89" s="3" t="s">
        <v>20</v>
      </c>
      <c r="AH89" s="3" t="s">
        <v>21</v>
      </c>
    </row>
    <row r="90" spans="1:34" s="6" customFormat="1" x14ac:dyDescent="0.25">
      <c r="B90" s="7">
        <v>15750</v>
      </c>
      <c r="C90" s="7">
        <v>25</v>
      </c>
      <c r="D90" s="7">
        <v>1000000</v>
      </c>
      <c r="E90" s="7">
        <v>10000</v>
      </c>
      <c r="F90" s="7">
        <v>100</v>
      </c>
      <c r="G90" s="7">
        <v>631</v>
      </c>
      <c r="H90" s="8"/>
      <c r="K90" s="7">
        <v>175</v>
      </c>
      <c r="L90" s="35">
        <v>1</v>
      </c>
      <c r="M90" s="125">
        <v>2641.0761195</v>
      </c>
      <c r="N90" s="126">
        <v>2.298139919</v>
      </c>
      <c r="O90" s="126">
        <v>1</v>
      </c>
      <c r="P90" s="126">
        <v>2.5576945449999999</v>
      </c>
      <c r="Q90" s="126">
        <v>1</v>
      </c>
      <c r="R90" s="9"/>
      <c r="S90" s="127" t="s">
        <v>174</v>
      </c>
      <c r="T90" s="127" t="s">
        <v>77</v>
      </c>
      <c r="U90" s="127" t="s">
        <v>175</v>
      </c>
      <c r="V90" s="127" t="s">
        <v>77</v>
      </c>
      <c r="W90" s="9"/>
      <c r="X90" s="7">
        <v>0</v>
      </c>
      <c r="Y90" s="7">
        <v>1</v>
      </c>
      <c r="Z90" s="7">
        <v>6.5616798000000003</v>
      </c>
      <c r="AA90" s="36">
        <v>1</v>
      </c>
      <c r="AB90">
        <v>1.4400000000000002</v>
      </c>
      <c r="AC90">
        <v>1</v>
      </c>
      <c r="AD90" s="9"/>
      <c r="AE90" s="7">
        <v>0.32808399000000005</v>
      </c>
      <c r="AF90" s="7">
        <v>1</v>
      </c>
      <c r="AG90" s="7">
        <v>1</v>
      </c>
      <c r="AH90" s="7">
        <v>1</v>
      </c>
    </row>
    <row r="91" spans="1:34" s="6" customFormat="1" x14ac:dyDescent="0.25">
      <c r="B91" s="7"/>
      <c r="C91" s="7"/>
      <c r="D91" s="7"/>
      <c r="E91" s="7"/>
      <c r="F91" s="7"/>
      <c r="G91" s="7"/>
      <c r="H91" s="8"/>
      <c r="K91" s="7">
        <v>175</v>
      </c>
      <c r="L91" s="35">
        <v>40</v>
      </c>
      <c r="M91" s="125"/>
      <c r="N91" s="126">
        <v>1.737714022</v>
      </c>
      <c r="O91" s="127">
        <v>40</v>
      </c>
      <c r="P91" s="127">
        <v>2.2286142849999999</v>
      </c>
      <c r="Q91" s="127">
        <v>40</v>
      </c>
      <c r="R91" s="9"/>
      <c r="S91" s="127">
        <v>1</v>
      </c>
      <c r="T91" s="127">
        <v>1</v>
      </c>
      <c r="U91" s="127">
        <v>0</v>
      </c>
      <c r="V91" s="127">
        <v>1</v>
      </c>
      <c r="W91" s="9"/>
      <c r="X91" s="7">
        <v>0</v>
      </c>
      <c r="Y91" s="7">
        <v>631</v>
      </c>
      <c r="Z91" s="7">
        <v>6.5616798000000003</v>
      </c>
      <c r="AA91" s="36">
        <v>631</v>
      </c>
      <c r="AB91">
        <v>0.9</v>
      </c>
      <c r="AC91">
        <v>4</v>
      </c>
      <c r="AD91" s="9"/>
      <c r="AE91" s="7">
        <v>0.32808399000000005</v>
      </c>
      <c r="AF91" s="7">
        <v>631</v>
      </c>
      <c r="AG91" s="7">
        <v>1</v>
      </c>
      <c r="AH91" s="7">
        <v>100</v>
      </c>
    </row>
    <row r="92" spans="1:34" s="6" customFormat="1" x14ac:dyDescent="0.25">
      <c r="B92" s="7"/>
      <c r="C92" s="7"/>
      <c r="D92" s="7"/>
      <c r="E92" s="7"/>
      <c r="F92" s="7"/>
      <c r="G92" s="7"/>
      <c r="H92" s="8"/>
      <c r="K92" s="7">
        <v>175</v>
      </c>
      <c r="L92" s="35">
        <v>80</v>
      </c>
      <c r="M92" s="125"/>
      <c r="N92" s="126">
        <v>1.8742111960000001</v>
      </c>
      <c r="O92" s="127">
        <v>80</v>
      </c>
      <c r="P92" s="127">
        <v>2.1157849240000002</v>
      </c>
      <c r="Q92" s="127">
        <v>80</v>
      </c>
      <c r="R92" s="9"/>
      <c r="S92" s="127">
        <v>1</v>
      </c>
      <c r="T92" s="127">
        <v>20</v>
      </c>
      <c r="U92" s="127">
        <v>0</v>
      </c>
      <c r="V92" s="127">
        <v>20</v>
      </c>
      <c r="W92" s="9"/>
      <c r="X92" s="7"/>
      <c r="Y92" s="7"/>
      <c r="Z92" s="7"/>
      <c r="AA92" s="36"/>
      <c r="AB92">
        <v>0</v>
      </c>
      <c r="AC92">
        <v>5</v>
      </c>
      <c r="AD92" s="9"/>
      <c r="AE92" s="45"/>
      <c r="AF92" s="7"/>
      <c r="AG92" s="7"/>
      <c r="AH92" s="7"/>
    </row>
    <row r="93" spans="1:34" s="6" customFormat="1" x14ac:dyDescent="0.25">
      <c r="B93" s="7"/>
      <c r="C93" s="7"/>
      <c r="D93" s="7"/>
      <c r="E93" s="7"/>
      <c r="F93" s="7"/>
      <c r="G93" s="7"/>
      <c r="H93" s="8"/>
      <c r="K93" s="7">
        <v>175</v>
      </c>
      <c r="L93" s="35">
        <v>120</v>
      </c>
      <c r="M93" s="125"/>
      <c r="N93" s="126">
        <v>1.643215979</v>
      </c>
      <c r="O93" s="127">
        <v>120</v>
      </c>
      <c r="P93" s="127">
        <v>1.9102695199999999</v>
      </c>
      <c r="Q93" s="127">
        <v>120</v>
      </c>
      <c r="R93" s="9"/>
      <c r="S93" s="127">
        <v>0</v>
      </c>
      <c r="T93" s="127">
        <v>40</v>
      </c>
      <c r="U93" s="127">
        <v>1</v>
      </c>
      <c r="V93" s="127">
        <v>40</v>
      </c>
      <c r="W93" s="9"/>
      <c r="X93" s="7"/>
      <c r="Y93" s="7"/>
      <c r="Z93" s="7"/>
      <c r="AA93" s="36"/>
      <c r="AB93">
        <v>0</v>
      </c>
      <c r="AC93">
        <v>6</v>
      </c>
      <c r="AD93" s="9"/>
      <c r="AE93" s="7"/>
      <c r="AF93" s="7"/>
      <c r="AG93" s="7"/>
      <c r="AH93" s="7"/>
    </row>
    <row r="94" spans="1:34" s="6" customFormat="1" x14ac:dyDescent="0.25">
      <c r="B94" s="7"/>
      <c r="C94" s="7"/>
      <c r="D94" s="7"/>
      <c r="E94" s="7"/>
      <c r="F94" s="7"/>
      <c r="G94" s="7"/>
      <c r="H94" s="8"/>
      <c r="K94" s="7">
        <v>175</v>
      </c>
      <c r="L94" s="35">
        <v>122</v>
      </c>
      <c r="M94" s="9"/>
      <c r="N94" s="126">
        <v>0.918730979</v>
      </c>
      <c r="O94" s="127">
        <v>160</v>
      </c>
      <c r="P94" s="127">
        <v>1.552141285</v>
      </c>
      <c r="Q94" s="127">
        <v>160</v>
      </c>
      <c r="R94" s="9"/>
      <c r="S94" s="127">
        <v>0</v>
      </c>
      <c r="T94" s="127">
        <v>100</v>
      </c>
      <c r="U94" s="127">
        <v>1</v>
      </c>
      <c r="V94" s="127">
        <v>100</v>
      </c>
      <c r="W94" s="9"/>
      <c r="X94" s="7"/>
      <c r="Y94" s="7"/>
      <c r="Z94" s="7"/>
      <c r="AA94" s="36"/>
      <c r="AB94">
        <v>1.6624999999999999</v>
      </c>
      <c r="AC94">
        <v>7</v>
      </c>
      <c r="AD94" s="9"/>
      <c r="AE94" s="7"/>
      <c r="AF94" s="7"/>
      <c r="AG94" s="7"/>
      <c r="AH94" s="7"/>
    </row>
    <row r="95" spans="1:34" s="6" customFormat="1" x14ac:dyDescent="0.25">
      <c r="B95" s="9"/>
      <c r="C95" s="9"/>
      <c r="D95" s="9"/>
      <c r="E95" s="9"/>
      <c r="F95" s="9"/>
      <c r="G95" s="9"/>
      <c r="H95" s="8"/>
      <c r="K95" s="7">
        <v>115</v>
      </c>
      <c r="L95" s="35">
        <v>160</v>
      </c>
      <c r="M95" s="9"/>
      <c r="N95" s="126">
        <v>0.69298565199999995</v>
      </c>
      <c r="O95" s="127">
        <v>200</v>
      </c>
      <c r="P95" s="127">
        <v>1.1011478969999999</v>
      </c>
      <c r="Q95" s="127">
        <v>200</v>
      </c>
      <c r="R95" s="9"/>
      <c r="S95"/>
      <c r="T95"/>
      <c r="U95"/>
      <c r="V95"/>
      <c r="W95" s="9"/>
      <c r="X95" s="7"/>
      <c r="Y95" s="7"/>
      <c r="Z95" s="7"/>
      <c r="AA95" s="36"/>
      <c r="AB95">
        <v>0</v>
      </c>
      <c r="AC95">
        <v>8</v>
      </c>
      <c r="AD95" s="9"/>
      <c r="AE95" s="7"/>
      <c r="AF95" s="7"/>
      <c r="AG95" s="7"/>
      <c r="AH95" s="7"/>
    </row>
    <row r="96" spans="1:34" x14ac:dyDescent="0.25">
      <c r="K96" s="7">
        <v>90</v>
      </c>
      <c r="L96" s="35">
        <v>200</v>
      </c>
      <c r="N96" s="126">
        <v>0.46724032599999998</v>
      </c>
      <c r="O96" s="127">
        <v>240</v>
      </c>
      <c r="P96" s="127">
        <v>0.663583704</v>
      </c>
      <c r="Q96" s="127">
        <v>240</v>
      </c>
      <c r="AB96">
        <v>0</v>
      </c>
      <c r="AC96">
        <v>9</v>
      </c>
    </row>
    <row r="97" spans="1:34" ht="15.75" x14ac:dyDescent="0.25">
      <c r="B97" t="s">
        <v>57</v>
      </c>
      <c r="C97" s="44">
        <v>3.2808399000000001</v>
      </c>
      <c r="K97" s="35">
        <v>70</v>
      </c>
      <c r="L97" s="35">
        <v>240</v>
      </c>
      <c r="N97" s="126">
        <v>0.33074315199999998</v>
      </c>
      <c r="O97" s="127">
        <v>280</v>
      </c>
      <c r="P97" s="127">
        <v>0.25563983200000001</v>
      </c>
      <c r="Q97" s="127">
        <v>280</v>
      </c>
      <c r="AB97">
        <v>1.1875</v>
      </c>
      <c r="AC97">
        <v>10</v>
      </c>
    </row>
    <row r="98" spans="1:34" x14ac:dyDescent="0.25">
      <c r="K98" s="35">
        <v>0</v>
      </c>
      <c r="L98" s="35">
        <v>280</v>
      </c>
      <c r="N98" s="126">
        <v>0.16799652200000001</v>
      </c>
      <c r="O98" s="127">
        <v>320</v>
      </c>
      <c r="P98" s="127">
        <v>0</v>
      </c>
      <c r="Q98" s="127">
        <v>337</v>
      </c>
      <c r="AB98">
        <v>0</v>
      </c>
      <c r="AC98">
        <v>12</v>
      </c>
    </row>
    <row r="99" spans="1:34" x14ac:dyDescent="0.25">
      <c r="K99" s="35">
        <v>6</v>
      </c>
      <c r="L99" s="35">
        <v>320</v>
      </c>
      <c r="N99" s="126">
        <v>0</v>
      </c>
      <c r="O99" s="127">
        <v>360</v>
      </c>
      <c r="P99" s="127">
        <v>4.0637464999999998E-2</v>
      </c>
      <c r="Q99" s="127">
        <v>360</v>
      </c>
      <c r="AB99">
        <v>0</v>
      </c>
      <c r="AC99">
        <v>17</v>
      </c>
    </row>
    <row r="100" spans="1:34" x14ac:dyDescent="0.25">
      <c r="K100" s="35">
        <v>12</v>
      </c>
      <c r="L100" s="35">
        <v>360</v>
      </c>
      <c r="N100" s="126">
        <v>0.28874402199999999</v>
      </c>
      <c r="O100" s="127">
        <v>400</v>
      </c>
      <c r="P100" s="127">
        <v>0.279124076</v>
      </c>
      <c r="Q100" s="127">
        <v>400</v>
      </c>
      <c r="AB100">
        <v>3</v>
      </c>
      <c r="AC100">
        <v>18</v>
      </c>
    </row>
    <row r="101" spans="1:34" x14ac:dyDescent="0.25">
      <c r="K101" s="35">
        <v>40</v>
      </c>
      <c r="L101" s="35">
        <v>400</v>
      </c>
      <c r="N101" s="126">
        <v>0.69823554399999999</v>
      </c>
      <c r="O101" s="127">
        <v>440</v>
      </c>
      <c r="P101" s="127">
        <v>0.69250108499999996</v>
      </c>
      <c r="Q101" s="127">
        <v>440</v>
      </c>
      <c r="AB101">
        <v>0</v>
      </c>
      <c r="AC101">
        <v>19</v>
      </c>
    </row>
    <row r="102" spans="1:34" x14ac:dyDescent="0.25">
      <c r="K102" s="35">
        <v>117</v>
      </c>
      <c r="L102" s="35">
        <v>440</v>
      </c>
      <c r="N102" s="126">
        <v>1.1812255439999999</v>
      </c>
      <c r="O102" s="127">
        <v>480</v>
      </c>
      <c r="P102" s="127">
        <v>1.2406584789999999</v>
      </c>
      <c r="Q102" s="127">
        <v>480</v>
      </c>
      <c r="AB102">
        <v>0</v>
      </c>
      <c r="AC102">
        <v>100</v>
      </c>
    </row>
    <row r="103" spans="1:34" x14ac:dyDescent="0.25">
      <c r="K103" s="35">
        <v>175</v>
      </c>
      <c r="L103" s="35">
        <v>478</v>
      </c>
      <c r="N103" s="126">
        <v>1.748213805</v>
      </c>
      <c r="O103" s="127">
        <v>520</v>
      </c>
      <c r="P103" s="127">
        <v>1.934327176</v>
      </c>
      <c r="Q103" s="127">
        <v>520</v>
      </c>
    </row>
    <row r="104" spans="1:34" x14ac:dyDescent="0.25">
      <c r="K104" s="35">
        <v>175</v>
      </c>
      <c r="L104" s="35">
        <v>480</v>
      </c>
      <c r="N104" s="127">
        <v>2.4516992399999999</v>
      </c>
      <c r="O104" s="127">
        <v>560</v>
      </c>
      <c r="P104" s="127">
        <v>2.4009466879999999</v>
      </c>
      <c r="Q104" s="127">
        <v>560</v>
      </c>
    </row>
    <row r="105" spans="1:34" x14ac:dyDescent="0.25">
      <c r="K105" s="35">
        <v>175</v>
      </c>
      <c r="L105" s="35">
        <v>506</v>
      </c>
      <c r="N105" s="127">
        <v>2.4359495660000001</v>
      </c>
      <c r="O105" s="127">
        <v>600</v>
      </c>
      <c r="P105" s="127">
        <v>2.619478263</v>
      </c>
      <c r="Q105" s="127">
        <v>600</v>
      </c>
    </row>
    <row r="106" spans="1:34" x14ac:dyDescent="0.25">
      <c r="K106" s="35">
        <v>175</v>
      </c>
      <c r="L106" s="35">
        <v>520</v>
      </c>
      <c r="N106" s="127">
        <v>2.483198588</v>
      </c>
      <c r="O106" s="127">
        <v>631</v>
      </c>
      <c r="P106" s="127">
        <v>2.6701060079999999</v>
      </c>
      <c r="Q106" s="127">
        <v>631</v>
      </c>
      <c r="AB106" s="6"/>
      <c r="AC106" s="6"/>
    </row>
    <row r="107" spans="1:34" x14ac:dyDescent="0.25">
      <c r="K107" s="35">
        <v>175</v>
      </c>
      <c r="L107" s="35">
        <v>560</v>
      </c>
      <c r="AB107" s="6"/>
      <c r="AC107" s="6"/>
    </row>
    <row r="108" spans="1:34" x14ac:dyDescent="0.25">
      <c r="K108" s="35">
        <v>175</v>
      </c>
      <c r="L108" s="35">
        <v>600</v>
      </c>
      <c r="AB108" s="6"/>
      <c r="AC108" s="6"/>
    </row>
    <row r="109" spans="1:34" x14ac:dyDescent="0.25">
      <c r="K109">
        <v>175</v>
      </c>
      <c r="L109">
        <v>631</v>
      </c>
      <c r="AB109" s="6"/>
      <c r="AC109" s="6"/>
    </row>
    <row r="110" spans="1:34" x14ac:dyDescent="0.25">
      <c r="T110" s="42"/>
      <c r="U110" s="42"/>
      <c r="V110" s="42"/>
      <c r="AB110" s="6"/>
      <c r="AC110" s="6"/>
    </row>
    <row r="112" spans="1:34" s="6" customFormat="1" x14ac:dyDescent="0.25">
      <c r="A112" s="2">
        <v>35</v>
      </c>
      <c r="B112" s="3" t="s">
        <v>0</v>
      </c>
      <c r="C112" s="3" t="s">
        <v>1</v>
      </c>
      <c r="D112" s="3" t="s">
        <v>2</v>
      </c>
      <c r="E112" s="3" t="s">
        <v>3</v>
      </c>
      <c r="F112" s="3" t="s">
        <v>4</v>
      </c>
      <c r="G112" s="3" t="s">
        <v>5</v>
      </c>
      <c r="H112" s="4"/>
      <c r="I112" s="4"/>
      <c r="J112" s="4"/>
      <c r="K112" s="3" t="s">
        <v>6</v>
      </c>
      <c r="L112" s="3" t="s">
        <v>7</v>
      </c>
      <c r="M112" s="124" t="s">
        <v>23</v>
      </c>
      <c r="N112" s="3" t="s">
        <v>214</v>
      </c>
      <c r="O112" s="3" t="s">
        <v>9</v>
      </c>
      <c r="P112" s="3" t="s">
        <v>210</v>
      </c>
      <c r="Q112" s="3" t="s">
        <v>9</v>
      </c>
      <c r="R112" s="5"/>
      <c r="S112" s="3" t="s">
        <v>211</v>
      </c>
      <c r="T112" s="3" t="s">
        <v>212</v>
      </c>
      <c r="U112" s="3" t="s">
        <v>213</v>
      </c>
      <c r="V112" s="3" t="s">
        <v>212</v>
      </c>
      <c r="W112" s="5"/>
      <c r="X112" s="3" t="s">
        <v>12</v>
      </c>
      <c r="Y112" s="3" t="s">
        <v>13</v>
      </c>
      <c r="Z112" s="3" t="s">
        <v>14</v>
      </c>
      <c r="AA112" s="3" t="s">
        <v>15</v>
      </c>
      <c r="AB112" s="3" t="s">
        <v>16</v>
      </c>
      <c r="AC112" s="3" t="s">
        <v>17</v>
      </c>
      <c r="AD112" s="5"/>
      <c r="AE112" s="3" t="s">
        <v>18</v>
      </c>
      <c r="AF112" s="3" t="s">
        <v>19</v>
      </c>
      <c r="AG112" s="3" t="s">
        <v>20</v>
      </c>
      <c r="AH112" s="3" t="s">
        <v>21</v>
      </c>
    </row>
    <row r="113" spans="2:34" s="6" customFormat="1" x14ac:dyDescent="0.25">
      <c r="B113" s="7">
        <v>15750</v>
      </c>
      <c r="C113" s="7">
        <v>25</v>
      </c>
      <c r="D113" s="7">
        <v>1000000</v>
      </c>
      <c r="E113" s="7">
        <v>10000</v>
      </c>
      <c r="F113" s="7">
        <v>100</v>
      </c>
      <c r="G113" s="7">
        <v>631</v>
      </c>
      <c r="H113" s="8"/>
      <c r="K113" s="7">
        <v>175</v>
      </c>
      <c r="L113" s="35">
        <v>1</v>
      </c>
      <c r="M113" s="125">
        <v>2641.0761195</v>
      </c>
      <c r="N113" s="126">
        <v>2.3003711230056219</v>
      </c>
      <c r="O113" s="126">
        <v>1</v>
      </c>
      <c r="P113" s="126">
        <v>2.5452785524304251</v>
      </c>
      <c r="Q113" s="126">
        <v>1</v>
      </c>
      <c r="R113" s="9"/>
      <c r="S113" s="127">
        <v>1</v>
      </c>
      <c r="T113" s="127">
        <v>1</v>
      </c>
      <c r="U113" s="127">
        <v>0</v>
      </c>
      <c r="V113" s="127">
        <v>1</v>
      </c>
      <c r="W113" s="9"/>
      <c r="X113" s="7">
        <v>0</v>
      </c>
      <c r="Y113" s="7">
        <v>1</v>
      </c>
      <c r="Z113" s="7">
        <v>6.5616798000000003</v>
      </c>
      <c r="AA113" s="36">
        <v>1</v>
      </c>
      <c r="AB113">
        <v>1.4400000000000002</v>
      </c>
      <c r="AC113">
        <v>1</v>
      </c>
      <c r="AD113" s="9"/>
      <c r="AE113" s="7">
        <v>0.32808399000000005</v>
      </c>
      <c r="AF113" s="7">
        <v>1</v>
      </c>
      <c r="AG113" s="7">
        <v>1</v>
      </c>
      <c r="AH113" s="7">
        <v>1</v>
      </c>
    </row>
    <row r="114" spans="2:34" s="6" customFormat="1" x14ac:dyDescent="0.25">
      <c r="B114" s="7"/>
      <c r="C114" s="7"/>
      <c r="D114" s="7"/>
      <c r="E114" s="7"/>
      <c r="F114" s="7"/>
      <c r="G114" s="7"/>
      <c r="H114" s="8"/>
      <c r="K114" s="7">
        <v>175</v>
      </c>
      <c r="L114" s="35">
        <v>40</v>
      </c>
      <c r="M114" s="125"/>
      <c r="N114" s="126">
        <v>1.8680425739566975</v>
      </c>
      <c r="O114" s="127">
        <v>40</v>
      </c>
      <c r="P114" s="126">
        <v>2.3623311424394862</v>
      </c>
      <c r="Q114" s="127">
        <v>40</v>
      </c>
      <c r="R114" s="9"/>
      <c r="S114" s="127">
        <v>1</v>
      </c>
      <c r="T114" s="127">
        <v>20</v>
      </c>
      <c r="U114" s="127">
        <v>0</v>
      </c>
      <c r="V114" s="127">
        <v>20</v>
      </c>
      <c r="W114" s="9"/>
      <c r="X114" s="7">
        <v>0</v>
      </c>
      <c r="Y114" s="7">
        <v>631</v>
      </c>
      <c r="Z114" s="7">
        <v>6.5616798000000003</v>
      </c>
      <c r="AA114" s="36">
        <v>631</v>
      </c>
      <c r="AB114">
        <v>0.9</v>
      </c>
      <c r="AC114">
        <v>4</v>
      </c>
      <c r="AD114" s="9"/>
      <c r="AE114" s="7">
        <v>0.32808399000000005</v>
      </c>
      <c r="AF114" s="7">
        <v>631</v>
      </c>
      <c r="AG114" s="7">
        <v>1</v>
      </c>
      <c r="AH114" s="7">
        <v>100</v>
      </c>
    </row>
    <row r="115" spans="2:34" s="6" customFormat="1" x14ac:dyDescent="0.25">
      <c r="B115" s="7"/>
      <c r="C115" s="7"/>
      <c r="D115" s="7"/>
      <c r="E115" s="7"/>
      <c r="F115" s="7"/>
      <c r="G115" s="7"/>
      <c r="H115" s="8"/>
      <c r="K115" s="7">
        <v>175</v>
      </c>
      <c r="L115" s="35">
        <v>80</v>
      </c>
      <c r="M115" s="125"/>
      <c r="N115" s="126">
        <v>1.8517206618863549</v>
      </c>
      <c r="O115" s="127">
        <v>80</v>
      </c>
      <c r="P115" s="126">
        <v>2.2010510566522514</v>
      </c>
      <c r="Q115" s="127">
        <v>80</v>
      </c>
      <c r="R115" s="9"/>
      <c r="S115" s="127">
        <v>0</v>
      </c>
      <c r="T115" s="127">
        <v>30</v>
      </c>
      <c r="U115" s="127">
        <v>1</v>
      </c>
      <c r="V115" s="127">
        <v>30</v>
      </c>
      <c r="W115" s="9"/>
      <c r="X115" s="7"/>
      <c r="Y115" s="7"/>
      <c r="Z115" s="7"/>
      <c r="AA115" s="36"/>
      <c r="AB115">
        <v>0</v>
      </c>
      <c r="AC115">
        <v>5</v>
      </c>
      <c r="AD115" s="9"/>
      <c r="AE115"/>
      <c r="AF115"/>
      <c r="AG115"/>
      <c r="AH115"/>
    </row>
    <row r="116" spans="2:34" s="6" customFormat="1" x14ac:dyDescent="0.25">
      <c r="B116" s="7"/>
      <c r="C116" s="7"/>
      <c r="D116" s="7"/>
      <c r="E116" s="7"/>
      <c r="F116" s="7"/>
      <c r="G116" s="7"/>
      <c r="H116" s="8"/>
      <c r="K116" s="7">
        <v>175</v>
      </c>
      <c r="L116" s="35">
        <v>120</v>
      </c>
      <c r="M116" s="125"/>
      <c r="N116" s="126">
        <v>1.6078868352336271</v>
      </c>
      <c r="O116" s="127">
        <v>120</v>
      </c>
      <c r="P116" s="126">
        <v>2.0065471041636549</v>
      </c>
      <c r="Q116" s="127">
        <v>120</v>
      </c>
      <c r="R116" s="9"/>
      <c r="S116" s="127">
        <v>0</v>
      </c>
      <c r="T116" s="127">
        <v>100</v>
      </c>
      <c r="U116" s="127">
        <v>1</v>
      </c>
      <c r="V116" s="127">
        <v>100</v>
      </c>
      <c r="W116" s="9"/>
      <c r="X116" s="7"/>
      <c r="Y116" s="7"/>
      <c r="Z116" s="7"/>
      <c r="AA116" s="36"/>
      <c r="AB116">
        <v>0</v>
      </c>
      <c r="AC116">
        <v>6</v>
      </c>
      <c r="AD116" s="9"/>
      <c r="AE116"/>
      <c r="AF116"/>
      <c r="AG116"/>
      <c r="AH116"/>
    </row>
    <row r="117" spans="2:34" s="6" customFormat="1" x14ac:dyDescent="0.25">
      <c r="B117" s="7"/>
      <c r="C117" s="7"/>
      <c r="D117" s="7"/>
      <c r="E117" s="7"/>
      <c r="F117" s="7"/>
      <c r="G117" s="7"/>
      <c r="H117" s="8"/>
      <c r="K117" s="7">
        <v>175</v>
      </c>
      <c r="L117" s="35">
        <v>122</v>
      </c>
      <c r="M117" s="9"/>
      <c r="N117" s="126">
        <v>0.96880181688058542</v>
      </c>
      <c r="O117" s="127">
        <v>160</v>
      </c>
      <c r="P117" s="126">
        <v>1.7557822218222219</v>
      </c>
      <c r="Q117" s="127">
        <v>160</v>
      </c>
      <c r="R117" s="9"/>
      <c r="S117"/>
      <c r="T117"/>
      <c r="U117"/>
      <c r="V117"/>
      <c r="W117" s="9"/>
      <c r="X117" s="7"/>
      <c r="Y117" s="7"/>
      <c r="Z117" s="7"/>
      <c r="AA117" s="36"/>
      <c r="AB117">
        <v>1.6624999999999999</v>
      </c>
      <c r="AC117">
        <v>7</v>
      </c>
      <c r="AD117" s="9"/>
      <c r="AE117"/>
      <c r="AF117"/>
      <c r="AG117"/>
      <c r="AH117"/>
    </row>
    <row r="118" spans="2:34" s="6" customFormat="1" x14ac:dyDescent="0.25">
      <c r="B118" s="9"/>
      <c r="C118" s="9"/>
      <c r="D118" s="9"/>
      <c r="E118" s="9"/>
      <c r="F118" s="9"/>
      <c r="G118" s="9"/>
      <c r="H118" s="8"/>
      <c r="K118" s="7">
        <v>115</v>
      </c>
      <c r="L118" s="35">
        <v>160</v>
      </c>
      <c r="M118" s="9"/>
      <c r="N118" s="126">
        <v>0.76921407415481047</v>
      </c>
      <c r="O118" s="127">
        <v>200</v>
      </c>
      <c r="P118" s="126">
        <v>1.2277799052826699</v>
      </c>
      <c r="Q118" s="127">
        <v>200</v>
      </c>
      <c r="R118" s="9"/>
      <c r="S118"/>
      <c r="T118"/>
      <c r="U118"/>
      <c r="V118"/>
      <c r="W118" s="9"/>
      <c r="X118" s="7"/>
      <c r="Y118" s="7"/>
      <c r="Z118" s="7"/>
      <c r="AA118" s="36"/>
      <c r="AB118">
        <v>0</v>
      </c>
      <c r="AC118">
        <v>8</v>
      </c>
      <c r="AD118" s="9"/>
      <c r="AE118"/>
      <c r="AF118"/>
      <c r="AG118"/>
      <c r="AH118"/>
    </row>
    <row r="119" spans="2:34" x14ac:dyDescent="0.25">
      <c r="K119" s="7">
        <v>90</v>
      </c>
      <c r="L119" s="35">
        <v>200</v>
      </c>
      <c r="N119" s="126">
        <v>0.62516755650083999</v>
      </c>
      <c r="O119" s="127">
        <v>240</v>
      </c>
      <c r="P119" s="126">
        <v>0.68714092545142358</v>
      </c>
      <c r="Q119" s="127">
        <v>240</v>
      </c>
      <c r="AB119">
        <v>0</v>
      </c>
      <c r="AC119">
        <v>9</v>
      </c>
    </row>
    <row r="120" spans="2:34" ht="15.75" x14ac:dyDescent="0.25">
      <c r="B120" t="s">
        <v>57</v>
      </c>
      <c r="C120" s="44">
        <v>3.2808399000000001</v>
      </c>
      <c r="K120" s="35">
        <v>70</v>
      </c>
      <c r="L120" s="35">
        <v>240</v>
      </c>
      <c r="N120" s="126">
        <v>0.29766883705008029</v>
      </c>
      <c r="O120" s="127">
        <v>280</v>
      </c>
      <c r="P120" s="126">
        <v>0.2300758491032901</v>
      </c>
      <c r="Q120" s="127">
        <v>280</v>
      </c>
      <c r="AB120">
        <v>1.1875</v>
      </c>
      <c r="AC120">
        <v>10</v>
      </c>
    </row>
    <row r="121" spans="2:34" x14ac:dyDescent="0.25">
      <c r="K121" s="35">
        <v>0</v>
      </c>
      <c r="L121" s="35">
        <v>280</v>
      </c>
      <c r="N121" s="126">
        <v>1.67996521791932E-2</v>
      </c>
      <c r="O121" s="127">
        <v>320</v>
      </c>
      <c r="P121" s="126">
        <v>0</v>
      </c>
      <c r="Q121" s="127">
        <v>337</v>
      </c>
      <c r="AB121" s="7">
        <v>0</v>
      </c>
      <c r="AC121" s="7">
        <v>12</v>
      </c>
    </row>
    <row r="122" spans="2:34" x14ac:dyDescent="0.25">
      <c r="K122" s="35">
        <v>6</v>
      </c>
      <c r="L122" s="35">
        <v>320</v>
      </c>
      <c r="N122" s="126">
        <v>0</v>
      </c>
      <c r="O122" s="127">
        <v>360</v>
      </c>
      <c r="P122" s="126">
        <v>6.0956197311077404E-2</v>
      </c>
      <c r="Q122" s="127">
        <v>360</v>
      </c>
      <c r="AB122" s="7">
        <v>0</v>
      </c>
      <c r="AC122" s="7">
        <v>24</v>
      </c>
    </row>
    <row r="123" spans="2:34" x14ac:dyDescent="0.25">
      <c r="K123" s="35">
        <v>12</v>
      </c>
      <c r="L123" s="35">
        <v>360</v>
      </c>
      <c r="N123" s="126">
        <v>0.28008170117498749</v>
      </c>
      <c r="O123" s="127">
        <v>400</v>
      </c>
      <c r="P123" s="126">
        <v>0.27633283532688541</v>
      </c>
      <c r="Q123" s="127">
        <v>400</v>
      </c>
      <c r="AB123" s="7">
        <f>SUM(5.4*0.95)</f>
        <v>5.13</v>
      </c>
      <c r="AC123" s="7">
        <v>25</v>
      </c>
    </row>
    <row r="124" spans="2:34" x14ac:dyDescent="0.25">
      <c r="K124" s="35">
        <v>40</v>
      </c>
      <c r="L124" s="35">
        <v>400</v>
      </c>
      <c r="N124" s="126">
        <v>0.64342405351744758</v>
      </c>
      <c r="O124" s="127">
        <v>440</v>
      </c>
      <c r="P124" s="126">
        <v>0.66282246717011661</v>
      </c>
      <c r="Q124" s="127">
        <v>440</v>
      </c>
      <c r="AB124" s="9">
        <v>0</v>
      </c>
      <c r="AC124" s="9">
        <v>26</v>
      </c>
    </row>
    <row r="125" spans="2:34" x14ac:dyDescent="0.25">
      <c r="K125" s="35">
        <v>117</v>
      </c>
      <c r="L125" s="35">
        <v>440</v>
      </c>
      <c r="N125" s="126">
        <v>0.897731413325632</v>
      </c>
      <c r="O125" s="127">
        <v>480</v>
      </c>
      <c r="P125" s="126">
        <v>1.2644791220047065</v>
      </c>
      <c r="Q125" s="127">
        <v>480</v>
      </c>
      <c r="AB125" s="9">
        <v>0</v>
      </c>
      <c r="AC125" s="9">
        <v>32</v>
      </c>
    </row>
    <row r="126" spans="2:34" x14ac:dyDescent="0.25">
      <c r="K126" s="35">
        <v>175</v>
      </c>
      <c r="L126" s="35">
        <v>478</v>
      </c>
      <c r="N126" s="126">
        <v>1.7919191500197322</v>
      </c>
      <c r="O126" s="127">
        <v>520</v>
      </c>
      <c r="P126" s="126">
        <v>1.9826853553304227</v>
      </c>
      <c r="Q126" s="127">
        <v>520</v>
      </c>
      <c r="AB126" s="7">
        <v>1.1000000000000001</v>
      </c>
      <c r="AC126" s="7">
        <v>34</v>
      </c>
    </row>
    <row r="127" spans="2:34" x14ac:dyDescent="0.25">
      <c r="K127" s="35">
        <v>175</v>
      </c>
      <c r="L127" s="35">
        <v>480</v>
      </c>
      <c r="N127" s="127">
        <v>2.4394407437015047</v>
      </c>
      <c r="O127" s="127">
        <v>560</v>
      </c>
      <c r="P127" s="127">
        <v>2.3889419548805395</v>
      </c>
      <c r="Q127" s="127">
        <v>560</v>
      </c>
      <c r="AB127" s="7">
        <v>0</v>
      </c>
      <c r="AC127" s="7">
        <v>37</v>
      </c>
    </row>
    <row r="128" spans="2:34" x14ac:dyDescent="0.25">
      <c r="K128" s="35">
        <v>175</v>
      </c>
      <c r="L128" s="35">
        <v>506</v>
      </c>
      <c r="N128" s="127">
        <v>2.4846685573026805</v>
      </c>
      <c r="O128" s="127">
        <v>600</v>
      </c>
      <c r="P128" s="127">
        <v>2.6718678280319486</v>
      </c>
      <c r="Q128" s="127">
        <v>600</v>
      </c>
      <c r="AB128" s="9">
        <v>0</v>
      </c>
      <c r="AC128" s="9">
        <v>100</v>
      </c>
    </row>
    <row r="129" spans="1:34" x14ac:dyDescent="0.25">
      <c r="K129" s="35">
        <v>175</v>
      </c>
      <c r="L129" s="35">
        <v>520</v>
      </c>
      <c r="N129" s="127">
        <v>2.5266545630223978</v>
      </c>
      <c r="O129" s="127">
        <v>631</v>
      </c>
      <c r="P129" s="127">
        <v>2.7168328633316969</v>
      </c>
      <c r="Q129" s="127">
        <v>631</v>
      </c>
    </row>
    <row r="130" spans="1:34" x14ac:dyDescent="0.25">
      <c r="K130" s="35">
        <v>175</v>
      </c>
      <c r="L130" s="35">
        <v>560</v>
      </c>
      <c r="N130" s="127"/>
      <c r="O130" s="127"/>
      <c r="P130" s="127"/>
      <c r="Q130" s="127"/>
      <c r="AB130" s="6"/>
      <c r="AC130" s="6"/>
    </row>
    <row r="131" spans="1:34" x14ac:dyDescent="0.25">
      <c r="K131" s="35">
        <v>175</v>
      </c>
      <c r="L131" s="35">
        <v>600</v>
      </c>
    </row>
    <row r="132" spans="1:34" x14ac:dyDescent="0.25">
      <c r="K132">
        <v>175</v>
      </c>
      <c r="L132">
        <v>631</v>
      </c>
    </row>
    <row r="133" spans="1:34" x14ac:dyDescent="0.25">
      <c r="T133" s="42"/>
      <c r="U133" s="42"/>
      <c r="V133" s="42"/>
    </row>
    <row r="134" spans="1:34" s="6" customFormat="1" x14ac:dyDescent="0.25">
      <c r="A134" s="2">
        <v>36</v>
      </c>
      <c r="B134" s="3" t="s">
        <v>0</v>
      </c>
      <c r="C134" s="3" t="s">
        <v>1</v>
      </c>
      <c r="D134" s="3" t="s">
        <v>2</v>
      </c>
      <c r="E134" s="3" t="s">
        <v>3</v>
      </c>
      <c r="F134" s="3" t="s">
        <v>4</v>
      </c>
      <c r="G134" s="3" t="s">
        <v>5</v>
      </c>
      <c r="H134" s="4"/>
      <c r="I134" s="4"/>
      <c r="J134" s="4"/>
      <c r="K134" s="3" t="s">
        <v>6</v>
      </c>
      <c r="L134" s="3" t="s">
        <v>7</v>
      </c>
      <c r="M134" s="124" t="s">
        <v>23</v>
      </c>
      <c r="N134" s="3" t="s">
        <v>214</v>
      </c>
      <c r="O134" s="3" t="s">
        <v>9</v>
      </c>
      <c r="P134" s="3" t="s">
        <v>210</v>
      </c>
      <c r="Q134" s="3" t="s">
        <v>9</v>
      </c>
      <c r="R134" s="5"/>
      <c r="S134" s="3" t="s">
        <v>211</v>
      </c>
      <c r="T134" s="3" t="s">
        <v>212</v>
      </c>
      <c r="U134" s="3" t="s">
        <v>213</v>
      </c>
      <c r="V134" s="3" t="s">
        <v>212</v>
      </c>
      <c r="W134" s="5"/>
      <c r="X134" s="3" t="s">
        <v>12</v>
      </c>
      <c r="Y134" s="3" t="s">
        <v>13</v>
      </c>
      <c r="Z134" s="3" t="s">
        <v>14</v>
      </c>
      <c r="AA134" s="3" t="s">
        <v>15</v>
      </c>
      <c r="AB134" s="3" t="s">
        <v>16</v>
      </c>
      <c r="AC134" s="3" t="s">
        <v>17</v>
      </c>
      <c r="AD134" s="5"/>
      <c r="AE134" s="3" t="s">
        <v>18</v>
      </c>
      <c r="AF134" s="3" t="s">
        <v>19</v>
      </c>
      <c r="AG134" s="3" t="s">
        <v>20</v>
      </c>
      <c r="AH134" s="3" t="s">
        <v>21</v>
      </c>
    </row>
    <row r="135" spans="1:34" s="6" customFormat="1" x14ac:dyDescent="0.25">
      <c r="B135" s="7">
        <v>15750</v>
      </c>
      <c r="C135" s="7">
        <v>25</v>
      </c>
      <c r="D135" s="7">
        <v>1000000</v>
      </c>
      <c r="E135" s="7">
        <v>10000</v>
      </c>
      <c r="F135" s="7">
        <v>100</v>
      </c>
      <c r="G135" s="7">
        <v>631</v>
      </c>
      <c r="H135" s="8"/>
      <c r="K135" s="7">
        <v>175</v>
      </c>
      <c r="L135" s="35">
        <v>1</v>
      </c>
      <c r="M135" s="125">
        <v>2641.0761195</v>
      </c>
      <c r="N135" s="126">
        <v>2.3003711230056219</v>
      </c>
      <c r="O135" s="126">
        <v>1</v>
      </c>
      <c r="P135" s="126">
        <v>2.5452785524304251</v>
      </c>
      <c r="Q135" s="126">
        <v>1</v>
      </c>
      <c r="R135" s="9"/>
      <c r="S135" s="127">
        <v>1</v>
      </c>
      <c r="T135" s="127">
        <v>1</v>
      </c>
      <c r="U135" s="127">
        <v>0</v>
      </c>
      <c r="V135" s="127">
        <v>1</v>
      </c>
      <c r="W135" s="9"/>
      <c r="X135" s="7">
        <v>0</v>
      </c>
      <c r="Y135" s="7">
        <v>1</v>
      </c>
      <c r="Z135" s="7">
        <v>6.5616798000000003</v>
      </c>
      <c r="AA135" s="36">
        <v>1</v>
      </c>
      <c r="AB135">
        <v>1.4400000000000002</v>
      </c>
      <c r="AC135">
        <v>1</v>
      </c>
      <c r="AD135" s="9"/>
      <c r="AE135" s="7">
        <v>0.32808399000000005</v>
      </c>
      <c r="AF135" s="7">
        <v>1</v>
      </c>
      <c r="AG135" s="7">
        <v>1</v>
      </c>
      <c r="AH135" s="7">
        <v>1</v>
      </c>
    </row>
    <row r="136" spans="1:34" s="6" customFormat="1" x14ac:dyDescent="0.25">
      <c r="B136" s="7"/>
      <c r="C136" s="7"/>
      <c r="D136" s="7"/>
      <c r="E136" s="7"/>
      <c r="F136" s="7"/>
      <c r="G136" s="7"/>
      <c r="H136" s="8"/>
      <c r="K136" s="7">
        <v>175</v>
      </c>
      <c r="L136" s="35">
        <v>40</v>
      </c>
      <c r="M136" s="125"/>
      <c r="N136" s="126">
        <v>1.8680425739566975</v>
      </c>
      <c r="O136" s="127">
        <v>40</v>
      </c>
      <c r="P136" s="126">
        <v>2.3623311424394862</v>
      </c>
      <c r="Q136" s="127">
        <v>40</v>
      </c>
      <c r="R136" s="9"/>
      <c r="S136" s="127">
        <v>1</v>
      </c>
      <c r="T136" s="127">
        <v>20</v>
      </c>
      <c r="U136" s="127">
        <v>0</v>
      </c>
      <c r="V136" s="127">
        <v>20</v>
      </c>
      <c r="W136" s="9"/>
      <c r="X136" s="7">
        <v>0</v>
      </c>
      <c r="Y136" s="7">
        <v>631</v>
      </c>
      <c r="Z136" s="7">
        <v>6.5616798000000003</v>
      </c>
      <c r="AA136" s="36">
        <v>631</v>
      </c>
      <c r="AB136">
        <v>0.9</v>
      </c>
      <c r="AC136">
        <v>4</v>
      </c>
      <c r="AD136" s="9"/>
      <c r="AE136" s="7">
        <v>0.32808399000000005</v>
      </c>
      <c r="AF136" s="7">
        <v>631</v>
      </c>
      <c r="AG136" s="7">
        <v>1</v>
      </c>
      <c r="AH136" s="7">
        <v>100</v>
      </c>
    </row>
    <row r="137" spans="1:34" s="6" customFormat="1" x14ac:dyDescent="0.25">
      <c r="B137" s="7"/>
      <c r="C137" s="7"/>
      <c r="D137" s="7"/>
      <c r="E137" s="7"/>
      <c r="F137" s="7"/>
      <c r="G137" s="7"/>
      <c r="H137" s="8"/>
      <c r="K137" s="7">
        <v>175</v>
      </c>
      <c r="L137" s="35">
        <v>80</v>
      </c>
      <c r="M137" s="125"/>
      <c r="N137" s="126">
        <v>1.8517206618863549</v>
      </c>
      <c r="O137" s="127">
        <v>80</v>
      </c>
      <c r="P137" s="126">
        <v>2.2010510566522514</v>
      </c>
      <c r="Q137" s="127">
        <v>80</v>
      </c>
      <c r="R137" s="9"/>
      <c r="S137" s="127">
        <v>0</v>
      </c>
      <c r="T137" s="127">
        <v>30</v>
      </c>
      <c r="U137" s="127">
        <v>1</v>
      </c>
      <c r="V137" s="127">
        <v>30</v>
      </c>
      <c r="W137" s="9"/>
      <c r="X137" s="7"/>
      <c r="Y137" s="7"/>
      <c r="Z137" s="7"/>
      <c r="AA137" s="36"/>
      <c r="AB137">
        <v>0</v>
      </c>
      <c r="AC137">
        <v>5</v>
      </c>
      <c r="AD137" s="9"/>
      <c r="AE137"/>
      <c r="AF137"/>
      <c r="AG137"/>
      <c r="AH137"/>
    </row>
    <row r="138" spans="1:34" s="6" customFormat="1" x14ac:dyDescent="0.25">
      <c r="B138" s="7"/>
      <c r="C138" s="7"/>
      <c r="D138" s="7"/>
      <c r="E138" s="7"/>
      <c r="F138" s="7"/>
      <c r="G138" s="7"/>
      <c r="H138" s="8"/>
      <c r="K138" s="7">
        <v>175</v>
      </c>
      <c r="L138" s="35">
        <v>120</v>
      </c>
      <c r="M138" s="125"/>
      <c r="N138" s="126">
        <v>1.6078868352336271</v>
      </c>
      <c r="O138" s="127">
        <v>120</v>
      </c>
      <c r="P138" s="126">
        <v>2.0065471041636549</v>
      </c>
      <c r="Q138" s="127">
        <v>120</v>
      </c>
      <c r="R138" s="9"/>
      <c r="S138" s="127">
        <v>0</v>
      </c>
      <c r="T138" s="127">
        <v>100</v>
      </c>
      <c r="U138" s="127">
        <v>1</v>
      </c>
      <c r="V138" s="127">
        <v>100</v>
      </c>
      <c r="W138" s="9"/>
      <c r="X138" s="7"/>
      <c r="Y138" s="7"/>
      <c r="Z138" s="7"/>
      <c r="AA138" s="36"/>
      <c r="AB138">
        <v>0</v>
      </c>
      <c r="AC138">
        <v>6</v>
      </c>
      <c r="AD138" s="9"/>
      <c r="AE138"/>
      <c r="AF138"/>
      <c r="AG138"/>
      <c r="AH138"/>
    </row>
    <row r="139" spans="1:34" s="6" customFormat="1" x14ac:dyDescent="0.25">
      <c r="B139" s="7"/>
      <c r="C139" s="7"/>
      <c r="D139" s="7"/>
      <c r="E139" s="7"/>
      <c r="F139" s="7"/>
      <c r="G139" s="7"/>
      <c r="H139" s="8"/>
      <c r="K139" s="7">
        <v>175</v>
      </c>
      <c r="L139" s="35">
        <v>122</v>
      </c>
      <c r="M139" s="9"/>
      <c r="N139" s="126">
        <v>0.96880181688058542</v>
      </c>
      <c r="O139" s="127">
        <v>160</v>
      </c>
      <c r="P139" s="126">
        <v>1.7557822218222219</v>
      </c>
      <c r="Q139" s="127">
        <v>160</v>
      </c>
      <c r="R139" s="9"/>
      <c r="S139"/>
      <c r="T139"/>
      <c r="U139"/>
      <c r="V139"/>
      <c r="W139" s="9"/>
      <c r="X139" s="7"/>
      <c r="Y139" s="7"/>
      <c r="Z139" s="7"/>
      <c r="AA139" s="36"/>
      <c r="AB139">
        <v>1.6624999999999999</v>
      </c>
      <c r="AC139">
        <v>7</v>
      </c>
      <c r="AD139" s="9"/>
      <c r="AE139"/>
      <c r="AF139"/>
      <c r="AG139"/>
      <c r="AH139"/>
    </row>
    <row r="140" spans="1:34" s="6" customFormat="1" x14ac:dyDescent="0.25">
      <c r="B140" s="9"/>
      <c r="C140" s="9"/>
      <c r="D140" s="9"/>
      <c r="E140" s="9"/>
      <c r="F140" s="9"/>
      <c r="G140" s="9"/>
      <c r="H140" s="8"/>
      <c r="K140" s="7">
        <v>115</v>
      </c>
      <c r="L140" s="35">
        <v>160</v>
      </c>
      <c r="M140" s="9"/>
      <c r="N140" s="126">
        <v>0.76921407415481047</v>
      </c>
      <c r="O140" s="127">
        <v>200</v>
      </c>
      <c r="P140" s="126">
        <v>1.2277799052826699</v>
      </c>
      <c r="Q140" s="127">
        <v>200</v>
      </c>
      <c r="R140" s="9"/>
      <c r="S140"/>
      <c r="T140"/>
      <c r="U140"/>
      <c r="V140"/>
      <c r="W140" s="9"/>
      <c r="X140" s="7"/>
      <c r="Y140" s="7"/>
      <c r="Z140" s="7"/>
      <c r="AA140" s="36"/>
      <c r="AB140">
        <v>0</v>
      </c>
      <c r="AC140">
        <v>8</v>
      </c>
      <c r="AD140" s="9"/>
      <c r="AE140"/>
      <c r="AF140"/>
      <c r="AG140"/>
      <c r="AH140"/>
    </row>
    <row r="141" spans="1:34" x14ac:dyDescent="0.25">
      <c r="K141" s="7">
        <v>90</v>
      </c>
      <c r="L141" s="35">
        <v>200</v>
      </c>
      <c r="N141" s="126">
        <v>0.62516755650083999</v>
      </c>
      <c r="O141" s="127">
        <v>240</v>
      </c>
      <c r="P141" s="126">
        <v>0.68714092545142358</v>
      </c>
      <c r="Q141" s="127">
        <v>240</v>
      </c>
      <c r="AB141">
        <v>0</v>
      </c>
      <c r="AC141">
        <v>9</v>
      </c>
    </row>
    <row r="142" spans="1:34" ht="15.75" x14ac:dyDescent="0.25">
      <c r="B142" t="s">
        <v>57</v>
      </c>
      <c r="C142" s="44">
        <v>3.2808399000000001</v>
      </c>
      <c r="K142" s="35">
        <v>70</v>
      </c>
      <c r="L142" s="35">
        <v>240</v>
      </c>
      <c r="N142" s="126">
        <v>0.29766883705008029</v>
      </c>
      <c r="O142" s="127">
        <v>280</v>
      </c>
      <c r="P142" s="126">
        <v>0.2300758491032901</v>
      </c>
      <c r="Q142" s="127">
        <v>280</v>
      </c>
      <c r="AB142">
        <v>1.1875</v>
      </c>
      <c r="AC142">
        <v>10</v>
      </c>
    </row>
    <row r="143" spans="1:34" x14ac:dyDescent="0.25">
      <c r="K143" s="35">
        <v>0</v>
      </c>
      <c r="L143" s="35">
        <v>280</v>
      </c>
      <c r="N143" s="126">
        <v>1.67996521791932E-2</v>
      </c>
      <c r="O143" s="127">
        <v>320</v>
      </c>
      <c r="P143" s="126">
        <v>0</v>
      </c>
      <c r="Q143" s="127">
        <v>337</v>
      </c>
      <c r="AB143" s="7">
        <v>0</v>
      </c>
      <c r="AC143" s="7">
        <v>12</v>
      </c>
    </row>
    <row r="144" spans="1:34" x14ac:dyDescent="0.25">
      <c r="K144" s="35">
        <v>6</v>
      </c>
      <c r="L144" s="35">
        <v>320</v>
      </c>
      <c r="N144" s="126">
        <v>0</v>
      </c>
      <c r="O144" s="127">
        <v>360</v>
      </c>
      <c r="P144" s="126">
        <v>6.0956197311077404E-2</v>
      </c>
      <c r="Q144" s="127">
        <v>360</v>
      </c>
      <c r="AB144" s="7">
        <v>0</v>
      </c>
      <c r="AC144" s="7">
        <v>24</v>
      </c>
    </row>
    <row r="145" spans="1:34" x14ac:dyDescent="0.25">
      <c r="K145" s="35">
        <v>12</v>
      </c>
      <c r="L145" s="35">
        <v>360</v>
      </c>
      <c r="N145" s="126">
        <v>0.28008170117498749</v>
      </c>
      <c r="O145" s="127">
        <v>400</v>
      </c>
      <c r="P145" s="126">
        <v>0.27633283532688541</v>
      </c>
      <c r="Q145" s="127">
        <v>400</v>
      </c>
      <c r="AB145" s="7">
        <f>SUM(5.4*0.95)</f>
        <v>5.13</v>
      </c>
      <c r="AC145" s="7">
        <v>25</v>
      </c>
    </row>
    <row r="146" spans="1:34" x14ac:dyDescent="0.25">
      <c r="K146" s="35">
        <v>40</v>
      </c>
      <c r="L146" s="35">
        <v>400</v>
      </c>
      <c r="N146" s="126">
        <v>0.64342405351744758</v>
      </c>
      <c r="O146" s="127">
        <v>440</v>
      </c>
      <c r="P146" s="126">
        <v>0.66282246717011661</v>
      </c>
      <c r="Q146" s="127">
        <v>440</v>
      </c>
      <c r="AB146" s="9">
        <v>0</v>
      </c>
      <c r="AC146" s="9">
        <v>26</v>
      </c>
    </row>
    <row r="147" spans="1:34" x14ac:dyDescent="0.25">
      <c r="K147" s="35">
        <v>117</v>
      </c>
      <c r="L147" s="35">
        <v>440</v>
      </c>
      <c r="N147" s="126">
        <v>0.897731413325632</v>
      </c>
      <c r="O147" s="127">
        <v>480</v>
      </c>
      <c r="P147" s="126">
        <v>1.2644791220047065</v>
      </c>
      <c r="Q147" s="127">
        <v>480</v>
      </c>
      <c r="AB147" s="9">
        <v>0</v>
      </c>
      <c r="AC147" s="9">
        <v>32</v>
      </c>
    </row>
    <row r="148" spans="1:34" x14ac:dyDescent="0.25">
      <c r="K148" s="35">
        <v>175</v>
      </c>
      <c r="L148" s="35">
        <v>478</v>
      </c>
      <c r="N148" s="126">
        <v>1.7919191500197322</v>
      </c>
      <c r="O148" s="127">
        <v>520</v>
      </c>
      <c r="P148" s="126">
        <v>1.9826853553304227</v>
      </c>
      <c r="Q148" s="127">
        <v>520</v>
      </c>
      <c r="AB148" s="7">
        <v>1.1000000000000001</v>
      </c>
      <c r="AC148" s="7">
        <v>34</v>
      </c>
    </row>
    <row r="149" spans="1:34" x14ac:dyDescent="0.25">
      <c r="K149" s="35">
        <v>175</v>
      </c>
      <c r="L149" s="35">
        <v>480</v>
      </c>
      <c r="N149" s="127">
        <v>2.4394407437015047</v>
      </c>
      <c r="O149" s="127">
        <v>560</v>
      </c>
      <c r="P149" s="127">
        <v>2.3889419548805395</v>
      </c>
      <c r="Q149" s="127">
        <v>560</v>
      </c>
      <c r="AB149" s="7">
        <v>0</v>
      </c>
      <c r="AC149" s="7">
        <v>37</v>
      </c>
    </row>
    <row r="150" spans="1:34" x14ac:dyDescent="0.25">
      <c r="K150" s="35">
        <v>175</v>
      </c>
      <c r="L150" s="35">
        <v>506</v>
      </c>
      <c r="N150" s="127">
        <v>2.4846685573026805</v>
      </c>
      <c r="O150" s="127">
        <v>600</v>
      </c>
      <c r="P150" s="127">
        <v>2.6718678280319486</v>
      </c>
      <c r="Q150" s="127">
        <v>600</v>
      </c>
      <c r="AB150" s="9">
        <v>1</v>
      </c>
      <c r="AC150" s="9">
        <v>38</v>
      </c>
    </row>
    <row r="151" spans="1:34" x14ac:dyDescent="0.25">
      <c r="K151" s="35">
        <v>175</v>
      </c>
      <c r="L151" s="35">
        <v>520</v>
      </c>
      <c r="N151" s="127">
        <v>2.5266545630223978</v>
      </c>
      <c r="O151" s="127">
        <v>631</v>
      </c>
      <c r="P151" s="127">
        <v>2.7168328633316969</v>
      </c>
      <c r="Q151" s="127">
        <v>631</v>
      </c>
      <c r="AB151" s="6">
        <v>0.9</v>
      </c>
      <c r="AC151" s="6">
        <v>43</v>
      </c>
    </row>
    <row r="152" spans="1:34" x14ac:dyDescent="0.25">
      <c r="K152" s="35">
        <v>175</v>
      </c>
      <c r="L152" s="35">
        <v>560</v>
      </c>
      <c r="N152" s="127"/>
      <c r="O152" s="127"/>
      <c r="P152" s="127"/>
      <c r="Q152" s="127"/>
      <c r="AB152" s="9">
        <v>0</v>
      </c>
      <c r="AC152" s="9">
        <v>44</v>
      </c>
    </row>
    <row r="153" spans="1:34" x14ac:dyDescent="0.25">
      <c r="K153" s="35">
        <v>175</v>
      </c>
      <c r="L153" s="35">
        <v>600</v>
      </c>
      <c r="AB153" s="9">
        <v>0</v>
      </c>
      <c r="AC153" s="9">
        <v>54</v>
      </c>
    </row>
    <row r="154" spans="1:34" x14ac:dyDescent="0.25">
      <c r="K154">
        <v>175</v>
      </c>
      <c r="L154">
        <v>631</v>
      </c>
      <c r="AB154" s="9">
        <v>0.9</v>
      </c>
      <c r="AC154" s="9">
        <v>55</v>
      </c>
    </row>
    <row r="155" spans="1:34" x14ac:dyDescent="0.25">
      <c r="AB155" s="9">
        <v>0.5</v>
      </c>
      <c r="AC155" s="9">
        <v>59</v>
      </c>
    </row>
    <row r="156" spans="1:34" x14ac:dyDescent="0.25">
      <c r="AB156" s="9">
        <v>0</v>
      </c>
      <c r="AC156" s="9">
        <v>60</v>
      </c>
    </row>
    <row r="157" spans="1:34" x14ac:dyDescent="0.25">
      <c r="AB157" s="9">
        <v>0</v>
      </c>
      <c r="AC157" s="9">
        <v>100</v>
      </c>
    </row>
    <row r="158" spans="1:34" x14ac:dyDescent="0.25">
      <c r="AB158" s="9"/>
      <c r="AC158" s="9"/>
    </row>
    <row r="159" spans="1:34" x14ac:dyDescent="0.25">
      <c r="AB159" s="9"/>
      <c r="AC159" s="9"/>
    </row>
    <row r="160" spans="1:34" s="6" customFormat="1" x14ac:dyDescent="0.25">
      <c r="A160" s="2">
        <v>37</v>
      </c>
      <c r="B160" s="3" t="s">
        <v>0</v>
      </c>
      <c r="C160" s="3" t="s">
        <v>1</v>
      </c>
      <c r="D160" s="3" t="s">
        <v>2</v>
      </c>
      <c r="E160" s="3" t="s">
        <v>3</v>
      </c>
      <c r="F160" s="3" t="s">
        <v>4</v>
      </c>
      <c r="G160" s="3" t="s">
        <v>5</v>
      </c>
      <c r="H160" s="4"/>
      <c r="I160" s="4"/>
      <c r="J160" s="4"/>
      <c r="K160" s="3" t="s">
        <v>6</v>
      </c>
      <c r="L160" s="3" t="s">
        <v>7</v>
      </c>
      <c r="M160" s="124" t="s">
        <v>23</v>
      </c>
      <c r="N160" s="3" t="s">
        <v>214</v>
      </c>
      <c r="O160" s="3" t="s">
        <v>9</v>
      </c>
      <c r="P160" s="3" t="s">
        <v>210</v>
      </c>
      <c r="Q160" s="3" t="s">
        <v>9</v>
      </c>
      <c r="R160" s="5"/>
      <c r="S160" s="3" t="s">
        <v>211</v>
      </c>
      <c r="T160" s="3" t="s">
        <v>212</v>
      </c>
      <c r="U160" s="3" t="s">
        <v>213</v>
      </c>
      <c r="V160" s="3" t="s">
        <v>212</v>
      </c>
      <c r="W160" s="5"/>
      <c r="X160" s="3" t="s">
        <v>12</v>
      </c>
      <c r="Y160" s="3" t="s">
        <v>13</v>
      </c>
      <c r="Z160" s="3" t="s">
        <v>14</v>
      </c>
      <c r="AA160" s="3" t="s">
        <v>15</v>
      </c>
      <c r="AB160" s="3" t="s">
        <v>16</v>
      </c>
      <c r="AC160" s="3" t="s">
        <v>17</v>
      </c>
      <c r="AD160" s="5"/>
      <c r="AE160" s="3" t="s">
        <v>18</v>
      </c>
      <c r="AF160" s="3" t="s">
        <v>19</v>
      </c>
      <c r="AG160" s="3" t="s">
        <v>20</v>
      </c>
      <c r="AH160" s="3" t="s">
        <v>21</v>
      </c>
    </row>
    <row r="161" spans="2:34" s="6" customFormat="1" x14ac:dyDescent="0.25">
      <c r="B161" s="7">
        <v>15750</v>
      </c>
      <c r="C161" s="7">
        <v>25</v>
      </c>
      <c r="D161" s="7">
        <v>1000000</v>
      </c>
      <c r="E161" s="7">
        <v>10000</v>
      </c>
      <c r="F161" s="7">
        <v>100</v>
      </c>
      <c r="G161" s="7">
        <v>631</v>
      </c>
      <c r="H161" s="8"/>
      <c r="K161" s="7">
        <v>175</v>
      </c>
      <c r="L161" s="35">
        <v>1</v>
      </c>
      <c r="M161" s="125">
        <v>2641.0761195</v>
      </c>
      <c r="N161" s="126">
        <v>2.3003711230056219</v>
      </c>
      <c r="O161" s="126">
        <v>1</v>
      </c>
      <c r="P161" s="126">
        <v>2.5452785524304251</v>
      </c>
      <c r="Q161" s="126">
        <v>1</v>
      </c>
      <c r="R161" s="9"/>
      <c r="S161" s="127">
        <v>1</v>
      </c>
      <c r="T161" s="127">
        <v>1</v>
      </c>
      <c r="U161" s="127">
        <v>0</v>
      </c>
      <c r="V161" s="127">
        <v>1</v>
      </c>
      <c r="W161" s="9"/>
      <c r="X161" s="7">
        <v>0</v>
      </c>
      <c r="Y161" s="7">
        <v>1</v>
      </c>
      <c r="Z161" s="7">
        <v>6.5616798000000003</v>
      </c>
      <c r="AA161" s="36">
        <v>1</v>
      </c>
      <c r="AB161">
        <v>1.4400000000000002</v>
      </c>
      <c r="AC161">
        <v>1</v>
      </c>
      <c r="AD161" s="9"/>
      <c r="AE161" s="7">
        <v>0.32808399000000005</v>
      </c>
      <c r="AF161" s="7">
        <v>1</v>
      </c>
      <c r="AG161" s="7">
        <v>1</v>
      </c>
      <c r="AH161" s="7">
        <v>1</v>
      </c>
    </row>
    <row r="162" spans="2:34" s="6" customFormat="1" x14ac:dyDescent="0.25">
      <c r="B162" s="7"/>
      <c r="C162" s="7"/>
      <c r="D162" s="7"/>
      <c r="E162" s="7"/>
      <c r="F162" s="7"/>
      <c r="G162" s="7"/>
      <c r="H162" s="8"/>
      <c r="K162" s="7">
        <v>175</v>
      </c>
      <c r="L162" s="35">
        <v>40</v>
      </c>
      <c r="M162" s="125"/>
      <c r="N162" s="126">
        <v>1.8680425739566975</v>
      </c>
      <c r="O162" s="127">
        <v>40</v>
      </c>
      <c r="P162" s="126">
        <v>2.3623311424394862</v>
      </c>
      <c r="Q162" s="127">
        <v>40</v>
      </c>
      <c r="R162" s="9"/>
      <c r="S162" s="127">
        <v>1</v>
      </c>
      <c r="T162" s="127">
        <v>20</v>
      </c>
      <c r="U162" s="127">
        <v>0</v>
      </c>
      <c r="V162" s="127">
        <v>20</v>
      </c>
      <c r="W162" s="9"/>
      <c r="X162" s="7">
        <v>0</v>
      </c>
      <c r="Y162" s="7">
        <v>631</v>
      </c>
      <c r="Z162" s="7">
        <v>6.5616798000000003</v>
      </c>
      <c r="AA162" s="36">
        <v>631</v>
      </c>
      <c r="AB162">
        <v>0.9</v>
      </c>
      <c r="AC162">
        <v>4</v>
      </c>
      <c r="AD162" s="9"/>
      <c r="AE162" s="7">
        <v>0.32808399000000005</v>
      </c>
      <c r="AF162" s="7">
        <v>631</v>
      </c>
      <c r="AG162" s="7">
        <v>1</v>
      </c>
      <c r="AH162" s="7">
        <v>100</v>
      </c>
    </row>
    <row r="163" spans="2:34" s="6" customFormat="1" x14ac:dyDescent="0.25">
      <c r="B163" s="7"/>
      <c r="C163" s="7"/>
      <c r="D163" s="7"/>
      <c r="E163" s="7"/>
      <c r="F163" s="7"/>
      <c r="G163" s="7"/>
      <c r="H163" s="8"/>
      <c r="K163" s="7">
        <v>175</v>
      </c>
      <c r="L163" s="35">
        <v>80</v>
      </c>
      <c r="M163" s="125"/>
      <c r="N163" s="126">
        <v>1.8517206618863549</v>
      </c>
      <c r="O163" s="127">
        <v>80</v>
      </c>
      <c r="P163" s="126">
        <v>2.2010510566522514</v>
      </c>
      <c r="Q163" s="127">
        <v>80</v>
      </c>
      <c r="R163" s="9"/>
      <c r="S163" s="127">
        <v>0</v>
      </c>
      <c r="T163" s="127">
        <v>30</v>
      </c>
      <c r="U163" s="127">
        <v>1</v>
      </c>
      <c r="V163" s="127">
        <v>30</v>
      </c>
      <c r="W163" s="9"/>
      <c r="X163" s="7"/>
      <c r="Y163" s="7"/>
      <c r="Z163" s="7"/>
      <c r="AA163" s="36"/>
      <c r="AB163">
        <v>0</v>
      </c>
      <c r="AC163">
        <v>5</v>
      </c>
      <c r="AD163" s="9"/>
      <c r="AE163"/>
      <c r="AF163"/>
      <c r="AG163"/>
      <c r="AH163"/>
    </row>
    <row r="164" spans="2:34" s="6" customFormat="1" x14ac:dyDescent="0.25">
      <c r="B164" s="7"/>
      <c r="C164" s="7"/>
      <c r="D164" s="7"/>
      <c r="E164" s="7"/>
      <c r="F164" s="7"/>
      <c r="G164" s="7"/>
      <c r="H164" s="8"/>
      <c r="K164" s="7">
        <v>175</v>
      </c>
      <c r="L164" s="35">
        <v>120</v>
      </c>
      <c r="M164" s="125"/>
      <c r="N164" s="126">
        <v>1.6078868352336271</v>
      </c>
      <c r="O164" s="127">
        <v>120</v>
      </c>
      <c r="P164" s="126">
        <v>2.0065471041636549</v>
      </c>
      <c r="Q164" s="127">
        <v>120</v>
      </c>
      <c r="R164" s="9"/>
      <c r="S164" s="127">
        <v>0</v>
      </c>
      <c r="T164" s="127">
        <v>100</v>
      </c>
      <c r="U164" s="127">
        <v>1</v>
      </c>
      <c r="V164" s="127">
        <v>100</v>
      </c>
      <c r="W164" s="9"/>
      <c r="X164" s="7"/>
      <c r="Y164" s="7"/>
      <c r="Z164" s="7"/>
      <c r="AA164" s="36"/>
      <c r="AB164">
        <v>0</v>
      </c>
      <c r="AC164">
        <v>6</v>
      </c>
      <c r="AD164" s="9"/>
      <c r="AE164"/>
      <c r="AF164"/>
      <c r="AG164"/>
      <c r="AH164"/>
    </row>
    <row r="165" spans="2:34" s="6" customFormat="1" x14ac:dyDescent="0.25">
      <c r="B165" s="7"/>
      <c r="C165" s="7"/>
      <c r="D165" s="7"/>
      <c r="E165" s="7"/>
      <c r="F165" s="7"/>
      <c r="G165" s="7"/>
      <c r="H165" s="8"/>
      <c r="K165" s="7">
        <v>175</v>
      </c>
      <c r="L165" s="35">
        <v>122</v>
      </c>
      <c r="M165" s="9"/>
      <c r="N165" s="126">
        <v>0.96880181688058542</v>
      </c>
      <c r="O165" s="127">
        <v>160</v>
      </c>
      <c r="P165" s="126">
        <v>1.7557822218222219</v>
      </c>
      <c r="Q165" s="127">
        <v>160</v>
      </c>
      <c r="R165" s="9"/>
      <c r="S165"/>
      <c r="T165"/>
      <c r="U165"/>
      <c r="V165"/>
      <c r="W165" s="9"/>
      <c r="X165" s="7"/>
      <c r="Y165" s="7"/>
      <c r="Z165" s="7"/>
      <c r="AA165" s="36"/>
      <c r="AB165">
        <v>1.6624999999999999</v>
      </c>
      <c r="AC165">
        <v>7</v>
      </c>
      <c r="AD165" s="9"/>
      <c r="AE165"/>
      <c r="AF165"/>
      <c r="AG165"/>
      <c r="AH165"/>
    </row>
    <row r="166" spans="2:34" s="6" customFormat="1" x14ac:dyDescent="0.25">
      <c r="B166" s="9"/>
      <c r="C166" s="9"/>
      <c r="D166" s="9"/>
      <c r="E166" s="9"/>
      <c r="F166" s="9"/>
      <c r="G166" s="9"/>
      <c r="H166" s="8"/>
      <c r="K166" s="7">
        <v>115</v>
      </c>
      <c r="L166" s="35">
        <v>160</v>
      </c>
      <c r="M166" s="9"/>
      <c r="N166" s="126">
        <v>0.76921407415481047</v>
      </c>
      <c r="O166" s="127">
        <v>200</v>
      </c>
      <c r="P166" s="126">
        <v>1.2277799052826699</v>
      </c>
      <c r="Q166" s="127">
        <v>200</v>
      </c>
      <c r="R166" s="9"/>
      <c r="S166"/>
      <c r="T166"/>
      <c r="U166"/>
      <c r="V166"/>
      <c r="W166" s="9"/>
      <c r="X166" s="7"/>
      <c r="Y166" s="7"/>
      <c r="Z166" s="7"/>
      <c r="AA166" s="36"/>
      <c r="AB166">
        <v>0</v>
      </c>
      <c r="AC166">
        <v>8</v>
      </c>
      <c r="AD166" s="9"/>
      <c r="AE166"/>
      <c r="AF166"/>
      <c r="AG166"/>
      <c r="AH166"/>
    </row>
    <row r="167" spans="2:34" x14ac:dyDescent="0.25">
      <c r="K167" s="7">
        <v>90</v>
      </c>
      <c r="L167" s="35">
        <v>200</v>
      </c>
      <c r="N167" s="126">
        <v>0.62516755650083999</v>
      </c>
      <c r="O167" s="127">
        <v>240</v>
      </c>
      <c r="P167" s="126">
        <v>0.68714092545142358</v>
      </c>
      <c r="Q167" s="127">
        <v>240</v>
      </c>
      <c r="AB167">
        <v>0</v>
      </c>
      <c r="AC167">
        <v>9</v>
      </c>
    </row>
    <row r="168" spans="2:34" ht="15.75" x14ac:dyDescent="0.25">
      <c r="B168" t="s">
        <v>57</v>
      </c>
      <c r="C168" s="44">
        <v>3.2808399000000001</v>
      </c>
      <c r="K168" s="35">
        <v>70</v>
      </c>
      <c r="L168" s="35">
        <v>240</v>
      </c>
      <c r="N168" s="126">
        <v>0.29766883705008029</v>
      </c>
      <c r="O168" s="127">
        <v>280</v>
      </c>
      <c r="P168" s="126">
        <v>0.2300758491032901</v>
      </c>
      <c r="Q168" s="127">
        <v>280</v>
      </c>
      <c r="AB168">
        <v>1.1875</v>
      </c>
      <c r="AC168">
        <v>10</v>
      </c>
    </row>
    <row r="169" spans="2:34" x14ac:dyDescent="0.25">
      <c r="K169" s="35">
        <v>0</v>
      </c>
      <c r="L169" s="35">
        <v>280</v>
      </c>
      <c r="N169" s="126">
        <v>1.67996521791932E-2</v>
      </c>
      <c r="O169" s="127">
        <v>320</v>
      </c>
      <c r="P169" s="126">
        <v>0</v>
      </c>
      <c r="Q169" s="127">
        <v>337</v>
      </c>
      <c r="AB169">
        <v>0</v>
      </c>
      <c r="AC169" s="7">
        <v>12</v>
      </c>
    </row>
    <row r="170" spans="2:34" x14ac:dyDescent="0.25">
      <c r="K170" s="35">
        <v>6</v>
      </c>
      <c r="L170" s="35">
        <v>320</v>
      </c>
      <c r="N170" s="126">
        <v>0</v>
      </c>
      <c r="O170" s="127">
        <v>360</v>
      </c>
      <c r="P170" s="126">
        <v>6.0956197311077404E-2</v>
      </c>
      <c r="Q170" s="127">
        <v>360</v>
      </c>
      <c r="Z170">
        <f>SUM(Z161/2)</f>
        <v>3.2808399000000001</v>
      </c>
      <c r="AB170">
        <v>0</v>
      </c>
      <c r="AC170" s="7">
        <v>24</v>
      </c>
    </row>
    <row r="171" spans="2:34" x14ac:dyDescent="0.25">
      <c r="K171" s="35">
        <v>12</v>
      </c>
      <c r="L171" s="35">
        <v>360</v>
      </c>
      <c r="N171" s="126">
        <v>0.28008170117498749</v>
      </c>
      <c r="O171" s="127">
        <v>400</v>
      </c>
      <c r="P171" s="126">
        <v>0.27633283532688541</v>
      </c>
      <c r="Q171" s="127">
        <v>400</v>
      </c>
      <c r="Z171">
        <f>SUM(Z162/2)</f>
        <v>3.2808399000000001</v>
      </c>
      <c r="AB171" s="7">
        <f>SUM(5.4*0.95)</f>
        <v>5.13</v>
      </c>
      <c r="AC171" s="7">
        <v>25</v>
      </c>
    </row>
    <row r="172" spans="2:34" x14ac:dyDescent="0.25">
      <c r="K172" s="35">
        <v>40</v>
      </c>
      <c r="L172" s="35">
        <v>400</v>
      </c>
      <c r="N172" s="126">
        <v>0.64342405351744758</v>
      </c>
      <c r="O172" s="127">
        <v>440</v>
      </c>
      <c r="P172" s="126">
        <v>0.66282246717011661</v>
      </c>
      <c r="Q172" s="127">
        <v>440</v>
      </c>
      <c r="AB172">
        <v>0</v>
      </c>
      <c r="AC172" s="9">
        <v>26</v>
      </c>
    </row>
    <row r="173" spans="2:34" x14ac:dyDescent="0.25">
      <c r="K173" s="35">
        <v>117</v>
      </c>
      <c r="L173" s="35">
        <v>440</v>
      </c>
      <c r="N173" s="126">
        <v>0.897731413325632</v>
      </c>
      <c r="O173" s="127">
        <v>480</v>
      </c>
      <c r="P173" s="126">
        <v>1.2644791220047065</v>
      </c>
      <c r="Q173" s="127">
        <v>480</v>
      </c>
      <c r="Z173">
        <v>5</v>
      </c>
      <c r="AB173">
        <v>0</v>
      </c>
      <c r="AC173" s="9">
        <v>32</v>
      </c>
    </row>
    <row r="174" spans="2:34" x14ac:dyDescent="0.25">
      <c r="K174" s="35">
        <v>175</v>
      </c>
      <c r="L174" s="35">
        <v>478</v>
      </c>
      <c r="N174" s="126">
        <v>1.7919191500197322</v>
      </c>
      <c r="O174" s="127">
        <v>520</v>
      </c>
      <c r="P174" s="126">
        <v>1.9826853553304227</v>
      </c>
      <c r="Q174" s="127">
        <v>520</v>
      </c>
      <c r="Z174">
        <v>5</v>
      </c>
      <c r="AB174" s="7">
        <v>1.1000000000000001</v>
      </c>
      <c r="AC174" s="7">
        <v>34</v>
      </c>
    </row>
    <row r="175" spans="2:34" x14ac:dyDescent="0.25">
      <c r="K175" s="35">
        <v>175</v>
      </c>
      <c r="L175" s="35">
        <v>480</v>
      </c>
      <c r="N175" s="127">
        <v>2.4394407437015047</v>
      </c>
      <c r="O175" s="127">
        <v>560</v>
      </c>
      <c r="P175" s="127">
        <v>2.3889419548805395</v>
      </c>
      <c r="Q175" s="127">
        <v>560</v>
      </c>
      <c r="AB175">
        <v>0</v>
      </c>
      <c r="AC175" s="7">
        <v>37</v>
      </c>
    </row>
    <row r="176" spans="2:34" x14ac:dyDescent="0.25">
      <c r="K176" s="35">
        <v>175</v>
      </c>
      <c r="L176" s="35">
        <v>506</v>
      </c>
      <c r="N176" s="127">
        <v>2.4846685573026805</v>
      </c>
      <c r="O176" s="127">
        <v>600</v>
      </c>
      <c r="P176" s="127">
        <v>2.6718678280319486</v>
      </c>
      <c r="Q176" s="127">
        <v>600</v>
      </c>
      <c r="AB176" s="9">
        <v>1</v>
      </c>
      <c r="AC176" s="9">
        <v>38</v>
      </c>
    </row>
    <row r="177" spans="11:29" x14ac:dyDescent="0.25">
      <c r="K177" s="35">
        <v>175</v>
      </c>
      <c r="L177" s="35">
        <v>520</v>
      </c>
      <c r="N177" s="127">
        <v>2.5266545630223978</v>
      </c>
      <c r="O177" s="127">
        <v>631</v>
      </c>
      <c r="P177" s="127">
        <v>2.7168328633316969</v>
      </c>
      <c r="Q177" s="127">
        <v>631</v>
      </c>
      <c r="AB177" s="6">
        <v>0.9</v>
      </c>
      <c r="AC177" s="6">
        <v>43</v>
      </c>
    </row>
    <row r="178" spans="11:29" x14ac:dyDescent="0.25">
      <c r="K178" s="35">
        <v>175</v>
      </c>
      <c r="L178" s="35">
        <v>560</v>
      </c>
      <c r="N178" s="127"/>
      <c r="O178" s="127"/>
      <c r="P178" s="127"/>
      <c r="Q178" s="127"/>
      <c r="AB178">
        <v>0</v>
      </c>
      <c r="AC178" s="9">
        <v>44</v>
      </c>
    </row>
    <row r="179" spans="11:29" x14ac:dyDescent="0.25">
      <c r="K179" s="35">
        <v>175</v>
      </c>
      <c r="L179" s="35">
        <v>600</v>
      </c>
      <c r="AB179">
        <v>0</v>
      </c>
      <c r="AC179" s="9">
        <v>54</v>
      </c>
    </row>
    <row r="180" spans="11:29" x14ac:dyDescent="0.25">
      <c r="K180">
        <v>175</v>
      </c>
      <c r="L180">
        <v>631</v>
      </c>
      <c r="AB180" s="9">
        <v>0.9</v>
      </c>
      <c r="AC180" s="9">
        <v>55</v>
      </c>
    </row>
    <row r="181" spans="11:29" x14ac:dyDescent="0.25">
      <c r="N181">
        <f>SUM(N161-$N$177)</f>
        <v>-0.22628344001677592</v>
      </c>
      <c r="O181" s="126">
        <v>1</v>
      </c>
      <c r="P181">
        <f>SUM(P161-$P$177)</f>
        <v>-0.17155431090127182</v>
      </c>
      <c r="Q181" s="126">
        <v>1</v>
      </c>
      <c r="AB181" s="9">
        <v>0.5</v>
      </c>
      <c r="AC181" s="9">
        <v>59</v>
      </c>
    </row>
    <row r="182" spans="11:29" x14ac:dyDescent="0.25">
      <c r="K182">
        <f>SUM(K161-$K$180)</f>
        <v>0</v>
      </c>
      <c r="L182" s="35">
        <v>1</v>
      </c>
      <c r="N182">
        <f t="shared" ref="N182:N197" si="2">SUM(N162-$N$177)</f>
        <v>-0.65861198906570029</v>
      </c>
      <c r="O182" s="127">
        <v>40</v>
      </c>
      <c r="P182">
        <f t="shared" ref="P182:P197" si="3">SUM(P162-$P$177)</f>
        <v>-0.35450172089221077</v>
      </c>
      <c r="Q182" s="127">
        <v>40</v>
      </c>
      <c r="AB182">
        <v>0</v>
      </c>
      <c r="AC182" s="9">
        <v>60</v>
      </c>
    </row>
    <row r="183" spans="11:29" x14ac:dyDescent="0.25">
      <c r="K183">
        <f t="shared" ref="K183:K201" si="4">SUM(K162-$K$180)</f>
        <v>0</v>
      </c>
      <c r="L183" s="35">
        <v>40</v>
      </c>
      <c r="N183">
        <f t="shared" si="2"/>
        <v>-0.6749339011360429</v>
      </c>
      <c r="O183" s="127">
        <v>80</v>
      </c>
      <c r="P183">
        <f t="shared" si="3"/>
        <v>-0.51578180667944551</v>
      </c>
      <c r="Q183" s="127">
        <v>80</v>
      </c>
      <c r="AB183">
        <v>0</v>
      </c>
      <c r="AC183" s="9">
        <v>65</v>
      </c>
    </row>
    <row r="184" spans="11:29" x14ac:dyDescent="0.25">
      <c r="K184">
        <f t="shared" si="4"/>
        <v>0</v>
      </c>
      <c r="L184" s="35">
        <v>80</v>
      </c>
      <c r="N184">
        <f t="shared" si="2"/>
        <v>-0.91876772778877069</v>
      </c>
      <c r="O184" s="127">
        <v>120</v>
      </c>
      <c r="P184">
        <f t="shared" si="3"/>
        <v>-0.71028575916804204</v>
      </c>
      <c r="Q184" s="127">
        <v>120</v>
      </c>
      <c r="Z184">
        <v>-2.7168328633316969</v>
      </c>
      <c r="AB184" s="9">
        <v>5.5</v>
      </c>
      <c r="AC184" s="9">
        <v>66</v>
      </c>
    </row>
    <row r="185" spans="11:29" x14ac:dyDescent="0.25">
      <c r="K185">
        <f t="shared" si="4"/>
        <v>0</v>
      </c>
      <c r="L185" s="35">
        <v>120</v>
      </c>
      <c r="N185">
        <f t="shared" si="2"/>
        <v>-1.5578527461418124</v>
      </c>
      <c r="O185" s="127">
        <v>160</v>
      </c>
      <c r="P185">
        <f t="shared" si="3"/>
        <v>-0.96105064150947506</v>
      </c>
      <c r="Q185" s="127">
        <v>160</v>
      </c>
      <c r="AB185">
        <v>0</v>
      </c>
      <c r="AC185" s="9">
        <v>67</v>
      </c>
    </row>
    <row r="186" spans="11:29" x14ac:dyDescent="0.25">
      <c r="K186">
        <f t="shared" si="4"/>
        <v>0</v>
      </c>
      <c r="L186" s="35">
        <v>122</v>
      </c>
      <c r="N186">
        <f t="shared" si="2"/>
        <v>-1.7574404888675872</v>
      </c>
      <c r="O186" s="127">
        <v>200</v>
      </c>
      <c r="P186">
        <f t="shared" si="3"/>
        <v>-1.489052958049027</v>
      </c>
      <c r="Q186" s="127">
        <v>200</v>
      </c>
      <c r="AB186">
        <v>0</v>
      </c>
      <c r="AC186" s="9">
        <v>72</v>
      </c>
    </row>
    <row r="187" spans="11:29" x14ac:dyDescent="0.25">
      <c r="K187">
        <f t="shared" si="4"/>
        <v>-60</v>
      </c>
      <c r="L187" s="35">
        <v>160</v>
      </c>
      <c r="N187">
        <f t="shared" si="2"/>
        <v>-1.9014870065215579</v>
      </c>
      <c r="O187" s="127">
        <v>240</v>
      </c>
      <c r="P187">
        <f t="shared" si="3"/>
        <v>-2.0296919378802736</v>
      </c>
      <c r="Q187" s="127">
        <v>240</v>
      </c>
      <c r="Y187" t="s">
        <v>215</v>
      </c>
      <c r="Z187">
        <v>-0.414045</v>
      </c>
      <c r="AB187" s="9">
        <v>1.2</v>
      </c>
      <c r="AC187" s="9">
        <v>73</v>
      </c>
    </row>
    <row r="188" spans="11:29" x14ac:dyDescent="0.25">
      <c r="K188">
        <f t="shared" si="4"/>
        <v>-85</v>
      </c>
      <c r="L188" s="35">
        <v>200</v>
      </c>
      <c r="N188">
        <f t="shared" si="2"/>
        <v>-2.2289857259723176</v>
      </c>
      <c r="O188" s="127">
        <v>280</v>
      </c>
      <c r="P188">
        <f t="shared" si="3"/>
        <v>-2.4867570142284068</v>
      </c>
      <c r="Q188" s="127">
        <v>280</v>
      </c>
      <c r="AB188">
        <v>0</v>
      </c>
      <c r="AC188" s="9">
        <v>76</v>
      </c>
    </row>
    <row r="189" spans="11:29" x14ac:dyDescent="0.25">
      <c r="K189">
        <f t="shared" si="4"/>
        <v>-105</v>
      </c>
      <c r="L189" s="35">
        <v>240</v>
      </c>
      <c r="N189">
        <f t="shared" si="2"/>
        <v>-2.5098549108432047</v>
      </c>
      <c r="O189" s="127">
        <v>320</v>
      </c>
      <c r="P189">
        <f t="shared" si="3"/>
        <v>-2.7168328633316969</v>
      </c>
      <c r="Q189" s="127">
        <v>337</v>
      </c>
      <c r="AB189">
        <v>0</v>
      </c>
      <c r="AC189" s="9">
        <v>100</v>
      </c>
    </row>
    <row r="190" spans="11:29" x14ac:dyDescent="0.25">
      <c r="K190">
        <f t="shared" si="4"/>
        <v>-175</v>
      </c>
      <c r="L190" s="35">
        <v>280</v>
      </c>
      <c r="N190">
        <f t="shared" si="2"/>
        <v>-2.5266545630223978</v>
      </c>
      <c r="O190" s="127">
        <v>360</v>
      </c>
      <c r="P190">
        <f t="shared" si="3"/>
        <v>-2.6558766660206197</v>
      </c>
      <c r="Q190" s="127">
        <v>360</v>
      </c>
      <c r="AB190" s="9"/>
      <c r="AC190" s="9"/>
    </row>
    <row r="191" spans="11:29" x14ac:dyDescent="0.25">
      <c r="K191">
        <f t="shared" si="4"/>
        <v>-169</v>
      </c>
      <c r="L191" s="35">
        <v>320</v>
      </c>
      <c r="N191">
        <f t="shared" si="2"/>
        <v>-2.2465728618474103</v>
      </c>
      <c r="O191" s="127">
        <v>400</v>
      </c>
      <c r="P191">
        <f t="shared" si="3"/>
        <v>-2.4405000280048115</v>
      </c>
      <c r="Q191" s="127">
        <v>400</v>
      </c>
    </row>
    <row r="192" spans="11:29" x14ac:dyDescent="0.25">
      <c r="K192">
        <f t="shared" si="4"/>
        <v>-163</v>
      </c>
      <c r="L192" s="35">
        <v>360</v>
      </c>
      <c r="N192">
        <f t="shared" si="2"/>
        <v>-1.8832305095049502</v>
      </c>
      <c r="O192" s="127">
        <v>440</v>
      </c>
      <c r="P192">
        <f t="shared" si="3"/>
        <v>-2.0540103961615803</v>
      </c>
      <c r="Q192" s="127">
        <v>440</v>
      </c>
    </row>
    <row r="193" spans="1:34" x14ac:dyDescent="0.25">
      <c r="K193">
        <f t="shared" si="4"/>
        <v>-135</v>
      </c>
      <c r="L193" s="35">
        <v>400</v>
      </c>
      <c r="N193">
        <f t="shared" si="2"/>
        <v>-1.6289231496967658</v>
      </c>
      <c r="O193" s="127">
        <v>480</v>
      </c>
      <c r="P193">
        <f t="shared" si="3"/>
        <v>-1.4523537413269905</v>
      </c>
      <c r="Q193" s="127">
        <v>480</v>
      </c>
    </row>
    <row r="194" spans="1:34" x14ac:dyDescent="0.25">
      <c r="K194">
        <f t="shared" si="4"/>
        <v>-58</v>
      </c>
      <c r="L194" s="35">
        <v>440</v>
      </c>
      <c r="N194">
        <f t="shared" si="2"/>
        <v>-0.73473541300266554</v>
      </c>
      <c r="O194" s="127">
        <v>520</v>
      </c>
      <c r="P194">
        <f t="shared" si="3"/>
        <v>-0.73414750800127426</v>
      </c>
      <c r="Q194" s="127">
        <v>520</v>
      </c>
    </row>
    <row r="195" spans="1:34" x14ac:dyDescent="0.25">
      <c r="K195">
        <f t="shared" si="4"/>
        <v>0</v>
      </c>
      <c r="L195" s="35">
        <v>478</v>
      </c>
      <c r="N195">
        <f t="shared" si="2"/>
        <v>-8.7213819320893116E-2</v>
      </c>
      <c r="O195" s="127">
        <v>560</v>
      </c>
      <c r="P195">
        <f t="shared" si="3"/>
        <v>-0.32789090845115743</v>
      </c>
      <c r="Q195" s="127">
        <v>560</v>
      </c>
    </row>
    <row r="196" spans="1:34" x14ac:dyDescent="0.25">
      <c r="K196">
        <f t="shared" si="4"/>
        <v>0</v>
      </c>
      <c r="L196" s="35">
        <v>480</v>
      </c>
      <c r="N196">
        <f t="shared" si="2"/>
        <v>-4.1986005719717223E-2</v>
      </c>
      <c r="O196" s="127">
        <v>600</v>
      </c>
      <c r="P196">
        <f t="shared" si="3"/>
        <v>-4.4965035299748379E-2</v>
      </c>
      <c r="Q196" s="127">
        <v>600</v>
      </c>
    </row>
    <row r="197" spans="1:34" x14ac:dyDescent="0.25">
      <c r="K197">
        <f t="shared" si="4"/>
        <v>0</v>
      </c>
      <c r="L197" s="35">
        <v>506</v>
      </c>
      <c r="N197">
        <f t="shared" si="2"/>
        <v>0</v>
      </c>
      <c r="O197" s="127">
        <v>631</v>
      </c>
      <c r="P197">
        <f t="shared" si="3"/>
        <v>0</v>
      </c>
      <c r="Q197" s="127">
        <v>631</v>
      </c>
    </row>
    <row r="198" spans="1:34" x14ac:dyDescent="0.25">
      <c r="K198">
        <f t="shared" si="4"/>
        <v>0</v>
      </c>
      <c r="L198" s="35">
        <v>520</v>
      </c>
    </row>
    <row r="199" spans="1:34" x14ac:dyDescent="0.25">
      <c r="K199">
        <f t="shared" si="4"/>
        <v>0</v>
      </c>
      <c r="L199" s="35">
        <v>560</v>
      </c>
    </row>
    <row r="200" spans="1:34" x14ac:dyDescent="0.25">
      <c r="K200">
        <f t="shared" si="4"/>
        <v>0</v>
      </c>
      <c r="L200" s="35">
        <v>600</v>
      </c>
    </row>
    <row r="201" spans="1:34" x14ac:dyDescent="0.25">
      <c r="K201">
        <f t="shared" si="4"/>
        <v>0</v>
      </c>
      <c r="L201">
        <v>631</v>
      </c>
    </row>
    <row r="203" spans="1:34" s="6" customFormat="1" x14ac:dyDescent="0.25">
      <c r="A203" s="2">
        <v>38</v>
      </c>
      <c r="B203" s="3" t="s">
        <v>0</v>
      </c>
      <c r="C203" s="3" t="s">
        <v>1</v>
      </c>
      <c r="D203" s="3" t="s">
        <v>2</v>
      </c>
      <c r="E203" s="3" t="s">
        <v>3</v>
      </c>
      <c r="F203" s="3" t="s">
        <v>4</v>
      </c>
      <c r="G203" s="3" t="s">
        <v>5</v>
      </c>
      <c r="H203" s="4"/>
      <c r="I203" s="4"/>
      <c r="J203" s="4"/>
      <c r="K203" s="3" t="s">
        <v>6</v>
      </c>
      <c r="L203" s="3" t="s">
        <v>7</v>
      </c>
      <c r="M203" s="124" t="s">
        <v>23</v>
      </c>
      <c r="N203" s="3" t="s">
        <v>214</v>
      </c>
      <c r="O203" s="3" t="s">
        <v>9</v>
      </c>
      <c r="P203" s="3" t="s">
        <v>210</v>
      </c>
      <c r="Q203" s="3" t="s">
        <v>9</v>
      </c>
      <c r="R203" s="5"/>
      <c r="S203" s="3" t="s">
        <v>211</v>
      </c>
      <c r="T203" s="3" t="s">
        <v>212</v>
      </c>
      <c r="U203" s="3" t="s">
        <v>213</v>
      </c>
      <c r="V203" s="3" t="s">
        <v>212</v>
      </c>
      <c r="W203" s="5"/>
      <c r="X203" s="3" t="s">
        <v>12</v>
      </c>
      <c r="Y203" s="3" t="s">
        <v>13</v>
      </c>
      <c r="Z203" s="3" t="s">
        <v>14</v>
      </c>
      <c r="AA203" s="3" t="s">
        <v>15</v>
      </c>
      <c r="AB203" s="3" t="s">
        <v>16</v>
      </c>
      <c r="AC203" s="3" t="s">
        <v>17</v>
      </c>
      <c r="AD203" s="5"/>
      <c r="AE203" s="3" t="s">
        <v>18</v>
      </c>
      <c r="AF203" s="3" t="s">
        <v>19</v>
      </c>
      <c r="AG203" s="3" t="s">
        <v>20</v>
      </c>
      <c r="AH203" s="3" t="s">
        <v>21</v>
      </c>
    </row>
    <row r="204" spans="1:34" s="6" customFormat="1" x14ac:dyDescent="0.25">
      <c r="B204" s="7">
        <v>15750</v>
      </c>
      <c r="C204" s="7">
        <v>25</v>
      </c>
      <c r="D204" s="7">
        <v>1000000</v>
      </c>
      <c r="E204" s="7">
        <v>10000</v>
      </c>
      <c r="F204" s="7">
        <v>100</v>
      </c>
      <c r="G204" s="7">
        <v>631</v>
      </c>
      <c r="H204" s="8"/>
      <c r="K204" s="7">
        <v>175</v>
      </c>
      <c r="L204" s="35">
        <v>1</v>
      </c>
      <c r="M204" s="125">
        <v>2641.0761195</v>
      </c>
      <c r="N204" s="126">
        <v>2.3003711230056219</v>
      </c>
      <c r="O204" s="126">
        <v>1</v>
      </c>
      <c r="P204" s="126">
        <v>2.5452785524304251</v>
      </c>
      <c r="Q204" s="126">
        <v>1</v>
      </c>
      <c r="R204" s="9"/>
      <c r="S204" s="127">
        <v>1</v>
      </c>
      <c r="T204" s="127">
        <v>1</v>
      </c>
      <c r="U204" s="127">
        <v>0</v>
      </c>
      <c r="V204" s="127">
        <v>1</v>
      </c>
      <c r="W204" s="9"/>
      <c r="X204" s="7">
        <v>0</v>
      </c>
      <c r="Y204" s="7">
        <v>1</v>
      </c>
      <c r="Z204" s="7">
        <v>6.5616798000000003</v>
      </c>
      <c r="AA204" s="36">
        <v>1</v>
      </c>
      <c r="AB204">
        <v>1.4400000000000002</v>
      </c>
      <c r="AC204">
        <v>1</v>
      </c>
      <c r="AD204" s="9"/>
      <c r="AE204" s="7">
        <v>0.32808399000000005</v>
      </c>
      <c r="AF204" s="7">
        <v>1</v>
      </c>
      <c r="AG204" s="7">
        <v>1</v>
      </c>
      <c r="AH204" s="7">
        <v>1</v>
      </c>
    </row>
    <row r="205" spans="1:34" s="6" customFormat="1" x14ac:dyDescent="0.25">
      <c r="B205" s="7"/>
      <c r="C205" s="7"/>
      <c r="D205" s="7"/>
      <c r="E205" s="7"/>
      <c r="F205" s="7"/>
      <c r="G205" s="7"/>
      <c r="H205" s="8"/>
      <c r="K205" s="7">
        <v>175</v>
      </c>
      <c r="L205" s="35">
        <v>40</v>
      </c>
      <c r="M205" s="125"/>
      <c r="N205" s="126">
        <v>1.8680425739566975</v>
      </c>
      <c r="O205" s="127">
        <v>40</v>
      </c>
      <c r="P205" s="126">
        <v>2.3623311424394862</v>
      </c>
      <c r="Q205" s="127">
        <v>40</v>
      </c>
      <c r="R205" s="9"/>
      <c r="S205" s="127">
        <v>1</v>
      </c>
      <c r="T205" s="127">
        <v>20</v>
      </c>
      <c r="U205" s="127">
        <v>0</v>
      </c>
      <c r="V205" s="127">
        <v>20</v>
      </c>
      <c r="W205" s="9"/>
      <c r="X205" s="7">
        <v>0</v>
      </c>
      <c r="Y205" s="7">
        <v>631</v>
      </c>
      <c r="Z205" s="7">
        <v>6.5616798000000003</v>
      </c>
      <c r="AA205" s="36">
        <v>631</v>
      </c>
      <c r="AB205">
        <v>0.9</v>
      </c>
      <c r="AC205">
        <v>4</v>
      </c>
      <c r="AD205" s="9"/>
      <c r="AE205" s="7">
        <v>0.32808399000000005</v>
      </c>
      <c r="AF205" s="7">
        <v>631</v>
      </c>
      <c r="AG205" s="7">
        <v>1</v>
      </c>
      <c r="AH205" s="7">
        <v>100</v>
      </c>
    </row>
    <row r="206" spans="1:34" s="6" customFormat="1" x14ac:dyDescent="0.25">
      <c r="B206" s="7"/>
      <c r="C206" s="7"/>
      <c r="D206" s="7"/>
      <c r="E206" s="7"/>
      <c r="F206" s="7"/>
      <c r="G206" s="7"/>
      <c r="H206" s="8"/>
      <c r="K206" s="7">
        <v>175</v>
      </c>
      <c r="L206" s="35">
        <v>80</v>
      </c>
      <c r="M206" s="125"/>
      <c r="N206" s="126">
        <v>1.8517206618863549</v>
      </c>
      <c r="O206" s="127">
        <v>80</v>
      </c>
      <c r="P206" s="126">
        <v>2.2010510566522514</v>
      </c>
      <c r="Q206" s="127">
        <v>80</v>
      </c>
      <c r="R206" s="9"/>
      <c r="S206" s="127">
        <v>0</v>
      </c>
      <c r="T206" s="127">
        <v>30</v>
      </c>
      <c r="U206" s="127">
        <v>1</v>
      </c>
      <c r="V206" s="127">
        <v>30</v>
      </c>
      <c r="W206" s="9"/>
      <c r="X206" s="7"/>
      <c r="Y206" s="7"/>
      <c r="Z206" s="7"/>
      <c r="AA206" s="36"/>
      <c r="AB206">
        <v>0</v>
      </c>
      <c r="AC206">
        <v>5</v>
      </c>
      <c r="AD206" s="9"/>
      <c r="AE206"/>
      <c r="AF206"/>
      <c r="AG206"/>
      <c r="AH206"/>
    </row>
    <row r="207" spans="1:34" s="6" customFormat="1" x14ac:dyDescent="0.25">
      <c r="B207" s="7"/>
      <c r="C207" s="7"/>
      <c r="D207" s="7"/>
      <c r="E207" s="7"/>
      <c r="F207" s="7"/>
      <c r="G207" s="7"/>
      <c r="H207" s="8"/>
      <c r="K207" s="7">
        <v>175</v>
      </c>
      <c r="L207" s="35">
        <v>120</v>
      </c>
      <c r="M207" s="125"/>
      <c r="N207" s="126">
        <v>1.6078868352336271</v>
      </c>
      <c r="O207" s="127">
        <v>120</v>
      </c>
      <c r="P207" s="126">
        <v>2.0065471041636549</v>
      </c>
      <c r="Q207" s="127">
        <v>120</v>
      </c>
      <c r="R207" s="9"/>
      <c r="S207" s="127">
        <v>0</v>
      </c>
      <c r="T207" s="127">
        <v>100</v>
      </c>
      <c r="U207" s="127">
        <v>1</v>
      </c>
      <c r="V207" s="127">
        <v>100</v>
      </c>
      <c r="W207" s="9"/>
      <c r="X207" s="7"/>
      <c r="Y207" s="7"/>
      <c r="Z207" s="7"/>
      <c r="AA207" s="36"/>
      <c r="AB207">
        <v>0</v>
      </c>
      <c r="AC207">
        <v>6</v>
      </c>
      <c r="AD207" s="9"/>
      <c r="AE207"/>
      <c r="AF207"/>
      <c r="AG207"/>
      <c r="AH207"/>
    </row>
    <row r="208" spans="1:34" s="6" customFormat="1" x14ac:dyDescent="0.25">
      <c r="B208" s="7"/>
      <c r="C208" s="7"/>
      <c r="D208" s="7"/>
      <c r="E208" s="7"/>
      <c r="F208" s="7"/>
      <c r="G208" s="7"/>
      <c r="H208" s="8"/>
      <c r="K208" s="7">
        <v>175</v>
      </c>
      <c r="L208" s="35">
        <v>122</v>
      </c>
      <c r="M208" s="9"/>
      <c r="N208" s="126">
        <v>0.96880181688058542</v>
      </c>
      <c r="O208" s="127">
        <v>160</v>
      </c>
      <c r="P208" s="126">
        <v>1.7557822218222219</v>
      </c>
      <c r="Q208" s="127">
        <v>160</v>
      </c>
      <c r="R208" s="9"/>
      <c r="S208"/>
      <c r="T208"/>
      <c r="U208"/>
      <c r="V208"/>
      <c r="W208" s="9"/>
      <c r="X208" s="7"/>
      <c r="Y208" s="7"/>
      <c r="Z208" s="7"/>
      <c r="AA208" s="36"/>
      <c r="AB208">
        <v>1.6624999999999999</v>
      </c>
      <c r="AC208">
        <v>7</v>
      </c>
      <c r="AD208" s="9"/>
      <c r="AE208"/>
      <c r="AF208"/>
      <c r="AG208"/>
      <c r="AH208"/>
    </row>
    <row r="209" spans="2:34" s="6" customFormat="1" x14ac:dyDescent="0.25">
      <c r="B209" s="9"/>
      <c r="C209" s="9"/>
      <c r="D209" s="9"/>
      <c r="E209" s="9"/>
      <c r="F209" s="9"/>
      <c r="G209" s="9"/>
      <c r="H209" s="8"/>
      <c r="K209" s="7">
        <v>115</v>
      </c>
      <c r="L209" s="35">
        <v>160</v>
      </c>
      <c r="M209" s="9"/>
      <c r="N209" s="126">
        <v>0.76921407415481047</v>
      </c>
      <c r="O209" s="127">
        <v>200</v>
      </c>
      <c r="P209" s="126">
        <v>1.2277799052826699</v>
      </c>
      <c r="Q209" s="127">
        <v>200</v>
      </c>
      <c r="R209" s="9"/>
      <c r="S209"/>
      <c r="T209"/>
      <c r="U209"/>
      <c r="V209"/>
      <c r="W209" s="9"/>
      <c r="X209" s="7"/>
      <c r="Y209" s="7"/>
      <c r="Z209" s="7"/>
      <c r="AA209" s="36"/>
      <c r="AB209">
        <v>0</v>
      </c>
      <c r="AC209">
        <v>8</v>
      </c>
      <c r="AD209" s="9"/>
      <c r="AE209"/>
      <c r="AF209"/>
      <c r="AG209"/>
      <c r="AH209"/>
    </row>
    <row r="210" spans="2:34" x14ac:dyDescent="0.25">
      <c r="K210" s="7">
        <v>90</v>
      </c>
      <c r="L210" s="35">
        <v>200</v>
      </c>
      <c r="N210" s="126">
        <v>0.62516755650083999</v>
      </c>
      <c r="O210" s="127">
        <v>240</v>
      </c>
      <c r="P210" s="126">
        <v>0.68714092545142358</v>
      </c>
      <c r="Q210" s="127">
        <v>240</v>
      </c>
      <c r="AB210">
        <v>0</v>
      </c>
      <c r="AC210">
        <v>9</v>
      </c>
    </row>
    <row r="211" spans="2:34" ht="15.75" x14ac:dyDescent="0.25">
      <c r="C211" s="44"/>
      <c r="K211" s="35">
        <v>70</v>
      </c>
      <c r="L211" s="35">
        <v>240</v>
      </c>
      <c r="N211" s="126">
        <v>0.29766883705008029</v>
      </c>
      <c r="O211" s="127">
        <v>280</v>
      </c>
      <c r="P211" s="126">
        <v>0.2300758491032901</v>
      </c>
      <c r="Q211" s="127">
        <v>280</v>
      </c>
      <c r="AB211">
        <v>1.1875</v>
      </c>
      <c r="AC211">
        <v>10</v>
      </c>
    </row>
    <row r="212" spans="2:34" x14ac:dyDescent="0.25">
      <c r="K212" s="35">
        <v>0</v>
      </c>
      <c r="L212" s="35">
        <v>280</v>
      </c>
      <c r="N212" s="126">
        <v>1.67996521791932E-2</v>
      </c>
      <c r="O212" s="127">
        <v>320</v>
      </c>
      <c r="P212" s="126">
        <v>0</v>
      </c>
      <c r="Q212" s="127">
        <v>337</v>
      </c>
      <c r="AB212">
        <v>0</v>
      </c>
      <c r="AC212" s="7">
        <v>12</v>
      </c>
    </row>
    <row r="213" spans="2:34" x14ac:dyDescent="0.25">
      <c r="K213" s="35">
        <v>6</v>
      </c>
      <c r="L213" s="35">
        <v>320</v>
      </c>
      <c r="N213" s="126">
        <v>0</v>
      </c>
      <c r="O213" s="127">
        <v>360</v>
      </c>
      <c r="P213" s="126">
        <v>6.0956197311077404E-2</v>
      </c>
      <c r="Q213" s="127">
        <v>360</v>
      </c>
      <c r="AB213">
        <v>0</v>
      </c>
      <c r="AC213" s="7">
        <v>24</v>
      </c>
    </row>
    <row r="214" spans="2:34" x14ac:dyDescent="0.25">
      <c r="K214" s="35">
        <v>12</v>
      </c>
      <c r="L214" s="35">
        <v>360</v>
      </c>
      <c r="N214" s="126">
        <v>0.28008170117498749</v>
      </c>
      <c r="O214" s="127">
        <v>400</v>
      </c>
      <c r="P214" s="126">
        <v>0.27633283532688541</v>
      </c>
      <c r="Q214" s="127">
        <v>400</v>
      </c>
      <c r="AB214" s="7">
        <f>SUM(5.4*0.95)</f>
        <v>5.13</v>
      </c>
      <c r="AC214" s="7">
        <v>25</v>
      </c>
    </row>
    <row r="215" spans="2:34" x14ac:dyDescent="0.25">
      <c r="K215" s="35">
        <v>40</v>
      </c>
      <c r="L215" s="35">
        <v>400</v>
      </c>
      <c r="N215" s="126">
        <v>0.64342405351744758</v>
      </c>
      <c r="O215" s="127">
        <v>440</v>
      </c>
      <c r="P215" s="126">
        <v>0.66282246717011661</v>
      </c>
      <c r="Q215" s="127">
        <v>440</v>
      </c>
      <c r="AB215">
        <v>0</v>
      </c>
      <c r="AC215" s="9">
        <v>26</v>
      </c>
    </row>
    <row r="216" spans="2:34" x14ac:dyDescent="0.25">
      <c r="K216" s="35">
        <v>117</v>
      </c>
      <c r="L216" s="35">
        <v>440</v>
      </c>
      <c r="N216" s="126">
        <v>0.897731413325632</v>
      </c>
      <c r="O216" s="127">
        <v>480</v>
      </c>
      <c r="P216" s="126">
        <v>1.2644791220047065</v>
      </c>
      <c r="Q216" s="127">
        <v>480</v>
      </c>
      <c r="AB216">
        <v>0</v>
      </c>
      <c r="AC216" s="9">
        <v>32</v>
      </c>
    </row>
    <row r="217" spans="2:34" x14ac:dyDescent="0.25">
      <c r="K217" s="35">
        <v>175</v>
      </c>
      <c r="L217" s="35">
        <v>478</v>
      </c>
      <c r="N217" s="126">
        <v>1.7919191500197322</v>
      </c>
      <c r="O217" s="127">
        <v>520</v>
      </c>
      <c r="P217" s="126">
        <v>1.9826853553304227</v>
      </c>
      <c r="Q217" s="127">
        <v>520</v>
      </c>
      <c r="AB217" s="7">
        <v>1.1000000000000001</v>
      </c>
      <c r="AC217" s="7">
        <v>34</v>
      </c>
    </row>
    <row r="218" spans="2:34" x14ac:dyDescent="0.25">
      <c r="K218" s="35">
        <v>175</v>
      </c>
      <c r="L218" s="35">
        <v>480</v>
      </c>
      <c r="N218" s="127">
        <v>2.4394407437015047</v>
      </c>
      <c r="O218" s="127">
        <v>560</v>
      </c>
      <c r="P218" s="127">
        <v>2.3889419548805395</v>
      </c>
      <c r="Q218" s="127">
        <v>560</v>
      </c>
      <c r="AB218">
        <v>0</v>
      </c>
      <c r="AC218" s="7">
        <v>37</v>
      </c>
    </row>
    <row r="219" spans="2:34" x14ac:dyDescent="0.25">
      <c r="K219" s="35">
        <v>175</v>
      </c>
      <c r="L219" s="35">
        <v>506</v>
      </c>
      <c r="N219" s="127">
        <v>2.4846685573026805</v>
      </c>
      <c r="O219" s="127">
        <v>600</v>
      </c>
      <c r="P219" s="127">
        <v>2.6718678280319486</v>
      </c>
      <c r="Q219" s="127">
        <v>600</v>
      </c>
      <c r="AB219" s="9">
        <v>1</v>
      </c>
      <c r="AC219" s="9">
        <v>38</v>
      </c>
    </row>
    <row r="220" spans="2:34" x14ac:dyDescent="0.25">
      <c r="K220" s="35">
        <v>175</v>
      </c>
      <c r="L220" s="35">
        <v>520</v>
      </c>
      <c r="N220" s="127">
        <v>2.5266545630223978</v>
      </c>
      <c r="O220" s="127">
        <v>631</v>
      </c>
      <c r="P220" s="127">
        <v>2.7168328633316969</v>
      </c>
      <c r="Q220" s="127">
        <v>631</v>
      </c>
      <c r="AB220" s="6">
        <v>0.9</v>
      </c>
      <c r="AC220" s="6">
        <v>43</v>
      </c>
    </row>
    <row r="221" spans="2:34" x14ac:dyDescent="0.25">
      <c r="K221" s="35">
        <v>175</v>
      </c>
      <c r="L221" s="35">
        <v>560</v>
      </c>
      <c r="N221" s="127"/>
      <c r="O221" s="127"/>
      <c r="P221" s="127"/>
      <c r="Q221" s="127"/>
      <c r="AB221">
        <v>0</v>
      </c>
      <c r="AC221" s="9">
        <v>44</v>
      </c>
    </row>
    <row r="222" spans="2:34" x14ac:dyDescent="0.25">
      <c r="K222" s="35">
        <v>175</v>
      </c>
      <c r="L222" s="35">
        <v>600</v>
      </c>
      <c r="AB222">
        <v>0</v>
      </c>
      <c r="AC222" s="9">
        <v>54</v>
      </c>
    </row>
    <row r="223" spans="2:34" x14ac:dyDescent="0.25">
      <c r="K223">
        <v>175</v>
      </c>
      <c r="L223">
        <v>631</v>
      </c>
      <c r="AB223" s="9">
        <v>0.9</v>
      </c>
      <c r="AC223" s="9">
        <v>55</v>
      </c>
    </row>
    <row r="224" spans="2:34" x14ac:dyDescent="0.25">
      <c r="AB224" s="9">
        <v>0.5</v>
      </c>
      <c r="AC224" s="9">
        <v>59</v>
      </c>
    </row>
    <row r="225" spans="1:34" x14ac:dyDescent="0.25">
      <c r="AB225">
        <v>0</v>
      </c>
      <c r="AC225" s="9">
        <v>60</v>
      </c>
    </row>
    <row r="226" spans="1:34" x14ac:dyDescent="0.25">
      <c r="AB226">
        <v>0</v>
      </c>
      <c r="AC226" s="9">
        <v>65</v>
      </c>
    </row>
    <row r="227" spans="1:34" x14ac:dyDescent="0.25">
      <c r="AB227" s="9">
        <v>5.5</v>
      </c>
      <c r="AC227" s="9">
        <v>66</v>
      </c>
    </row>
    <row r="228" spans="1:34" x14ac:dyDescent="0.25">
      <c r="AB228">
        <v>0</v>
      </c>
      <c r="AC228" s="9">
        <v>67</v>
      </c>
    </row>
    <row r="229" spans="1:34" x14ac:dyDescent="0.25">
      <c r="AB229">
        <v>0</v>
      </c>
      <c r="AC229" s="9">
        <v>72</v>
      </c>
    </row>
    <row r="230" spans="1:34" x14ac:dyDescent="0.25">
      <c r="AB230" s="9">
        <v>1.2</v>
      </c>
      <c r="AC230" s="9">
        <v>73</v>
      </c>
    </row>
    <row r="231" spans="1:34" x14ac:dyDescent="0.25">
      <c r="AB231">
        <v>0</v>
      </c>
      <c r="AC231" s="9">
        <v>76</v>
      </c>
    </row>
    <row r="232" spans="1:34" x14ac:dyDescent="0.25">
      <c r="AB232">
        <v>0</v>
      </c>
      <c r="AC232" s="9">
        <v>79</v>
      </c>
    </row>
    <row r="233" spans="1:34" x14ac:dyDescent="0.25">
      <c r="AB233" s="9">
        <v>0.7</v>
      </c>
      <c r="AC233" s="9">
        <v>81</v>
      </c>
    </row>
    <row r="234" spans="1:34" x14ac:dyDescent="0.25">
      <c r="AB234">
        <v>0.4</v>
      </c>
      <c r="AC234" s="9">
        <v>86</v>
      </c>
    </row>
    <row r="235" spans="1:34" x14ac:dyDescent="0.25">
      <c r="AB235">
        <v>0</v>
      </c>
      <c r="AC235" s="9">
        <v>87</v>
      </c>
    </row>
    <row r="236" spans="1:34" x14ac:dyDescent="0.25">
      <c r="AB236">
        <v>0</v>
      </c>
      <c r="AC236" s="9">
        <v>100</v>
      </c>
    </row>
    <row r="238" spans="1:34" s="6" customFormat="1" x14ac:dyDescent="0.25">
      <c r="A238" s="2">
        <v>39</v>
      </c>
      <c r="B238" s="3" t="s">
        <v>0</v>
      </c>
      <c r="C238" s="3" t="s">
        <v>1</v>
      </c>
      <c r="D238" s="3" t="s">
        <v>2</v>
      </c>
      <c r="E238" s="3" t="s">
        <v>3</v>
      </c>
      <c r="F238" s="3" t="s">
        <v>4</v>
      </c>
      <c r="G238" s="3" t="s">
        <v>5</v>
      </c>
      <c r="H238" s="4"/>
      <c r="I238" s="4"/>
      <c r="J238" s="4"/>
      <c r="K238" s="3" t="s">
        <v>6</v>
      </c>
      <c r="L238" s="3" t="s">
        <v>7</v>
      </c>
      <c r="M238" s="124" t="s">
        <v>23</v>
      </c>
      <c r="N238" s="3" t="s">
        <v>214</v>
      </c>
      <c r="O238" s="3" t="s">
        <v>9</v>
      </c>
      <c r="P238" s="3" t="s">
        <v>210</v>
      </c>
      <c r="Q238" s="3" t="s">
        <v>9</v>
      </c>
      <c r="R238" s="5"/>
      <c r="S238" s="3" t="s">
        <v>211</v>
      </c>
      <c r="T238" s="3" t="s">
        <v>212</v>
      </c>
      <c r="U238" s="3" t="s">
        <v>213</v>
      </c>
      <c r="V238" s="3" t="s">
        <v>212</v>
      </c>
      <c r="W238" s="5"/>
      <c r="X238" s="3" t="s">
        <v>12</v>
      </c>
      <c r="Y238" s="3" t="s">
        <v>13</v>
      </c>
      <c r="Z238" s="3" t="s">
        <v>14</v>
      </c>
      <c r="AA238" s="3" t="s">
        <v>15</v>
      </c>
      <c r="AB238" s="3" t="s">
        <v>16</v>
      </c>
      <c r="AC238" s="3" t="s">
        <v>17</v>
      </c>
      <c r="AD238" s="5"/>
      <c r="AE238" s="3" t="s">
        <v>18</v>
      </c>
      <c r="AF238" s="3" t="s">
        <v>19</v>
      </c>
      <c r="AG238" s="3" t="s">
        <v>20</v>
      </c>
      <c r="AH238" s="3" t="s">
        <v>21</v>
      </c>
    </row>
    <row r="239" spans="1:34" s="6" customFormat="1" x14ac:dyDescent="0.25">
      <c r="B239" s="7">
        <v>15750</v>
      </c>
      <c r="C239" s="7">
        <v>25</v>
      </c>
      <c r="D239" s="7">
        <v>1000000</v>
      </c>
      <c r="E239" s="7">
        <v>10000</v>
      </c>
      <c r="F239" s="7">
        <v>100</v>
      </c>
      <c r="G239" s="7">
        <v>631</v>
      </c>
      <c r="H239" s="8"/>
      <c r="K239" s="7">
        <v>175</v>
      </c>
      <c r="L239" s="35">
        <v>1</v>
      </c>
      <c r="M239" s="125">
        <v>2641.0761195</v>
      </c>
      <c r="N239" s="126">
        <v>2.3003711230056219</v>
      </c>
      <c r="O239" s="126">
        <v>1</v>
      </c>
      <c r="P239" s="126">
        <v>2.5452785524304251</v>
      </c>
      <c r="Q239" s="126">
        <v>1</v>
      </c>
      <c r="R239" s="9"/>
      <c r="S239" s="127">
        <v>1</v>
      </c>
      <c r="T239" s="127">
        <v>1</v>
      </c>
      <c r="U239" s="127">
        <v>0</v>
      </c>
      <c r="V239" s="127">
        <v>1</v>
      </c>
      <c r="W239" s="9"/>
      <c r="X239" s="7">
        <v>0</v>
      </c>
      <c r="Y239" s="7">
        <v>1</v>
      </c>
      <c r="Z239" s="7">
        <v>6.5616798000000003</v>
      </c>
      <c r="AA239" s="36">
        <v>1</v>
      </c>
      <c r="AB239">
        <v>1.4400000000000002</v>
      </c>
      <c r="AC239">
        <v>1</v>
      </c>
      <c r="AD239" s="9"/>
      <c r="AE239" s="7">
        <v>0.32808399000000005</v>
      </c>
      <c r="AF239" s="7">
        <v>1</v>
      </c>
      <c r="AG239" s="7">
        <v>1</v>
      </c>
      <c r="AH239" s="7">
        <v>1</v>
      </c>
    </row>
    <row r="240" spans="1:34" s="6" customFormat="1" x14ac:dyDescent="0.25">
      <c r="B240" s="7"/>
      <c r="C240" s="7"/>
      <c r="D240" s="7"/>
      <c r="E240" s="7"/>
      <c r="F240" s="7"/>
      <c r="G240" s="7"/>
      <c r="H240" s="8"/>
      <c r="K240" s="7">
        <v>175</v>
      </c>
      <c r="L240" s="35">
        <v>40</v>
      </c>
      <c r="M240" s="125"/>
      <c r="N240" s="126">
        <v>1.8680425739566975</v>
      </c>
      <c r="O240" s="127">
        <v>40</v>
      </c>
      <c r="P240" s="126">
        <v>2.3623311424394862</v>
      </c>
      <c r="Q240" s="127">
        <v>40</v>
      </c>
      <c r="R240" s="9"/>
      <c r="S240" s="127">
        <v>1</v>
      </c>
      <c r="T240" s="127">
        <v>20</v>
      </c>
      <c r="U240" s="127">
        <v>0</v>
      </c>
      <c r="V240" s="127">
        <v>20</v>
      </c>
      <c r="W240" s="9"/>
      <c r="X240" s="7">
        <v>0</v>
      </c>
      <c r="Y240" s="7">
        <v>631</v>
      </c>
      <c r="Z240" s="7">
        <v>6.5616798000000003</v>
      </c>
      <c r="AA240" s="36">
        <v>631</v>
      </c>
      <c r="AB240">
        <v>0.9</v>
      </c>
      <c r="AC240">
        <v>4</v>
      </c>
      <c r="AD240" s="9"/>
      <c r="AE240" s="7">
        <v>0.32808399000000005</v>
      </c>
      <c r="AF240" s="7">
        <v>631</v>
      </c>
      <c r="AG240" s="7">
        <v>1</v>
      </c>
      <c r="AH240" s="7">
        <v>100</v>
      </c>
    </row>
    <row r="241" spans="2:34" s="6" customFormat="1" x14ac:dyDescent="0.25">
      <c r="B241" s="7"/>
      <c r="C241" s="7"/>
      <c r="D241" s="7"/>
      <c r="E241" s="7"/>
      <c r="F241" s="7"/>
      <c r="G241" s="7"/>
      <c r="H241" s="8"/>
      <c r="K241" s="7">
        <v>175</v>
      </c>
      <c r="L241" s="35">
        <v>80</v>
      </c>
      <c r="M241" s="125"/>
      <c r="N241" s="126">
        <v>1.8517206618863549</v>
      </c>
      <c r="O241" s="127">
        <v>80</v>
      </c>
      <c r="P241" s="126">
        <v>2.2010510566522514</v>
      </c>
      <c r="Q241" s="127">
        <v>80</v>
      </c>
      <c r="R241" s="9"/>
      <c r="S241" s="127">
        <v>0</v>
      </c>
      <c r="T241" s="127">
        <v>30</v>
      </c>
      <c r="U241" s="127">
        <v>1</v>
      </c>
      <c r="V241" s="127">
        <v>30</v>
      </c>
      <c r="W241" s="9"/>
      <c r="X241" s="7"/>
      <c r="Y241" s="7"/>
      <c r="Z241" s="7"/>
      <c r="AA241" s="36"/>
      <c r="AB241">
        <v>0</v>
      </c>
      <c r="AC241">
        <v>5</v>
      </c>
      <c r="AD241" s="9"/>
      <c r="AE241"/>
      <c r="AF241"/>
      <c r="AG241"/>
      <c r="AH241"/>
    </row>
    <row r="242" spans="2:34" s="6" customFormat="1" x14ac:dyDescent="0.25">
      <c r="B242" s="7"/>
      <c r="C242" s="7"/>
      <c r="D242" s="7"/>
      <c r="E242" s="7"/>
      <c r="F242" s="7"/>
      <c r="G242" s="7"/>
      <c r="H242" s="8"/>
      <c r="K242" s="7">
        <v>175</v>
      </c>
      <c r="L242" s="35">
        <v>120</v>
      </c>
      <c r="M242" s="125"/>
      <c r="N242" s="126">
        <v>1.6078868352336271</v>
      </c>
      <c r="O242" s="127">
        <v>120</v>
      </c>
      <c r="P242" s="126">
        <v>2.0065471041636549</v>
      </c>
      <c r="Q242" s="127">
        <v>120</v>
      </c>
      <c r="R242" s="9"/>
      <c r="S242" s="127">
        <v>0</v>
      </c>
      <c r="T242" s="127">
        <v>100</v>
      </c>
      <c r="U242" s="127">
        <v>1</v>
      </c>
      <c r="V242" s="127">
        <v>100</v>
      </c>
      <c r="W242" s="9"/>
      <c r="X242" s="7"/>
      <c r="Y242" s="7"/>
      <c r="Z242" s="7"/>
      <c r="AA242" s="36"/>
      <c r="AB242">
        <v>0</v>
      </c>
      <c r="AC242">
        <v>6</v>
      </c>
      <c r="AD242" s="9"/>
      <c r="AE242"/>
      <c r="AF242"/>
      <c r="AG242"/>
      <c r="AH242"/>
    </row>
    <row r="243" spans="2:34" s="6" customFormat="1" x14ac:dyDescent="0.25">
      <c r="B243" s="7"/>
      <c r="C243" s="7"/>
      <c r="D243" s="7"/>
      <c r="E243" s="7"/>
      <c r="F243" s="7"/>
      <c r="G243" s="7"/>
      <c r="H243" s="8"/>
      <c r="K243" s="7">
        <v>175</v>
      </c>
      <c r="L243" s="35">
        <v>122</v>
      </c>
      <c r="M243" s="9"/>
      <c r="N243" s="126">
        <v>0.96880181688058542</v>
      </c>
      <c r="O243" s="127">
        <v>160</v>
      </c>
      <c r="P243" s="126">
        <v>1.7557822218222219</v>
      </c>
      <c r="Q243" s="127">
        <v>160</v>
      </c>
      <c r="R243" s="9"/>
      <c r="S243"/>
      <c r="T243"/>
      <c r="U243"/>
      <c r="V243"/>
      <c r="W243" s="9"/>
      <c r="X243" s="7"/>
      <c r="Y243" s="7"/>
      <c r="Z243" s="7"/>
      <c r="AA243" s="36"/>
      <c r="AB243">
        <v>1.6624999999999999</v>
      </c>
      <c r="AC243">
        <v>7</v>
      </c>
      <c r="AD243" s="9"/>
      <c r="AE243"/>
      <c r="AF243"/>
      <c r="AG243"/>
      <c r="AH243"/>
    </row>
    <row r="244" spans="2:34" s="6" customFormat="1" x14ac:dyDescent="0.25">
      <c r="B244" s="9"/>
      <c r="C244" s="9"/>
      <c r="D244" s="9"/>
      <c r="E244" s="9"/>
      <c r="F244" s="9"/>
      <c r="G244" s="9"/>
      <c r="H244" s="8"/>
      <c r="K244" s="7">
        <v>115</v>
      </c>
      <c r="L244" s="35">
        <v>160</v>
      </c>
      <c r="M244" s="9"/>
      <c r="N244" s="126">
        <v>0.76921407415481047</v>
      </c>
      <c r="O244" s="127">
        <v>200</v>
      </c>
      <c r="P244" s="126">
        <v>1.2277799052826699</v>
      </c>
      <c r="Q244" s="127">
        <v>200</v>
      </c>
      <c r="R244" s="9"/>
      <c r="S244"/>
      <c r="T244"/>
      <c r="U244"/>
      <c r="V244"/>
      <c r="W244" s="9"/>
      <c r="X244" s="7"/>
      <c r="Y244" s="7"/>
      <c r="Z244" s="7"/>
      <c r="AA244" s="36"/>
      <c r="AB244">
        <v>0</v>
      </c>
      <c r="AC244">
        <v>8</v>
      </c>
      <c r="AD244" s="9"/>
      <c r="AE244"/>
      <c r="AF244"/>
      <c r="AG244"/>
      <c r="AH244"/>
    </row>
    <row r="245" spans="2:34" x14ac:dyDescent="0.25">
      <c r="K245" s="7">
        <v>90</v>
      </c>
      <c r="L245" s="35">
        <v>200</v>
      </c>
      <c r="N245" s="126">
        <v>0.62516755650083999</v>
      </c>
      <c r="O245" s="127">
        <v>240</v>
      </c>
      <c r="P245" s="126">
        <v>0.68714092545142358</v>
      </c>
      <c r="Q245" s="127">
        <v>240</v>
      </c>
      <c r="AB245">
        <v>0</v>
      </c>
      <c r="AC245">
        <v>9</v>
      </c>
    </row>
    <row r="246" spans="2:34" ht="15.75" x14ac:dyDescent="0.25">
      <c r="C246" s="44"/>
      <c r="K246" s="35">
        <v>70</v>
      </c>
      <c r="L246" s="35">
        <v>240</v>
      </c>
      <c r="N246" s="126">
        <v>0.29766883705008029</v>
      </c>
      <c r="O246" s="127">
        <v>280</v>
      </c>
      <c r="P246" s="126">
        <v>0.2300758491032901</v>
      </c>
      <c r="Q246" s="127">
        <v>280</v>
      </c>
      <c r="AB246">
        <v>1.1875</v>
      </c>
      <c r="AC246">
        <v>10</v>
      </c>
    </row>
    <row r="247" spans="2:34" x14ac:dyDescent="0.25">
      <c r="K247" s="35">
        <v>0</v>
      </c>
      <c r="L247" s="35">
        <v>280</v>
      </c>
      <c r="N247" s="126">
        <v>1.67996521791932E-2</v>
      </c>
      <c r="O247" s="127">
        <v>320</v>
      </c>
      <c r="P247" s="126">
        <v>0</v>
      </c>
      <c r="Q247" s="127">
        <v>337</v>
      </c>
      <c r="AB247">
        <v>0</v>
      </c>
      <c r="AC247" s="7">
        <v>12</v>
      </c>
    </row>
    <row r="248" spans="2:34" x14ac:dyDescent="0.25">
      <c r="K248" s="35">
        <v>6</v>
      </c>
      <c r="L248" s="35">
        <v>320</v>
      </c>
      <c r="N248" s="126">
        <v>0</v>
      </c>
      <c r="O248" s="127">
        <v>360</v>
      </c>
      <c r="P248" s="126">
        <v>6.0956197311077404E-2</v>
      </c>
      <c r="Q248" s="127">
        <v>360</v>
      </c>
      <c r="AB248">
        <v>0</v>
      </c>
      <c r="AC248" s="7">
        <v>24</v>
      </c>
    </row>
    <row r="249" spans="2:34" x14ac:dyDescent="0.25">
      <c r="K249" s="35">
        <v>12</v>
      </c>
      <c r="L249" s="35">
        <v>360</v>
      </c>
      <c r="N249" s="126">
        <v>0.28008170117498749</v>
      </c>
      <c r="O249" s="127">
        <v>400</v>
      </c>
      <c r="P249" s="126">
        <v>0.27633283532688541</v>
      </c>
      <c r="Q249" s="127">
        <v>400</v>
      </c>
      <c r="AB249" s="7">
        <f>SUM(5.4*0.95)</f>
        <v>5.13</v>
      </c>
      <c r="AC249" s="7">
        <v>25</v>
      </c>
    </row>
    <row r="250" spans="2:34" x14ac:dyDescent="0.25">
      <c r="K250" s="35">
        <v>40</v>
      </c>
      <c r="L250" s="35">
        <v>400</v>
      </c>
      <c r="N250" s="126">
        <v>0.64342405351744758</v>
      </c>
      <c r="O250" s="127">
        <v>440</v>
      </c>
      <c r="P250" s="126">
        <v>0.66282246717011661</v>
      </c>
      <c r="Q250" s="127">
        <v>440</v>
      </c>
      <c r="AB250">
        <v>0</v>
      </c>
      <c r="AC250" s="9">
        <v>26</v>
      </c>
    </row>
    <row r="251" spans="2:34" x14ac:dyDescent="0.25">
      <c r="K251" s="35">
        <v>117</v>
      </c>
      <c r="L251" s="35">
        <v>440</v>
      </c>
      <c r="N251" s="126">
        <v>0.897731413325632</v>
      </c>
      <c r="O251" s="127">
        <v>480</v>
      </c>
      <c r="P251" s="126">
        <v>1.2644791220047065</v>
      </c>
      <c r="Q251" s="127">
        <v>480</v>
      </c>
      <c r="AB251">
        <v>0</v>
      </c>
      <c r="AC251" s="9">
        <v>32</v>
      </c>
    </row>
    <row r="252" spans="2:34" x14ac:dyDescent="0.25">
      <c r="K252" s="35">
        <v>175</v>
      </c>
      <c r="L252" s="35">
        <v>478</v>
      </c>
      <c r="N252" s="126">
        <v>1.7919191500197322</v>
      </c>
      <c r="O252" s="127">
        <v>520</v>
      </c>
      <c r="P252" s="126">
        <v>1.9826853553304227</v>
      </c>
      <c r="Q252" s="127">
        <v>520</v>
      </c>
      <c r="AB252" s="7">
        <v>1.1000000000000001</v>
      </c>
      <c r="AC252" s="7">
        <v>34</v>
      </c>
    </row>
    <row r="253" spans="2:34" x14ac:dyDescent="0.25">
      <c r="K253" s="35">
        <v>175</v>
      </c>
      <c r="L253" s="35">
        <v>480</v>
      </c>
      <c r="N253" s="127">
        <v>2.4394407437015047</v>
      </c>
      <c r="O253" s="127">
        <v>560</v>
      </c>
      <c r="P253" s="127">
        <v>2.3889419548805395</v>
      </c>
      <c r="Q253" s="127">
        <v>560</v>
      </c>
      <c r="AB253">
        <v>0</v>
      </c>
      <c r="AC253" s="7">
        <v>37</v>
      </c>
    </row>
    <row r="254" spans="2:34" x14ac:dyDescent="0.25">
      <c r="K254" s="35">
        <v>175</v>
      </c>
      <c r="L254" s="35">
        <v>506</v>
      </c>
      <c r="N254" s="127">
        <v>2.4846685573026805</v>
      </c>
      <c r="O254" s="127">
        <v>600</v>
      </c>
      <c r="P254" s="127">
        <v>2.6718678280319486</v>
      </c>
      <c r="Q254" s="127">
        <v>600</v>
      </c>
      <c r="AB254" s="9">
        <v>1</v>
      </c>
      <c r="AC254" s="9">
        <v>38</v>
      </c>
    </row>
    <row r="255" spans="2:34" x14ac:dyDescent="0.25">
      <c r="K255" s="35">
        <v>175</v>
      </c>
      <c r="L255" s="35">
        <v>520</v>
      </c>
      <c r="N255" s="127">
        <v>2.5266545630223978</v>
      </c>
      <c r="O255" s="127">
        <v>631</v>
      </c>
      <c r="P255" s="127">
        <v>2.7168328633316969</v>
      </c>
      <c r="Q255" s="127">
        <v>631</v>
      </c>
      <c r="AB255" s="6">
        <v>0.9</v>
      </c>
      <c r="AC255" s="6">
        <v>43</v>
      </c>
    </row>
    <row r="256" spans="2:34" x14ac:dyDescent="0.25">
      <c r="K256" s="35">
        <v>175</v>
      </c>
      <c r="L256" s="35">
        <v>560</v>
      </c>
      <c r="N256" s="127"/>
      <c r="O256" s="127"/>
      <c r="P256" s="127"/>
      <c r="Q256" s="127"/>
      <c r="AB256">
        <v>0</v>
      </c>
      <c r="AC256" s="9">
        <v>44</v>
      </c>
    </row>
    <row r="257" spans="11:29" x14ac:dyDescent="0.25">
      <c r="K257" s="35">
        <v>175</v>
      </c>
      <c r="L257" s="35">
        <v>600</v>
      </c>
      <c r="AB257">
        <v>0</v>
      </c>
      <c r="AC257" s="9">
        <v>54</v>
      </c>
    </row>
    <row r="258" spans="11:29" x14ac:dyDescent="0.25">
      <c r="K258">
        <v>175</v>
      </c>
      <c r="L258">
        <v>631</v>
      </c>
      <c r="AB258" s="9">
        <v>0.9</v>
      </c>
      <c r="AC258" s="9">
        <v>55</v>
      </c>
    </row>
    <row r="259" spans="11:29" x14ac:dyDescent="0.25">
      <c r="AB259" s="9">
        <v>0.5</v>
      </c>
      <c r="AC259" s="9">
        <v>59</v>
      </c>
    </row>
    <row r="260" spans="11:29" x14ac:dyDescent="0.25">
      <c r="AB260">
        <v>0</v>
      </c>
      <c r="AC260" s="9">
        <v>60</v>
      </c>
    </row>
    <row r="261" spans="11:29" x14ac:dyDescent="0.25">
      <c r="AB261">
        <v>0</v>
      </c>
      <c r="AC261" s="9">
        <v>65</v>
      </c>
    </row>
    <row r="262" spans="11:29" x14ac:dyDescent="0.25">
      <c r="AB262" s="9">
        <v>5.5</v>
      </c>
      <c r="AC262" s="9">
        <v>66</v>
      </c>
    </row>
    <row r="263" spans="11:29" x14ac:dyDescent="0.25">
      <c r="AB263">
        <v>0</v>
      </c>
      <c r="AC263" s="9">
        <v>67</v>
      </c>
    </row>
    <row r="264" spans="11:29" x14ac:dyDescent="0.25">
      <c r="AB264">
        <v>0</v>
      </c>
      <c r="AC264" s="9">
        <v>72</v>
      </c>
    </row>
    <row r="265" spans="11:29" x14ac:dyDescent="0.25">
      <c r="AB265" s="9">
        <v>1.2</v>
      </c>
      <c r="AC265" s="9">
        <v>73</v>
      </c>
    </row>
    <row r="266" spans="11:29" x14ac:dyDescent="0.25">
      <c r="AB266">
        <v>0</v>
      </c>
      <c r="AC266" s="9">
        <v>76</v>
      </c>
    </row>
    <row r="267" spans="11:29" x14ac:dyDescent="0.25">
      <c r="AB267">
        <v>0</v>
      </c>
      <c r="AC267" s="9">
        <v>79</v>
      </c>
    </row>
    <row r="268" spans="11:29" x14ac:dyDescent="0.25">
      <c r="AB268" s="9">
        <v>0.7</v>
      </c>
      <c r="AC268" s="9">
        <v>81</v>
      </c>
    </row>
    <row r="269" spans="11:29" x14ac:dyDescent="0.25">
      <c r="AB269">
        <v>0.4</v>
      </c>
      <c r="AC269" s="9">
        <v>86</v>
      </c>
    </row>
    <row r="270" spans="11:29" x14ac:dyDescent="0.25">
      <c r="AB270">
        <v>0</v>
      </c>
      <c r="AC270" s="9">
        <v>87</v>
      </c>
    </row>
    <row r="271" spans="11:29" x14ac:dyDescent="0.25">
      <c r="AB271">
        <v>0.9</v>
      </c>
      <c r="AC271" s="9">
        <v>88</v>
      </c>
    </row>
    <row r="272" spans="11:29" x14ac:dyDescent="0.25">
      <c r="AB272">
        <v>0</v>
      </c>
      <c r="AC272" s="9">
        <v>89</v>
      </c>
    </row>
    <row r="273" spans="28:29" x14ac:dyDescent="0.25">
      <c r="AB273">
        <v>0.75</v>
      </c>
      <c r="AC273" s="9">
        <v>90</v>
      </c>
    </row>
    <row r="274" spans="28:29" x14ac:dyDescent="0.25">
      <c r="AB274">
        <v>0</v>
      </c>
      <c r="AC274" s="9">
        <v>91</v>
      </c>
    </row>
    <row r="275" spans="28:29" x14ac:dyDescent="0.25">
      <c r="AB275">
        <v>0</v>
      </c>
      <c r="AC275" s="9">
        <v>100</v>
      </c>
    </row>
    <row r="293" spans="1:34" s="6" customFormat="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</row>
    <row r="294" spans="1:34" s="6" customFormat="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</row>
    <row r="295" spans="1:34" s="6" customFormat="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</row>
    <row r="296" spans="1:34" s="6" customFormat="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</row>
    <row r="297" spans="1:34" s="6" customFormat="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</row>
    <row r="298" spans="1:34" s="6" customFormat="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</row>
    <row r="299" spans="1:34" s="6" customFormat="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</row>
    <row r="330" spans="1:34" s="6" customFormat="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</row>
    <row r="331" spans="1:34" s="6" customFormat="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</row>
    <row r="332" spans="1:34" s="6" customFormat="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</row>
    <row r="333" spans="1:34" s="6" customFormat="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</row>
    <row r="334" spans="1:34" s="6" customFormat="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</row>
    <row r="335" spans="1:34" s="6" customFormat="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</row>
    <row r="336" spans="1:34" s="6" customFormat="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</row>
    <row r="367" spans="1:34" s="6" customFormat="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</row>
    <row r="368" spans="1:34" s="6" customFormat="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</row>
    <row r="369" spans="1:34" s="6" customFormat="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</row>
    <row r="370" spans="1:34" s="6" customFormat="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</row>
    <row r="371" spans="1:34" s="6" customFormat="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</row>
    <row r="372" spans="1:34" s="6" customFormat="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</row>
    <row r="373" spans="1:34" s="6" customFormat="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</row>
  </sheetData>
  <mergeCells count="1">
    <mergeCell ref="B1:G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5"/>
  <sheetViews>
    <sheetView topLeftCell="A49" workbookViewId="0">
      <selection activeCell="E153" sqref="E153"/>
    </sheetView>
  </sheetViews>
  <sheetFormatPr defaultRowHeight="15" x14ac:dyDescent="0.25"/>
  <cols>
    <col min="1" max="1" width="25.7109375" customWidth="1"/>
    <col min="2" max="2" width="29" customWidth="1"/>
    <col min="3" max="3" width="19.85546875" customWidth="1"/>
    <col min="4" max="4" width="14" customWidth="1"/>
    <col min="5" max="5" width="16.7109375" customWidth="1"/>
    <col min="6" max="6" width="15.5703125" customWidth="1"/>
    <col min="7" max="7" width="1.42578125" customWidth="1"/>
    <col min="8" max="8" width="2.42578125" customWidth="1"/>
    <col min="9" max="9" width="2.28515625" customWidth="1"/>
    <col min="10" max="10" width="24.85546875" customWidth="1"/>
    <col min="11" max="11" width="29.42578125" customWidth="1"/>
    <col min="12" max="14" width="26.28515625" customWidth="1"/>
    <col min="15" max="15" width="38.5703125" customWidth="1"/>
    <col min="16" max="16" width="32.28515625" customWidth="1"/>
    <col min="17" max="17" width="38.85546875" customWidth="1"/>
    <col min="18" max="18" width="37.85546875" customWidth="1"/>
    <col min="19" max="19" width="26" customWidth="1"/>
  </cols>
  <sheetData>
    <row r="1" spans="1:19" x14ac:dyDescent="0.25">
      <c r="A1" s="130" t="s">
        <v>24</v>
      </c>
      <c r="B1" s="130"/>
      <c r="C1" s="130"/>
      <c r="D1" s="130"/>
      <c r="E1" s="130"/>
      <c r="F1" s="130"/>
    </row>
    <row r="2" spans="1:19" x14ac:dyDescent="0.25">
      <c r="A2" s="130"/>
      <c r="B2" s="130"/>
      <c r="C2" s="130"/>
      <c r="D2" s="130"/>
      <c r="E2" s="130"/>
      <c r="F2" s="130"/>
    </row>
    <row r="3" spans="1:19" x14ac:dyDescent="0.25">
      <c r="A3" s="131"/>
      <c r="B3" s="131"/>
      <c r="C3" s="131"/>
      <c r="D3" s="131"/>
      <c r="E3" s="131"/>
      <c r="F3" s="131"/>
    </row>
    <row r="4" spans="1:19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/>
      <c r="H4" s="4"/>
      <c r="I4" s="4"/>
      <c r="J4" s="3" t="s">
        <v>6</v>
      </c>
      <c r="K4" s="3" t="s">
        <v>7</v>
      </c>
      <c r="L4" s="10" t="s">
        <v>23</v>
      </c>
      <c r="M4" s="10"/>
      <c r="N4" s="10"/>
      <c r="O4" s="3" t="s">
        <v>8</v>
      </c>
      <c r="P4" s="3" t="s">
        <v>9</v>
      </c>
      <c r="Q4" s="3"/>
      <c r="R4" s="3" t="s">
        <v>10</v>
      </c>
      <c r="S4" s="3" t="s">
        <v>11</v>
      </c>
    </row>
    <row r="5" spans="1:19" x14ac:dyDescent="0.25">
      <c r="A5" s="7">
        <v>15750</v>
      </c>
      <c r="B5" s="7">
        <v>25</v>
      </c>
      <c r="C5" s="7">
        <v>1000000</v>
      </c>
      <c r="D5" s="7">
        <v>10000</v>
      </c>
      <c r="E5" s="7">
        <v>100</v>
      </c>
      <c r="F5" s="7">
        <v>600</v>
      </c>
      <c r="G5" s="8"/>
      <c r="H5" s="6"/>
      <c r="I5" s="6"/>
      <c r="J5" s="7">
        <v>140</v>
      </c>
      <c r="K5" s="7">
        <v>1</v>
      </c>
      <c r="L5" s="7">
        <v>805</v>
      </c>
      <c r="M5" s="7"/>
      <c r="N5" s="7"/>
      <c r="O5" s="7">
        <v>0.66700724999999983</v>
      </c>
      <c r="P5" s="7">
        <v>1</v>
      </c>
      <c r="Q5" s="7"/>
      <c r="R5" s="7">
        <v>1</v>
      </c>
      <c r="S5" s="7">
        <v>1</v>
      </c>
    </row>
    <row r="6" spans="1:19" x14ac:dyDescent="0.25">
      <c r="A6" s="7"/>
      <c r="B6" s="7"/>
      <c r="C6" s="7"/>
      <c r="D6" s="7"/>
      <c r="E6" s="7"/>
      <c r="F6" s="7"/>
      <c r="G6" s="8"/>
      <c r="H6" s="6"/>
      <c r="I6" s="6"/>
      <c r="J6" s="7">
        <v>35</v>
      </c>
      <c r="K6" s="7">
        <v>150</v>
      </c>
      <c r="L6" s="7"/>
      <c r="M6" s="7"/>
      <c r="N6" s="7"/>
      <c r="O6" s="7">
        <v>0.60103949999999984</v>
      </c>
      <c r="P6" s="7">
        <v>50</v>
      </c>
      <c r="Q6" s="7"/>
      <c r="R6" s="7">
        <v>1</v>
      </c>
      <c r="S6" s="7">
        <v>100</v>
      </c>
    </row>
    <row r="7" spans="1:19" x14ac:dyDescent="0.25">
      <c r="A7" s="7"/>
      <c r="B7" s="7"/>
      <c r="C7" s="7"/>
      <c r="D7" s="7"/>
      <c r="E7" s="7"/>
      <c r="F7" s="7"/>
      <c r="G7" s="8"/>
      <c r="H7" s="6"/>
      <c r="I7" s="6"/>
      <c r="J7" s="7">
        <v>0</v>
      </c>
      <c r="K7" s="7">
        <v>300</v>
      </c>
      <c r="L7" s="7"/>
      <c r="M7" s="7"/>
      <c r="N7" s="7"/>
      <c r="O7" s="7">
        <v>0.53507174999999996</v>
      </c>
      <c r="P7" s="7">
        <v>100</v>
      </c>
      <c r="Q7" s="7"/>
      <c r="R7" s="7"/>
      <c r="S7" s="7"/>
    </row>
    <row r="8" spans="1:19" x14ac:dyDescent="0.25">
      <c r="A8" s="7"/>
      <c r="B8" s="7"/>
      <c r="C8" s="7"/>
      <c r="D8" s="7"/>
      <c r="E8" s="7"/>
      <c r="F8" s="7"/>
      <c r="G8" s="8"/>
      <c r="H8" s="6"/>
      <c r="I8" s="6"/>
      <c r="J8" s="7">
        <v>35</v>
      </c>
      <c r="K8" s="7">
        <v>450</v>
      </c>
      <c r="L8" s="7"/>
      <c r="M8" s="7"/>
      <c r="N8" s="7"/>
      <c r="O8" s="7">
        <v>0.43245524999999996</v>
      </c>
      <c r="P8" s="7">
        <v>150</v>
      </c>
      <c r="Q8" s="7"/>
      <c r="R8" s="7"/>
      <c r="S8" s="7"/>
    </row>
    <row r="9" spans="1:19" x14ac:dyDescent="0.25">
      <c r="A9" s="7"/>
      <c r="B9" s="7"/>
      <c r="C9" s="7"/>
      <c r="D9" s="7"/>
      <c r="E9" s="7"/>
      <c r="F9" s="7"/>
      <c r="G9" s="8"/>
      <c r="H9" s="6"/>
      <c r="I9" s="6"/>
      <c r="J9" s="7">
        <v>144</v>
      </c>
      <c r="K9" s="11">
        <v>650</v>
      </c>
      <c r="L9" s="9"/>
      <c r="M9" s="9"/>
      <c r="N9" s="9"/>
      <c r="O9" s="7">
        <v>0.27853049999999996</v>
      </c>
      <c r="P9" s="7">
        <v>200</v>
      </c>
      <c r="Q9" s="7"/>
      <c r="R9" s="7"/>
      <c r="S9" s="7"/>
    </row>
    <row r="10" spans="1:19" x14ac:dyDescent="0.25">
      <c r="A10" s="9"/>
      <c r="B10" s="9"/>
      <c r="C10" s="9"/>
      <c r="D10" s="9"/>
      <c r="E10" s="9"/>
      <c r="F10" s="9"/>
      <c r="G10" s="8"/>
      <c r="H10" s="6"/>
      <c r="I10" s="6"/>
      <c r="J10" s="7"/>
      <c r="K10" s="7"/>
      <c r="L10" s="9"/>
      <c r="M10" s="9"/>
      <c r="N10" s="9"/>
      <c r="O10" s="7">
        <v>0.12460575</v>
      </c>
      <c r="P10" s="7">
        <v>250</v>
      </c>
      <c r="Q10" s="7"/>
      <c r="R10" s="7"/>
      <c r="S10" s="7"/>
    </row>
    <row r="11" spans="1:19" x14ac:dyDescent="0.25">
      <c r="O11" s="7">
        <v>1.4659499999999999E-2</v>
      </c>
      <c r="P11" s="12">
        <v>300</v>
      </c>
      <c r="Q11" s="9"/>
    </row>
    <row r="12" spans="1:19" x14ac:dyDescent="0.25">
      <c r="O12" s="7">
        <v>0</v>
      </c>
      <c r="P12" s="12">
        <v>320</v>
      </c>
      <c r="Q12" s="9"/>
    </row>
    <row r="13" spans="1:19" x14ac:dyDescent="0.25">
      <c r="O13" s="7">
        <v>2.1749999999999999E-2</v>
      </c>
      <c r="P13" s="12">
        <v>350</v>
      </c>
      <c r="Q13" s="9"/>
    </row>
    <row r="14" spans="1:19" x14ac:dyDescent="0.25">
      <c r="O14" s="7">
        <v>0.12325</v>
      </c>
      <c r="P14" s="12">
        <v>400</v>
      </c>
      <c r="Q14" s="9"/>
    </row>
    <row r="15" spans="1:19" x14ac:dyDescent="0.25">
      <c r="O15" s="7">
        <v>0.29724999999999996</v>
      </c>
      <c r="P15" s="12">
        <v>450</v>
      </c>
      <c r="Q15" s="9"/>
    </row>
    <row r="16" spans="1:19" x14ac:dyDescent="0.25">
      <c r="O16" s="7">
        <v>0.52925</v>
      </c>
      <c r="P16" s="12">
        <v>500</v>
      </c>
      <c r="Q16" s="9"/>
    </row>
    <row r="17" spans="1:19" x14ac:dyDescent="0.25">
      <c r="O17" s="7">
        <v>0.66700000000000004</v>
      </c>
      <c r="P17" s="12">
        <v>550</v>
      </c>
      <c r="Q17" s="9"/>
    </row>
    <row r="18" spans="1:19" x14ac:dyDescent="0.25">
      <c r="O18" s="7">
        <v>0.72499999999999998</v>
      </c>
      <c r="P18" s="12">
        <v>600</v>
      </c>
      <c r="Q18" s="9"/>
    </row>
    <row r="20" spans="1:19" x14ac:dyDescent="0.25">
      <c r="A20" s="132" t="s">
        <v>25</v>
      </c>
      <c r="B20" s="132"/>
      <c r="C20" s="132"/>
      <c r="D20" s="132"/>
      <c r="E20" s="132"/>
      <c r="F20" s="132"/>
    </row>
    <row r="21" spans="1:19" x14ac:dyDescent="0.25">
      <c r="A21" s="132"/>
      <c r="B21" s="132"/>
      <c r="C21" s="132"/>
      <c r="D21" s="132"/>
      <c r="E21" s="132"/>
      <c r="F21" s="132"/>
    </row>
    <row r="22" spans="1:19" x14ac:dyDescent="0.25">
      <c r="A22" s="133"/>
      <c r="B22" s="133"/>
      <c r="C22" s="133"/>
      <c r="D22" s="133"/>
      <c r="E22" s="133"/>
      <c r="F22" s="133"/>
    </row>
    <row r="23" spans="1:19" x14ac:dyDescent="0.25">
      <c r="A23" s="3" t="s">
        <v>0</v>
      </c>
      <c r="B23" s="3" t="s">
        <v>1</v>
      </c>
      <c r="C23" s="3" t="s">
        <v>2</v>
      </c>
      <c r="D23" s="3" t="s">
        <v>3</v>
      </c>
      <c r="E23" s="3" t="s">
        <v>4</v>
      </c>
      <c r="F23" s="3" t="s">
        <v>5</v>
      </c>
      <c r="G23" s="4"/>
      <c r="H23" s="4"/>
      <c r="I23" s="4"/>
      <c r="J23" s="3" t="s">
        <v>6</v>
      </c>
      <c r="K23" s="3" t="s">
        <v>7</v>
      </c>
      <c r="L23" s="10" t="s">
        <v>23</v>
      </c>
      <c r="M23" s="10"/>
      <c r="N23" s="10"/>
      <c r="O23" s="3" t="s">
        <v>8</v>
      </c>
      <c r="P23" s="3" t="s">
        <v>9</v>
      </c>
      <c r="Q23" s="3"/>
      <c r="R23" s="3" t="s">
        <v>10</v>
      </c>
      <c r="S23" s="3" t="s">
        <v>11</v>
      </c>
    </row>
    <row r="24" spans="1:19" x14ac:dyDescent="0.25">
      <c r="A24" s="7">
        <v>15750</v>
      </c>
      <c r="B24" s="7">
        <v>25</v>
      </c>
      <c r="C24" s="7">
        <v>1000000</v>
      </c>
      <c r="D24" s="7">
        <v>10000</v>
      </c>
      <c r="E24" s="7">
        <v>100</v>
      </c>
      <c r="F24" s="7">
        <v>600</v>
      </c>
      <c r="G24" s="8"/>
      <c r="H24" s="6"/>
      <c r="I24" s="6"/>
      <c r="J24" s="7">
        <v>140</v>
      </c>
      <c r="K24" s="7">
        <v>1</v>
      </c>
      <c r="L24" s="7">
        <v>805</v>
      </c>
      <c r="M24" s="7"/>
      <c r="N24" s="7"/>
      <c r="O24" s="7">
        <f>SUM(O5*1.81)</f>
        <v>1.2072831224999998</v>
      </c>
      <c r="P24" s="7">
        <v>1</v>
      </c>
      <c r="Q24" s="7"/>
      <c r="R24" s="7">
        <v>0.1</v>
      </c>
      <c r="S24" s="7">
        <v>1</v>
      </c>
    </row>
    <row r="25" spans="1:19" x14ac:dyDescent="0.25">
      <c r="A25" s="7"/>
      <c r="B25" s="7"/>
      <c r="C25" s="7"/>
      <c r="D25" s="7"/>
      <c r="E25" s="7"/>
      <c r="F25" s="7"/>
      <c r="G25" s="8"/>
      <c r="H25" s="6"/>
      <c r="I25" s="6"/>
      <c r="J25" s="7">
        <v>35</v>
      </c>
      <c r="K25" s="7">
        <v>150</v>
      </c>
      <c r="L25" s="7"/>
      <c r="M25" s="7"/>
      <c r="N25" s="7"/>
      <c r="O25" s="7">
        <f t="shared" ref="O25:O37" si="0">SUM(O6*1.81)</f>
        <v>1.0878814949999998</v>
      </c>
      <c r="P25" s="7">
        <v>50</v>
      </c>
      <c r="Q25" s="7"/>
      <c r="R25" s="7">
        <v>1</v>
      </c>
      <c r="S25" s="7">
        <v>100</v>
      </c>
    </row>
    <row r="26" spans="1:19" x14ac:dyDescent="0.25">
      <c r="A26" s="7"/>
      <c r="B26" s="7"/>
      <c r="C26" s="7"/>
      <c r="D26" s="7"/>
      <c r="E26" s="7"/>
      <c r="F26" s="7"/>
      <c r="G26" s="8"/>
      <c r="H26" s="6"/>
      <c r="I26" s="6"/>
      <c r="J26" s="7">
        <v>0</v>
      </c>
      <c r="K26" s="7">
        <v>300</v>
      </c>
      <c r="L26" s="7"/>
      <c r="M26" s="7"/>
      <c r="N26" s="7"/>
      <c r="O26" s="7">
        <f t="shared" si="0"/>
        <v>0.96847986749999992</v>
      </c>
      <c r="P26" s="7">
        <v>100</v>
      </c>
      <c r="Q26" s="7"/>
      <c r="R26" s="7"/>
      <c r="S26" s="7"/>
    </row>
    <row r="27" spans="1:19" x14ac:dyDescent="0.25">
      <c r="A27" s="7"/>
      <c r="B27" s="7"/>
      <c r="C27" s="7"/>
      <c r="D27" s="7"/>
      <c r="E27" s="7"/>
      <c r="F27" s="7"/>
      <c r="G27" s="8"/>
      <c r="H27" s="6"/>
      <c r="I27" s="6"/>
      <c r="J27" s="7">
        <v>35</v>
      </c>
      <c r="K27" s="7">
        <v>450</v>
      </c>
      <c r="L27" s="7"/>
      <c r="M27" s="7"/>
      <c r="N27" s="7"/>
      <c r="O27" s="7">
        <f t="shared" si="0"/>
        <v>0.78274400249999998</v>
      </c>
      <c r="P27" s="7">
        <v>150</v>
      </c>
      <c r="Q27" s="7"/>
      <c r="R27" s="7"/>
      <c r="S27" s="7"/>
    </row>
    <row r="28" spans="1:19" x14ac:dyDescent="0.25">
      <c r="A28" s="7"/>
      <c r="B28" s="7"/>
      <c r="C28" s="7"/>
      <c r="D28" s="7"/>
      <c r="E28" s="7"/>
      <c r="F28" s="7"/>
      <c r="G28" s="8"/>
      <c r="H28" s="6"/>
      <c r="I28" s="6"/>
      <c r="J28" s="7">
        <v>144</v>
      </c>
      <c r="K28" s="11">
        <v>650</v>
      </c>
      <c r="L28" s="9"/>
      <c r="M28" s="9"/>
      <c r="N28" s="9"/>
      <c r="O28" s="7">
        <f t="shared" si="0"/>
        <v>0.5041402049999999</v>
      </c>
      <c r="P28" s="7">
        <v>200</v>
      </c>
      <c r="Q28" s="7"/>
      <c r="R28" s="7"/>
      <c r="S28" s="7"/>
    </row>
    <row r="29" spans="1:19" x14ac:dyDescent="0.25">
      <c r="A29" s="9"/>
      <c r="B29" s="9"/>
      <c r="C29" s="9"/>
      <c r="D29" s="9"/>
      <c r="E29" s="9"/>
      <c r="F29" s="9"/>
      <c r="G29" s="8"/>
      <c r="H29" s="6"/>
      <c r="I29" s="6"/>
      <c r="J29" s="7"/>
      <c r="K29" s="7"/>
      <c r="L29" s="9"/>
      <c r="M29" s="9"/>
      <c r="N29" s="9"/>
      <c r="O29" s="7">
        <f t="shared" si="0"/>
        <v>0.22553640750000001</v>
      </c>
      <c r="P29" s="7">
        <v>250</v>
      </c>
      <c r="Q29" s="7"/>
      <c r="R29" s="7"/>
      <c r="S29" s="7"/>
    </row>
    <row r="30" spans="1:19" x14ac:dyDescent="0.25">
      <c r="O30" s="7">
        <f t="shared" si="0"/>
        <v>2.6533695E-2</v>
      </c>
      <c r="P30" s="12">
        <v>300</v>
      </c>
      <c r="Q30" s="9"/>
    </row>
    <row r="31" spans="1:19" x14ac:dyDescent="0.25">
      <c r="O31" s="7">
        <f t="shared" si="0"/>
        <v>0</v>
      </c>
      <c r="P31" s="12">
        <v>320</v>
      </c>
      <c r="Q31" s="9"/>
    </row>
    <row r="32" spans="1:19" x14ac:dyDescent="0.25">
      <c r="O32" s="7">
        <f t="shared" si="0"/>
        <v>3.93675E-2</v>
      </c>
      <c r="P32" s="12">
        <v>350</v>
      </c>
      <c r="Q32" s="9"/>
    </row>
    <row r="33" spans="15:18" x14ac:dyDescent="0.25">
      <c r="O33" s="7">
        <f t="shared" si="0"/>
        <v>0.22308250000000002</v>
      </c>
      <c r="P33" s="12">
        <v>400</v>
      </c>
      <c r="Q33" s="9"/>
    </row>
    <row r="34" spans="15:18" x14ac:dyDescent="0.25">
      <c r="O34" s="7">
        <f t="shared" si="0"/>
        <v>0.53802249999999996</v>
      </c>
      <c r="P34" s="12">
        <v>450</v>
      </c>
      <c r="Q34" s="9"/>
    </row>
    <row r="35" spans="15:18" x14ac:dyDescent="0.25">
      <c r="O35" s="7">
        <f t="shared" si="0"/>
        <v>0.95794250000000003</v>
      </c>
      <c r="P35" s="12">
        <v>500</v>
      </c>
      <c r="Q35" s="9"/>
    </row>
    <row r="36" spans="15:18" x14ac:dyDescent="0.25">
      <c r="O36" s="7">
        <f t="shared" si="0"/>
        <v>1.2072700000000001</v>
      </c>
      <c r="P36" s="12">
        <v>550</v>
      </c>
      <c r="Q36" s="9"/>
    </row>
    <row r="37" spans="15:18" x14ac:dyDescent="0.25">
      <c r="O37" s="7">
        <f t="shared" si="0"/>
        <v>1.3122499999999999</v>
      </c>
      <c r="P37" s="12">
        <v>600</v>
      </c>
      <c r="Q37" s="9"/>
    </row>
    <row r="39" spans="15:18" x14ac:dyDescent="0.25">
      <c r="O39" s="9"/>
    </row>
    <row r="40" spans="15:18" x14ac:dyDescent="0.25">
      <c r="O40" s="3" t="s">
        <v>8</v>
      </c>
      <c r="P40" s="3" t="s">
        <v>9</v>
      </c>
      <c r="Q40" s="5" t="s">
        <v>26</v>
      </c>
      <c r="R40" s="5"/>
    </row>
    <row r="41" spans="15:18" x14ac:dyDescent="0.25">
      <c r="O41" s="7">
        <v>0.91</v>
      </c>
      <c r="P41" s="7">
        <v>1</v>
      </c>
      <c r="Q41" s="9">
        <v>0.93</v>
      </c>
    </row>
    <row r="42" spans="15:18" x14ac:dyDescent="0.25">
      <c r="O42" s="7">
        <v>0.82</v>
      </c>
      <c r="P42" s="7">
        <v>50</v>
      </c>
      <c r="Q42" s="9">
        <v>0.84</v>
      </c>
    </row>
    <row r="43" spans="15:18" x14ac:dyDescent="0.25">
      <c r="O43" s="7">
        <v>0.73</v>
      </c>
      <c r="P43" s="7">
        <v>100</v>
      </c>
      <c r="Q43" s="9">
        <v>0.76</v>
      </c>
    </row>
    <row r="44" spans="15:18" x14ac:dyDescent="0.25">
      <c r="O44" s="7">
        <v>0.59</v>
      </c>
      <c r="P44" s="7">
        <v>150</v>
      </c>
      <c r="Q44" s="9">
        <v>0.61</v>
      </c>
    </row>
    <row r="45" spans="15:18" x14ac:dyDescent="0.25">
      <c r="O45" s="7">
        <v>0.38</v>
      </c>
      <c r="P45" s="7">
        <v>200</v>
      </c>
      <c r="Q45" s="9">
        <v>0.38</v>
      </c>
    </row>
    <row r="46" spans="15:18" x14ac:dyDescent="0.25">
      <c r="O46" s="7">
        <v>0.17</v>
      </c>
      <c r="P46" s="7">
        <v>250</v>
      </c>
      <c r="Q46" s="9">
        <v>0.17</v>
      </c>
    </row>
    <row r="47" spans="15:18" x14ac:dyDescent="0.25">
      <c r="O47" s="12">
        <v>0.02</v>
      </c>
      <c r="P47" s="12">
        <v>300</v>
      </c>
      <c r="Q47" s="9">
        <v>0.02</v>
      </c>
    </row>
    <row r="48" spans="15:18" x14ac:dyDescent="0.25">
      <c r="O48" s="12">
        <v>0</v>
      </c>
      <c r="P48" s="12">
        <v>320</v>
      </c>
      <c r="Q48" s="9">
        <v>0</v>
      </c>
    </row>
    <row r="49" spans="1:18" x14ac:dyDescent="0.25">
      <c r="O49" s="12">
        <v>0.03</v>
      </c>
      <c r="P49" s="12">
        <v>350</v>
      </c>
      <c r="Q49" s="9">
        <v>3.5000000000000003E-2</v>
      </c>
    </row>
    <row r="50" spans="1:18" x14ac:dyDescent="0.25">
      <c r="O50" s="12">
        <v>0.17</v>
      </c>
      <c r="P50" s="12">
        <v>400</v>
      </c>
      <c r="Q50" s="9">
        <v>0.17</v>
      </c>
    </row>
    <row r="51" spans="1:18" x14ac:dyDescent="0.25">
      <c r="O51" s="12">
        <v>0.41</v>
      </c>
      <c r="P51" s="12">
        <v>450</v>
      </c>
      <c r="Q51" s="9">
        <v>0.42</v>
      </c>
    </row>
    <row r="52" spans="1:18" x14ac:dyDescent="0.25">
      <c r="O52" s="12">
        <v>0.73</v>
      </c>
      <c r="P52" s="12">
        <v>500</v>
      </c>
      <c r="Q52" s="9">
        <v>0.75</v>
      </c>
    </row>
    <row r="53" spans="1:18" x14ac:dyDescent="0.25">
      <c r="O53" s="12">
        <v>0.92</v>
      </c>
      <c r="P53" s="12">
        <v>550</v>
      </c>
      <c r="Q53" s="9">
        <v>0.95</v>
      </c>
    </row>
    <row r="54" spans="1:18" x14ac:dyDescent="0.25">
      <c r="O54" s="12">
        <v>1</v>
      </c>
      <c r="P54" s="12">
        <v>600</v>
      </c>
      <c r="Q54" s="9">
        <v>1</v>
      </c>
    </row>
    <row r="56" spans="1:18" x14ac:dyDescent="0.25">
      <c r="A56" s="132" t="s">
        <v>27</v>
      </c>
      <c r="B56" s="132"/>
      <c r="C56" s="132"/>
      <c r="D56" s="132"/>
      <c r="E56" s="132"/>
      <c r="F56" s="132"/>
    </row>
    <row r="57" spans="1:18" x14ac:dyDescent="0.25">
      <c r="A57" s="132"/>
      <c r="B57" s="132"/>
      <c r="C57" s="132"/>
      <c r="D57" s="132"/>
      <c r="E57" s="132"/>
      <c r="F57" s="132"/>
    </row>
    <row r="58" spans="1:18" x14ac:dyDescent="0.25">
      <c r="A58" s="133"/>
      <c r="B58" s="133"/>
      <c r="C58" s="133"/>
      <c r="D58" s="133"/>
      <c r="E58" s="133"/>
      <c r="F58" s="133"/>
      <c r="L58">
        <v>1</v>
      </c>
      <c r="O58" s="3" t="s">
        <v>28</v>
      </c>
      <c r="Q58" s="3" t="s">
        <v>29</v>
      </c>
    </row>
    <row r="59" spans="1:18" x14ac:dyDescent="0.25">
      <c r="O59" s="3" t="s">
        <v>8</v>
      </c>
      <c r="P59" s="3" t="s">
        <v>9</v>
      </c>
      <c r="Q59" s="3" t="s">
        <v>8</v>
      </c>
      <c r="R59" s="3" t="s">
        <v>9</v>
      </c>
    </row>
    <row r="60" spans="1:18" x14ac:dyDescent="0.25">
      <c r="N60" s="7"/>
      <c r="O60" s="7">
        <v>1</v>
      </c>
      <c r="P60">
        <v>1</v>
      </c>
      <c r="Q60" s="7">
        <f>SUM($L$58-O60)</f>
        <v>0</v>
      </c>
      <c r="R60">
        <v>1</v>
      </c>
    </row>
    <row r="61" spans="1:18" x14ac:dyDescent="0.25">
      <c r="O61">
        <v>1</v>
      </c>
      <c r="P61">
        <v>10</v>
      </c>
      <c r="Q61" s="7">
        <f t="shared" ref="Q61:Q68" si="1">SUM($L$58-O61)</f>
        <v>0</v>
      </c>
      <c r="R61">
        <v>10</v>
      </c>
    </row>
    <row r="62" spans="1:18" x14ac:dyDescent="0.25">
      <c r="O62">
        <f>SUM(O60*0.329)</f>
        <v>0.32900000000000001</v>
      </c>
      <c r="P62">
        <v>30</v>
      </c>
      <c r="Q62" s="7">
        <f t="shared" si="1"/>
        <v>0.67100000000000004</v>
      </c>
      <c r="R62">
        <v>30</v>
      </c>
    </row>
    <row r="63" spans="1:18" x14ac:dyDescent="0.25">
      <c r="O63">
        <f>SUM(O60*0.1038)</f>
        <v>0.1038</v>
      </c>
      <c r="P63">
        <v>42</v>
      </c>
      <c r="Q63" s="7">
        <f t="shared" si="1"/>
        <v>0.8962</v>
      </c>
      <c r="R63">
        <v>42</v>
      </c>
    </row>
    <row r="64" spans="1:18" x14ac:dyDescent="0.25">
      <c r="O64">
        <f>SUM(O60*0.0632)</f>
        <v>6.3200000000000006E-2</v>
      </c>
      <c r="P64">
        <v>60</v>
      </c>
      <c r="Q64" s="7">
        <f t="shared" si="1"/>
        <v>0.93679999999999997</v>
      </c>
      <c r="R64">
        <v>60</v>
      </c>
    </row>
    <row r="65" spans="10:18" x14ac:dyDescent="0.25">
      <c r="O65">
        <f>SUM(O60*0.8165)</f>
        <v>0.8165</v>
      </c>
      <c r="P65">
        <v>78</v>
      </c>
      <c r="Q65" s="7">
        <f t="shared" si="1"/>
        <v>0.1835</v>
      </c>
      <c r="R65">
        <v>78</v>
      </c>
    </row>
    <row r="66" spans="10:18" x14ac:dyDescent="0.25">
      <c r="K66" t="s">
        <v>37</v>
      </c>
      <c r="L66" t="s">
        <v>46</v>
      </c>
      <c r="M66" t="s">
        <v>47</v>
      </c>
      <c r="O66">
        <f>SUM(O60*0.2278)</f>
        <v>0.2278</v>
      </c>
      <c r="P66">
        <v>92</v>
      </c>
      <c r="Q66" s="7">
        <f t="shared" si="1"/>
        <v>0.7722</v>
      </c>
      <c r="R66">
        <v>92</v>
      </c>
    </row>
    <row r="67" spans="10:18" x14ac:dyDescent="0.25">
      <c r="J67" t="s">
        <v>30</v>
      </c>
      <c r="K67" t="s">
        <v>38</v>
      </c>
      <c r="L67">
        <v>3735</v>
      </c>
      <c r="M67">
        <v>149</v>
      </c>
      <c r="O67">
        <v>0</v>
      </c>
      <c r="P67">
        <v>93</v>
      </c>
      <c r="Q67" s="7">
        <f t="shared" si="1"/>
        <v>1</v>
      </c>
      <c r="R67">
        <v>93</v>
      </c>
    </row>
    <row r="68" spans="10:18" x14ac:dyDescent="0.25">
      <c r="J68" t="s">
        <v>54</v>
      </c>
      <c r="K68" t="s">
        <v>52</v>
      </c>
      <c r="L68">
        <v>4564</v>
      </c>
      <c r="M68">
        <v>183</v>
      </c>
      <c r="O68">
        <v>0</v>
      </c>
      <c r="P68">
        <v>100</v>
      </c>
      <c r="Q68" s="7">
        <f t="shared" si="1"/>
        <v>1</v>
      </c>
      <c r="R68">
        <v>100</v>
      </c>
    </row>
    <row r="69" spans="10:18" x14ac:dyDescent="0.25">
      <c r="J69" t="s">
        <v>55</v>
      </c>
      <c r="K69" t="s">
        <v>53</v>
      </c>
      <c r="L69">
        <v>9806</v>
      </c>
    </row>
    <row r="70" spans="10:18" x14ac:dyDescent="0.25">
      <c r="J70" t="s">
        <v>32</v>
      </c>
      <c r="K70" t="s">
        <v>39</v>
      </c>
      <c r="L70">
        <v>6972.5</v>
      </c>
      <c r="M70">
        <v>279</v>
      </c>
    </row>
    <row r="71" spans="10:18" x14ac:dyDescent="0.25">
      <c r="J71" t="s">
        <v>33</v>
      </c>
      <c r="K71" t="s">
        <v>40</v>
      </c>
      <c r="L71">
        <v>7059</v>
      </c>
      <c r="M71">
        <v>282</v>
      </c>
    </row>
    <row r="72" spans="10:18" x14ac:dyDescent="0.25">
      <c r="J72" t="s">
        <v>34</v>
      </c>
      <c r="K72" t="s">
        <v>41</v>
      </c>
      <c r="L72">
        <v>4212</v>
      </c>
      <c r="M72">
        <v>168</v>
      </c>
    </row>
    <row r="73" spans="10:18" x14ac:dyDescent="0.25">
      <c r="J73" t="s">
        <v>35</v>
      </c>
      <c r="K73" t="s">
        <v>42</v>
      </c>
      <c r="L73">
        <v>6419</v>
      </c>
      <c r="M73">
        <v>257</v>
      </c>
    </row>
    <row r="74" spans="10:18" x14ac:dyDescent="0.25">
      <c r="J74" t="s">
        <v>36</v>
      </c>
      <c r="K74" t="s">
        <v>43</v>
      </c>
      <c r="L74">
        <v>6724</v>
      </c>
      <c r="M74">
        <v>270</v>
      </c>
    </row>
    <row r="75" spans="10:18" x14ac:dyDescent="0.25">
      <c r="O75" t="s">
        <v>50</v>
      </c>
    </row>
    <row r="76" spans="10:18" x14ac:dyDescent="0.25">
      <c r="O76" s="3" t="s">
        <v>28</v>
      </c>
      <c r="Q76" s="3" t="s">
        <v>29</v>
      </c>
    </row>
    <row r="77" spans="10:18" x14ac:dyDescent="0.25">
      <c r="K77" t="s">
        <v>47</v>
      </c>
      <c r="L77" t="s">
        <v>48</v>
      </c>
      <c r="M77" t="s">
        <v>49</v>
      </c>
      <c r="O77" s="3" t="s">
        <v>8</v>
      </c>
      <c r="P77" s="3" t="s">
        <v>9</v>
      </c>
      <c r="Q77" s="3" t="s">
        <v>8</v>
      </c>
      <c r="R77" s="3" t="s">
        <v>9</v>
      </c>
    </row>
    <row r="78" spans="10:18" x14ac:dyDescent="0.25">
      <c r="K78">
        <v>149</v>
      </c>
      <c r="L78" s="35">
        <v>136</v>
      </c>
      <c r="M78">
        <f t="shared" ref="M78:M84" si="2">SUM(100-((L78/K78)*100))</f>
        <v>8.724832214765101</v>
      </c>
      <c r="O78" s="7">
        <f>L58</f>
        <v>1</v>
      </c>
      <c r="P78">
        <v>1</v>
      </c>
      <c r="Q78" s="7">
        <v>0</v>
      </c>
      <c r="R78">
        <v>1</v>
      </c>
    </row>
    <row r="79" spans="10:18" x14ac:dyDescent="0.25">
      <c r="K79">
        <v>183</v>
      </c>
      <c r="L79" s="35">
        <v>178</v>
      </c>
      <c r="M79">
        <f t="shared" si="2"/>
        <v>2.7322404371584668</v>
      </c>
      <c r="O79">
        <f>O78</f>
        <v>1</v>
      </c>
      <c r="P79">
        <v>10</v>
      </c>
      <c r="Q79">
        <f>Q78</f>
        <v>0</v>
      </c>
      <c r="R79">
        <v>10</v>
      </c>
    </row>
    <row r="80" spans="10:18" x14ac:dyDescent="0.25">
      <c r="K80">
        <v>279</v>
      </c>
      <c r="L80" s="35">
        <v>284</v>
      </c>
      <c r="M80">
        <f t="shared" si="2"/>
        <v>-1.7921146953405014</v>
      </c>
      <c r="O80">
        <f>SUM(O78*0.728)</f>
        <v>0.72799999999999998</v>
      </c>
      <c r="P80">
        <v>30</v>
      </c>
      <c r="Q80">
        <f>SUM($O$78-O80)</f>
        <v>0.27200000000000002</v>
      </c>
      <c r="R80">
        <v>30</v>
      </c>
    </row>
    <row r="81" spans="10:18" x14ac:dyDescent="0.25">
      <c r="K81">
        <v>282</v>
      </c>
      <c r="L81" s="35">
        <v>285</v>
      </c>
      <c r="M81">
        <f t="shared" si="2"/>
        <v>-1.0638297872340559</v>
      </c>
      <c r="O81">
        <f>SUM(O78*0.022)</f>
        <v>2.1999999999999999E-2</v>
      </c>
      <c r="P81">
        <v>42</v>
      </c>
      <c r="Q81">
        <f t="shared" ref="Q81:Q86" si="3">SUM($O$78-O81)</f>
        <v>0.97799999999999998</v>
      </c>
      <c r="R81">
        <v>42</v>
      </c>
    </row>
    <row r="82" spans="10:18" x14ac:dyDescent="0.25">
      <c r="K82">
        <v>168</v>
      </c>
      <c r="L82" s="35">
        <v>166</v>
      </c>
      <c r="M82">
        <f t="shared" si="2"/>
        <v>1.1904761904761898</v>
      </c>
      <c r="O82">
        <v>0</v>
      </c>
      <c r="P82">
        <v>60</v>
      </c>
      <c r="Q82">
        <f t="shared" si="3"/>
        <v>1</v>
      </c>
      <c r="R82">
        <v>60</v>
      </c>
    </row>
    <row r="83" spans="10:18" x14ac:dyDescent="0.25">
      <c r="K83">
        <v>257</v>
      </c>
      <c r="L83" s="35">
        <v>259</v>
      </c>
      <c r="M83">
        <f t="shared" si="2"/>
        <v>-0.77821011673151474</v>
      </c>
      <c r="O83">
        <f>SUM(O78*0.838)</f>
        <v>0.83799999999999997</v>
      </c>
      <c r="P83">
        <v>78</v>
      </c>
      <c r="Q83">
        <f t="shared" si="3"/>
        <v>0.16200000000000003</v>
      </c>
      <c r="R83">
        <v>78</v>
      </c>
    </row>
    <row r="84" spans="10:18" x14ac:dyDescent="0.25">
      <c r="K84">
        <v>270</v>
      </c>
      <c r="L84" s="35">
        <v>295</v>
      </c>
      <c r="M84">
        <f t="shared" si="2"/>
        <v>-9.2592592592592524</v>
      </c>
      <c r="O84">
        <f>SUM(O78*0.184)</f>
        <v>0.184</v>
      </c>
      <c r="P84">
        <v>92</v>
      </c>
      <c r="Q84">
        <f t="shared" si="3"/>
        <v>0.81600000000000006</v>
      </c>
      <c r="R84">
        <v>92</v>
      </c>
    </row>
    <row r="85" spans="10:18" x14ac:dyDescent="0.25">
      <c r="O85">
        <f>SUM(O78*0.066)</f>
        <v>6.6000000000000003E-2</v>
      </c>
      <c r="P85">
        <v>93</v>
      </c>
      <c r="Q85">
        <f t="shared" si="3"/>
        <v>0.93399999999999994</v>
      </c>
      <c r="R85">
        <v>93</v>
      </c>
    </row>
    <row r="86" spans="10:18" x14ac:dyDescent="0.25">
      <c r="O86">
        <f>O85</f>
        <v>6.6000000000000003E-2</v>
      </c>
      <c r="P86">
        <v>100</v>
      </c>
      <c r="Q86">
        <f t="shared" si="3"/>
        <v>0.93399999999999994</v>
      </c>
      <c r="R86">
        <v>100</v>
      </c>
    </row>
    <row r="90" spans="10:18" x14ac:dyDescent="0.25">
      <c r="O90" t="s">
        <v>51</v>
      </c>
    </row>
    <row r="91" spans="10:18" x14ac:dyDescent="0.25">
      <c r="O91" s="3" t="s">
        <v>28</v>
      </c>
      <c r="Q91" s="3" t="s">
        <v>29</v>
      </c>
    </row>
    <row r="92" spans="10:18" x14ac:dyDescent="0.25">
      <c r="K92" t="s">
        <v>48</v>
      </c>
      <c r="L92" t="s">
        <v>46</v>
      </c>
      <c r="M92" t="s">
        <v>37</v>
      </c>
      <c r="O92" s="3" t="s">
        <v>8</v>
      </c>
      <c r="P92" s="3" t="s">
        <v>9</v>
      </c>
      <c r="Q92" s="3" t="s">
        <v>8</v>
      </c>
      <c r="R92" s="3" t="s">
        <v>9</v>
      </c>
    </row>
    <row r="93" spans="10:18" x14ac:dyDescent="0.25">
      <c r="J93" t="s">
        <v>30</v>
      </c>
      <c r="K93" s="35">
        <v>136</v>
      </c>
      <c r="L93">
        <v>3735</v>
      </c>
      <c r="M93" t="s">
        <v>38</v>
      </c>
      <c r="N93" s="41" t="s">
        <v>30</v>
      </c>
      <c r="O93" s="37">
        <f>$L$58</f>
        <v>1</v>
      </c>
      <c r="P93">
        <v>1</v>
      </c>
      <c r="Q93" s="7">
        <v>0</v>
      </c>
      <c r="R93">
        <v>1</v>
      </c>
    </row>
    <row r="94" spans="10:18" x14ac:dyDescent="0.25">
      <c r="J94" t="s">
        <v>54</v>
      </c>
      <c r="K94" s="35">
        <v>178</v>
      </c>
      <c r="L94">
        <v>4564</v>
      </c>
      <c r="M94" t="s">
        <v>52</v>
      </c>
      <c r="N94" s="41" t="s">
        <v>30</v>
      </c>
      <c r="O94">
        <f>O93</f>
        <v>1</v>
      </c>
      <c r="P94">
        <v>10</v>
      </c>
      <c r="Q94">
        <f>Q93</f>
        <v>0</v>
      </c>
      <c r="R94">
        <v>10</v>
      </c>
    </row>
    <row r="95" spans="10:18" x14ac:dyDescent="0.25">
      <c r="J95" t="s">
        <v>55</v>
      </c>
      <c r="K95">
        <v>391</v>
      </c>
      <c r="L95">
        <v>9806</v>
      </c>
      <c r="M95" t="s">
        <v>53</v>
      </c>
      <c r="N95" s="41" t="s">
        <v>31</v>
      </c>
      <c r="O95">
        <v>0</v>
      </c>
      <c r="P95">
        <v>30</v>
      </c>
      <c r="Q95">
        <f>$L$58</f>
        <v>1</v>
      </c>
      <c r="R95">
        <v>30</v>
      </c>
    </row>
    <row r="96" spans="10:18" x14ac:dyDescent="0.25">
      <c r="J96" t="s">
        <v>32</v>
      </c>
      <c r="K96" s="35">
        <v>284</v>
      </c>
      <c r="L96">
        <v>6972.5</v>
      </c>
      <c r="M96" t="s">
        <v>39</v>
      </c>
      <c r="N96" s="41" t="s">
        <v>32</v>
      </c>
      <c r="O96">
        <f>SUM(O93*0.463)</f>
        <v>0.46300000000000002</v>
      </c>
      <c r="P96">
        <v>42</v>
      </c>
      <c r="Q96">
        <f>SUM(O93*0.537)</f>
        <v>0.53700000000000003</v>
      </c>
      <c r="R96">
        <v>42</v>
      </c>
    </row>
    <row r="97" spans="10:18" x14ac:dyDescent="0.25">
      <c r="J97" t="s">
        <v>33</v>
      </c>
      <c r="K97" s="35">
        <v>285</v>
      </c>
      <c r="L97">
        <v>7059</v>
      </c>
      <c r="M97" t="s">
        <v>40</v>
      </c>
      <c r="N97" s="41" t="s">
        <v>33</v>
      </c>
      <c r="O97">
        <f>SUM(O93*0.451)</f>
        <v>0.45100000000000001</v>
      </c>
      <c r="P97">
        <v>60</v>
      </c>
      <c r="Q97">
        <f>SUM(Q95*0.549)</f>
        <v>0.54900000000000004</v>
      </c>
      <c r="R97">
        <v>60</v>
      </c>
    </row>
    <row r="98" spans="10:18" x14ac:dyDescent="0.25">
      <c r="J98" t="s">
        <v>34</v>
      </c>
      <c r="K98" s="35">
        <v>166</v>
      </c>
      <c r="L98">
        <v>4212</v>
      </c>
      <c r="M98" t="s">
        <v>41</v>
      </c>
      <c r="N98" s="41" t="s">
        <v>34</v>
      </c>
      <c r="O98">
        <f>SUM(O93*0.691)</f>
        <v>0.69099999999999995</v>
      </c>
      <c r="P98">
        <v>78</v>
      </c>
      <c r="Q98">
        <f>SUM(Q95*0.306)</f>
        <v>0.30599999999999999</v>
      </c>
      <c r="R98">
        <v>78</v>
      </c>
    </row>
    <row r="99" spans="10:18" x14ac:dyDescent="0.25">
      <c r="J99" t="s">
        <v>35</v>
      </c>
      <c r="K99" s="35">
        <v>259</v>
      </c>
      <c r="L99">
        <v>6419</v>
      </c>
      <c r="M99" t="s">
        <v>42</v>
      </c>
      <c r="N99" s="41" t="s">
        <v>35</v>
      </c>
      <c r="O99">
        <f>SUM(O93*0.554)</f>
        <v>0.55400000000000005</v>
      </c>
      <c r="P99">
        <v>92</v>
      </c>
      <c r="Q99">
        <f>SUM(Q95*0.446)</f>
        <v>0.44600000000000001</v>
      </c>
      <c r="R99">
        <v>92</v>
      </c>
    </row>
    <row r="100" spans="10:18" x14ac:dyDescent="0.25">
      <c r="J100" t="s">
        <v>36</v>
      </c>
      <c r="K100" s="35">
        <v>295</v>
      </c>
      <c r="L100">
        <v>6724</v>
      </c>
      <c r="M100" t="s">
        <v>43</v>
      </c>
      <c r="N100" s="41" t="s">
        <v>36</v>
      </c>
      <c r="O100">
        <f>SUM(O93*0.3966)</f>
        <v>0.39660000000000001</v>
      </c>
      <c r="P100">
        <v>93</v>
      </c>
      <c r="Q100">
        <f>SUM(Q95*0.6034)</f>
        <v>0.60340000000000005</v>
      </c>
      <c r="R100">
        <v>93</v>
      </c>
    </row>
    <row r="101" spans="10:18" x14ac:dyDescent="0.25">
      <c r="N101" s="41" t="s">
        <v>36</v>
      </c>
      <c r="O101">
        <f>O100</f>
        <v>0.39660000000000001</v>
      </c>
      <c r="P101">
        <v>100</v>
      </c>
      <c r="Q101">
        <f>SUM(Q95*0.6034)</f>
        <v>0.60340000000000005</v>
      </c>
      <c r="R101">
        <v>100</v>
      </c>
    </row>
    <row r="104" spans="10:18" x14ac:dyDescent="0.25">
      <c r="O104" t="s">
        <v>56</v>
      </c>
    </row>
    <row r="105" spans="10:18" x14ac:dyDescent="0.25">
      <c r="O105" s="3" t="s">
        <v>28</v>
      </c>
      <c r="Q105" s="3" t="s">
        <v>29</v>
      </c>
    </row>
    <row r="106" spans="10:18" x14ac:dyDescent="0.25">
      <c r="O106" s="3" t="s">
        <v>8</v>
      </c>
      <c r="P106" s="3" t="s">
        <v>9</v>
      </c>
      <c r="Q106" s="3" t="s">
        <v>8</v>
      </c>
      <c r="R106" s="3" t="s">
        <v>9</v>
      </c>
    </row>
    <row r="107" spans="10:18" x14ac:dyDescent="0.25">
      <c r="N107" s="41" t="s">
        <v>30</v>
      </c>
      <c r="O107" s="37">
        <f>$L$58</f>
        <v>1</v>
      </c>
      <c r="P107">
        <v>1</v>
      </c>
      <c r="Q107" s="7">
        <v>0</v>
      </c>
      <c r="R107">
        <v>1</v>
      </c>
    </row>
    <row r="108" spans="10:18" x14ac:dyDescent="0.25">
      <c r="N108" s="41" t="s">
        <v>30</v>
      </c>
      <c r="O108">
        <f>O107</f>
        <v>1</v>
      </c>
      <c r="P108">
        <v>10</v>
      </c>
      <c r="Q108">
        <f>Q107</f>
        <v>0</v>
      </c>
      <c r="R108">
        <v>10</v>
      </c>
    </row>
    <row r="109" spans="10:18" x14ac:dyDescent="0.25">
      <c r="N109" s="41" t="s">
        <v>31</v>
      </c>
      <c r="O109">
        <v>0</v>
      </c>
      <c r="P109">
        <v>30</v>
      </c>
      <c r="Q109">
        <f>$L$58</f>
        <v>1</v>
      </c>
      <c r="R109">
        <v>30</v>
      </c>
    </row>
    <row r="110" spans="10:18" x14ac:dyDescent="0.25">
      <c r="N110" s="41" t="s">
        <v>32</v>
      </c>
      <c r="O110">
        <f>SUM(O107*0.463)</f>
        <v>0.46300000000000002</v>
      </c>
      <c r="P110">
        <v>42</v>
      </c>
      <c r="Q110">
        <f>SUM(O107*0.537)</f>
        <v>0.53700000000000003</v>
      </c>
      <c r="R110">
        <v>42</v>
      </c>
    </row>
    <row r="111" spans="10:18" x14ac:dyDescent="0.25">
      <c r="N111" s="41" t="s">
        <v>33</v>
      </c>
      <c r="O111">
        <f>SUM(O107*0.451)</f>
        <v>0.45100000000000001</v>
      </c>
      <c r="P111">
        <v>60</v>
      </c>
      <c r="Q111">
        <f>SUM(Q109*0.549)</f>
        <v>0.54900000000000004</v>
      </c>
      <c r="R111">
        <v>60</v>
      </c>
    </row>
    <row r="112" spans="10:18" x14ac:dyDescent="0.25">
      <c r="N112" s="41" t="s">
        <v>34</v>
      </c>
      <c r="O112">
        <f>SUM(O107*0.691)</f>
        <v>0.69099999999999995</v>
      </c>
      <c r="P112">
        <v>78</v>
      </c>
      <c r="Q112">
        <f>SUM(Q109*0.306)</f>
        <v>0.30599999999999999</v>
      </c>
      <c r="R112">
        <v>78</v>
      </c>
    </row>
    <row r="113" spans="14:18" x14ac:dyDescent="0.25">
      <c r="N113" s="41" t="s">
        <v>35</v>
      </c>
      <c r="O113">
        <f>SUM(O107*0.554)</f>
        <v>0.55400000000000005</v>
      </c>
      <c r="P113">
        <v>92</v>
      </c>
      <c r="Q113">
        <f>SUM(Q109*0.446)</f>
        <v>0.44600000000000001</v>
      </c>
      <c r="R113">
        <v>92</v>
      </c>
    </row>
    <row r="114" spans="14:18" x14ac:dyDescent="0.25">
      <c r="N114" s="41" t="s">
        <v>36</v>
      </c>
      <c r="O114">
        <f>SUM(O107*0.3966)</f>
        <v>0.39660000000000001</v>
      </c>
      <c r="P114">
        <v>93</v>
      </c>
      <c r="Q114">
        <f>SUM(Q109*0.6034)</f>
        <v>0.60340000000000005</v>
      </c>
      <c r="R114">
        <v>93</v>
      </c>
    </row>
    <row r="115" spans="14:18" x14ac:dyDescent="0.25">
      <c r="N115" s="41" t="s">
        <v>36</v>
      </c>
      <c r="O115">
        <f>O114</f>
        <v>0.39660000000000001</v>
      </c>
      <c r="P115">
        <v>100</v>
      </c>
      <c r="Q115">
        <f>SUM(Q109*0.6034)</f>
        <v>0.60340000000000005</v>
      </c>
      <c r="R115">
        <v>100</v>
      </c>
    </row>
  </sheetData>
  <mergeCells count="3">
    <mergeCell ref="A1:F3"/>
    <mergeCell ref="A20:F22"/>
    <mergeCell ref="A56:F5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3"/>
  <sheetViews>
    <sheetView zoomScale="95" zoomScaleNormal="95" workbookViewId="0">
      <selection activeCell="H42" sqref="H42"/>
    </sheetView>
  </sheetViews>
  <sheetFormatPr defaultRowHeight="15" x14ac:dyDescent="0.25"/>
  <cols>
    <col min="1" max="1" width="28.42578125" customWidth="1"/>
    <col min="14" max="14" width="19.140625" customWidth="1"/>
    <col min="15" max="15" width="14" customWidth="1"/>
    <col min="16" max="16" width="31.42578125" customWidth="1"/>
  </cols>
  <sheetData>
    <row r="1" spans="1:16" x14ac:dyDescent="0.25">
      <c r="A1" t="s">
        <v>99</v>
      </c>
    </row>
    <row r="2" spans="1:16" x14ac:dyDescent="0.25">
      <c r="A2" s="53" t="s">
        <v>98</v>
      </c>
      <c r="B2" s="64">
        <v>0</v>
      </c>
      <c r="C2" s="64">
        <v>2000</v>
      </c>
      <c r="D2" s="64">
        <v>4000</v>
      </c>
      <c r="E2" s="64">
        <v>6000</v>
      </c>
      <c r="F2" s="64">
        <v>8000</v>
      </c>
      <c r="G2" s="64">
        <v>10000</v>
      </c>
      <c r="H2" s="64">
        <v>12000</v>
      </c>
      <c r="I2" s="64">
        <v>14000</v>
      </c>
      <c r="J2" s="64">
        <v>15500</v>
      </c>
      <c r="L2" s="61" t="s">
        <v>44</v>
      </c>
      <c r="M2" s="60" t="s">
        <v>45</v>
      </c>
      <c r="N2" s="52" t="s">
        <v>126</v>
      </c>
    </row>
    <row r="3" spans="1:16" x14ac:dyDescent="0.25">
      <c r="A3" s="65" t="s">
        <v>100</v>
      </c>
      <c r="B3" s="67">
        <v>1</v>
      </c>
      <c r="C3" s="57">
        <v>80</v>
      </c>
      <c r="D3" s="57">
        <v>160</v>
      </c>
      <c r="E3" s="57">
        <v>240</v>
      </c>
      <c r="F3" s="57">
        <v>320</v>
      </c>
      <c r="G3" s="57">
        <v>400</v>
      </c>
      <c r="H3" s="57">
        <v>480</v>
      </c>
      <c r="I3" s="57">
        <v>560</v>
      </c>
      <c r="J3" s="67">
        <v>631</v>
      </c>
      <c r="L3" t="s">
        <v>202</v>
      </c>
      <c r="M3" t="s">
        <v>202</v>
      </c>
      <c r="N3" s="48" t="s">
        <v>105</v>
      </c>
    </row>
    <row r="4" spans="1:16" x14ac:dyDescent="0.25">
      <c r="A4" s="65" t="s">
        <v>95</v>
      </c>
      <c r="B4" s="54">
        <v>210</v>
      </c>
      <c r="C4" s="54">
        <v>281</v>
      </c>
      <c r="D4" s="95">
        <v>460</v>
      </c>
      <c r="E4" s="98">
        <v>478</v>
      </c>
      <c r="F4" s="54">
        <v>611</v>
      </c>
      <c r="G4" s="54">
        <v>587</v>
      </c>
      <c r="H4" s="54">
        <v>410</v>
      </c>
      <c r="I4" s="54">
        <v>168</v>
      </c>
      <c r="J4" s="54">
        <v>162</v>
      </c>
      <c r="L4" s="61" t="s">
        <v>203</v>
      </c>
      <c r="M4" s="80" t="s">
        <v>203</v>
      </c>
    </row>
    <row r="5" spans="1:16" x14ac:dyDescent="0.25">
      <c r="A5" s="65" t="s">
        <v>116</v>
      </c>
      <c r="B5" s="58">
        <v>214</v>
      </c>
      <c r="C5" s="58">
        <v>245</v>
      </c>
      <c r="D5" s="58">
        <v>389</v>
      </c>
      <c r="E5" s="58">
        <v>479</v>
      </c>
      <c r="F5" s="58">
        <v>588</v>
      </c>
      <c r="G5" s="58">
        <v>529</v>
      </c>
      <c r="H5" s="58">
        <v>320</v>
      </c>
      <c r="I5" s="58">
        <v>201</v>
      </c>
      <c r="J5" s="58">
        <v>192</v>
      </c>
      <c r="L5" s="82" t="s">
        <v>204</v>
      </c>
      <c r="M5" s="81" t="s">
        <v>204</v>
      </c>
      <c r="O5" t="s">
        <v>113</v>
      </c>
      <c r="P5" t="s">
        <v>114</v>
      </c>
    </row>
    <row r="6" spans="1:16" x14ac:dyDescent="0.25">
      <c r="A6" s="65" t="s">
        <v>115</v>
      </c>
      <c r="B6" s="54">
        <f t="shared" ref="B6:J6" si="0">SUM(B5+$P$6)</f>
        <v>246.80799999999999</v>
      </c>
      <c r="C6" s="54">
        <f t="shared" si="0"/>
        <v>277.80799999999999</v>
      </c>
      <c r="D6" s="54">
        <f t="shared" si="0"/>
        <v>421.80799999999999</v>
      </c>
      <c r="E6" s="54">
        <f t="shared" si="0"/>
        <v>511.80799999999999</v>
      </c>
      <c r="F6" s="54">
        <f t="shared" si="0"/>
        <v>620.80799999999999</v>
      </c>
      <c r="G6" s="54">
        <f t="shared" si="0"/>
        <v>561.80799999999999</v>
      </c>
      <c r="H6" s="54">
        <f t="shared" si="0"/>
        <v>352.80799999999999</v>
      </c>
      <c r="I6" s="54">
        <f t="shared" si="0"/>
        <v>233.80799999999999</v>
      </c>
      <c r="J6" s="54">
        <f t="shared" si="0"/>
        <v>224.80799999999999</v>
      </c>
      <c r="L6" s="69" t="s">
        <v>205</v>
      </c>
      <c r="M6" s="72" t="s">
        <v>205</v>
      </c>
      <c r="N6" t="s">
        <v>107</v>
      </c>
      <c r="O6">
        <v>1</v>
      </c>
      <c r="P6">
        <v>32.808</v>
      </c>
    </row>
    <row r="7" spans="1:16" x14ac:dyDescent="0.25">
      <c r="A7" s="65" t="s">
        <v>96</v>
      </c>
      <c r="B7" s="63">
        <f t="shared" ref="B7:J7" si="1">SUM(B4-B6)</f>
        <v>-36.807999999999993</v>
      </c>
      <c r="C7" s="58">
        <f t="shared" si="1"/>
        <v>3.1920000000000073</v>
      </c>
      <c r="D7" s="62">
        <f t="shared" si="1"/>
        <v>38.192000000000007</v>
      </c>
      <c r="E7" s="63">
        <f t="shared" si="1"/>
        <v>-33.807999999999993</v>
      </c>
      <c r="F7" s="58">
        <f t="shared" si="1"/>
        <v>-9.8079999999999927</v>
      </c>
      <c r="G7" s="62">
        <f t="shared" si="1"/>
        <v>25.192000000000007</v>
      </c>
      <c r="H7" s="75">
        <f t="shared" si="1"/>
        <v>57.192000000000007</v>
      </c>
      <c r="I7" s="74">
        <f t="shared" si="1"/>
        <v>-65.807999999999993</v>
      </c>
      <c r="J7" s="74">
        <f t="shared" si="1"/>
        <v>-62.807999999999993</v>
      </c>
      <c r="L7" s="70" t="s">
        <v>129</v>
      </c>
      <c r="M7" s="73" t="s">
        <v>129</v>
      </c>
      <c r="N7" t="s">
        <v>108</v>
      </c>
      <c r="O7">
        <v>29</v>
      </c>
      <c r="P7">
        <v>82.02000000000001</v>
      </c>
    </row>
    <row r="8" spans="1:16" x14ac:dyDescent="0.25">
      <c r="A8" s="65" t="s">
        <v>117</v>
      </c>
      <c r="B8" s="54">
        <f t="shared" ref="B8:J8" si="2">SUM(B6/B4)*100</f>
        <v>117.52761904761904</v>
      </c>
      <c r="C8" s="54">
        <f t="shared" si="2"/>
        <v>98.864056939501779</v>
      </c>
      <c r="D8" s="54">
        <f t="shared" si="2"/>
        <v>91.697391304347818</v>
      </c>
      <c r="E8" s="54">
        <f t="shared" si="2"/>
        <v>107.07280334728033</v>
      </c>
      <c r="F8" s="54">
        <f t="shared" si="2"/>
        <v>101.60523731587561</v>
      </c>
      <c r="G8" s="54">
        <f t="shared" si="2"/>
        <v>95.708347529812613</v>
      </c>
      <c r="H8" s="54">
        <f t="shared" si="2"/>
        <v>86.05073170731707</v>
      </c>
      <c r="I8" s="54">
        <f t="shared" si="2"/>
        <v>139.17142857142858</v>
      </c>
      <c r="J8" s="54">
        <f t="shared" si="2"/>
        <v>138.77037037037036</v>
      </c>
      <c r="N8" t="s">
        <v>109</v>
      </c>
      <c r="O8">
        <v>39</v>
      </c>
      <c r="P8">
        <v>72.177599999999998</v>
      </c>
    </row>
    <row r="9" spans="1:16" x14ac:dyDescent="0.25">
      <c r="A9" s="39" t="s">
        <v>101</v>
      </c>
      <c r="B9" s="54"/>
      <c r="C9" s="54"/>
      <c r="D9" s="54"/>
      <c r="E9" s="54"/>
      <c r="F9" s="54"/>
      <c r="G9" s="54"/>
      <c r="H9" s="54"/>
      <c r="I9" s="54"/>
      <c r="J9" s="54"/>
      <c r="N9" t="s">
        <v>110</v>
      </c>
      <c r="O9">
        <v>56</v>
      </c>
      <c r="P9">
        <f>+SUM(3.2808*20)</f>
        <v>65.616</v>
      </c>
    </row>
    <row r="10" spans="1:16" x14ac:dyDescent="0.25">
      <c r="A10" s="65" t="s">
        <v>100</v>
      </c>
      <c r="B10" s="57">
        <v>1</v>
      </c>
      <c r="C10" s="57">
        <v>80</v>
      </c>
      <c r="D10" s="57">
        <v>160</v>
      </c>
      <c r="E10" s="57">
        <v>240</v>
      </c>
      <c r="F10" s="57">
        <v>320</v>
      </c>
      <c r="G10" s="57">
        <v>400</v>
      </c>
      <c r="H10" s="57">
        <v>480</v>
      </c>
      <c r="I10" s="57">
        <v>560</v>
      </c>
      <c r="J10" s="57">
        <v>631</v>
      </c>
      <c r="N10" t="s">
        <v>111</v>
      </c>
      <c r="O10">
        <v>76</v>
      </c>
      <c r="P10">
        <v>32.808</v>
      </c>
    </row>
    <row r="11" spans="1:16" x14ac:dyDescent="0.25">
      <c r="A11" s="65" t="s">
        <v>95</v>
      </c>
      <c r="B11" s="55">
        <v>75</v>
      </c>
      <c r="C11" s="54">
        <v>136</v>
      </c>
      <c r="D11" s="54">
        <v>200</v>
      </c>
      <c r="E11" s="54">
        <v>328</v>
      </c>
      <c r="F11" s="54">
        <v>527</v>
      </c>
      <c r="G11" s="54">
        <v>485</v>
      </c>
      <c r="H11" s="54">
        <v>302</v>
      </c>
      <c r="I11" s="54">
        <v>95</v>
      </c>
      <c r="J11" s="54">
        <v>95</v>
      </c>
      <c r="N11" t="s">
        <v>112</v>
      </c>
      <c r="O11">
        <v>91</v>
      </c>
      <c r="P11">
        <v>39.369600000000005</v>
      </c>
    </row>
    <row r="12" spans="1:16" x14ac:dyDescent="0.25">
      <c r="A12" s="65" t="s">
        <v>116</v>
      </c>
      <c r="B12" s="58">
        <v>0</v>
      </c>
      <c r="C12" s="58">
        <v>27</v>
      </c>
      <c r="D12" s="58">
        <v>145</v>
      </c>
      <c r="E12" s="58">
        <v>270</v>
      </c>
      <c r="F12" s="58">
        <v>429</v>
      </c>
      <c r="G12" s="58">
        <v>367</v>
      </c>
      <c r="H12" s="58">
        <v>170</v>
      </c>
      <c r="I12" s="58">
        <v>0</v>
      </c>
      <c r="J12" s="58">
        <v>0</v>
      </c>
    </row>
    <row r="13" spans="1:16" x14ac:dyDescent="0.25">
      <c r="A13" s="66" t="s">
        <v>122</v>
      </c>
      <c r="B13" s="54">
        <f t="shared" ref="B13:J13" si="3">SUM(B12+$P$7)</f>
        <v>82.02000000000001</v>
      </c>
      <c r="C13" s="54">
        <f t="shared" si="3"/>
        <v>109.02000000000001</v>
      </c>
      <c r="D13" s="54">
        <f t="shared" si="3"/>
        <v>227.02</v>
      </c>
      <c r="E13" s="54">
        <f t="shared" si="3"/>
        <v>352.02</v>
      </c>
      <c r="F13" s="54">
        <f t="shared" si="3"/>
        <v>511.02</v>
      </c>
      <c r="G13" s="54">
        <f t="shared" si="3"/>
        <v>449.02</v>
      </c>
      <c r="H13" s="54">
        <f t="shared" si="3"/>
        <v>252.02</v>
      </c>
      <c r="I13" s="54">
        <f t="shared" si="3"/>
        <v>82.02000000000001</v>
      </c>
      <c r="J13" s="54">
        <f t="shared" si="3"/>
        <v>82.02000000000001</v>
      </c>
    </row>
    <row r="14" spans="1:16" x14ac:dyDescent="0.25">
      <c r="A14" s="65" t="s">
        <v>96</v>
      </c>
      <c r="B14" s="54">
        <f t="shared" ref="B14:J14" si="4">SUM(B11-B13)</f>
        <v>-7.0200000000000102</v>
      </c>
      <c r="C14" s="54">
        <f t="shared" si="4"/>
        <v>26.97999999999999</v>
      </c>
      <c r="D14" s="63">
        <f t="shared" si="4"/>
        <v>-27.02000000000001</v>
      </c>
      <c r="E14" s="54">
        <f t="shared" si="4"/>
        <v>-24.019999999999982</v>
      </c>
      <c r="F14" s="54">
        <f t="shared" si="4"/>
        <v>15.980000000000018</v>
      </c>
      <c r="G14" s="62">
        <f t="shared" si="4"/>
        <v>35.980000000000018</v>
      </c>
      <c r="H14" s="62">
        <f t="shared" si="4"/>
        <v>49.97999999999999</v>
      </c>
      <c r="I14" s="54">
        <f t="shared" si="4"/>
        <v>12.97999999999999</v>
      </c>
      <c r="J14" s="54">
        <f t="shared" si="4"/>
        <v>12.97999999999999</v>
      </c>
    </row>
    <row r="15" spans="1:16" x14ac:dyDescent="0.25">
      <c r="A15" s="65" t="s">
        <v>97</v>
      </c>
      <c r="B15" s="54">
        <f t="shared" ref="B15:J15" si="5">SUM(B13/B11)*100</f>
        <v>109.36000000000001</v>
      </c>
      <c r="C15" s="54">
        <f t="shared" si="5"/>
        <v>80.161764705882362</v>
      </c>
      <c r="D15" s="54">
        <f t="shared" si="5"/>
        <v>113.51</v>
      </c>
      <c r="E15" s="54">
        <f t="shared" si="5"/>
        <v>107.32317073170732</v>
      </c>
      <c r="F15" s="54">
        <f t="shared" si="5"/>
        <v>96.967741935483858</v>
      </c>
      <c r="G15" s="54">
        <f t="shared" si="5"/>
        <v>92.581443298969063</v>
      </c>
      <c r="H15" s="54">
        <f t="shared" si="5"/>
        <v>83.450331125827816</v>
      </c>
      <c r="I15" s="54">
        <f t="shared" si="5"/>
        <v>86.336842105263173</v>
      </c>
      <c r="J15" s="54">
        <f t="shared" si="5"/>
        <v>86.336842105263173</v>
      </c>
    </row>
    <row r="16" spans="1:16" x14ac:dyDescent="0.25">
      <c r="A16" s="39" t="s">
        <v>102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10" x14ac:dyDescent="0.25">
      <c r="A17" s="65" t="s">
        <v>100</v>
      </c>
      <c r="B17" s="57">
        <v>1</v>
      </c>
      <c r="C17" s="57">
        <v>80</v>
      </c>
      <c r="D17" s="57">
        <v>160</v>
      </c>
      <c r="E17" s="57">
        <v>240</v>
      </c>
      <c r="F17" s="57">
        <v>320</v>
      </c>
      <c r="G17" s="57">
        <v>400</v>
      </c>
      <c r="H17" s="57">
        <v>480</v>
      </c>
      <c r="I17" s="57">
        <v>560</v>
      </c>
      <c r="J17" s="57">
        <v>631</v>
      </c>
    </row>
    <row r="18" spans="1:10" x14ac:dyDescent="0.25">
      <c r="A18" s="65" t="s">
        <v>95</v>
      </c>
      <c r="B18" s="55">
        <v>120</v>
      </c>
      <c r="C18" s="54">
        <v>230</v>
      </c>
      <c r="D18" s="54">
        <v>265</v>
      </c>
      <c r="E18" s="54">
        <v>482</v>
      </c>
      <c r="F18" s="54">
        <v>645</v>
      </c>
      <c r="G18" s="54">
        <v>526</v>
      </c>
      <c r="H18" s="54">
        <v>265</v>
      </c>
      <c r="I18" s="54">
        <v>105</v>
      </c>
      <c r="J18" s="55">
        <v>85</v>
      </c>
    </row>
    <row r="19" spans="1:10" x14ac:dyDescent="0.25">
      <c r="A19" s="65" t="s">
        <v>116</v>
      </c>
      <c r="B19" s="58">
        <v>11</v>
      </c>
      <c r="C19" s="58">
        <v>136</v>
      </c>
      <c r="D19" s="58">
        <v>191</v>
      </c>
      <c r="E19" s="58">
        <v>394</v>
      </c>
      <c r="F19" s="58">
        <v>543</v>
      </c>
      <c r="G19" s="58">
        <v>488</v>
      </c>
      <c r="H19" s="58">
        <v>270</v>
      </c>
      <c r="I19" s="58">
        <v>21</v>
      </c>
      <c r="J19" s="58">
        <v>0</v>
      </c>
    </row>
    <row r="20" spans="1:10" x14ac:dyDescent="0.25">
      <c r="A20" s="65" t="s">
        <v>115</v>
      </c>
      <c r="B20" s="54">
        <f t="shared" ref="B20:J20" si="6">SUM(B19+$P$8)</f>
        <v>83.177599999999998</v>
      </c>
      <c r="C20" s="54">
        <f t="shared" si="6"/>
        <v>208.17759999999998</v>
      </c>
      <c r="D20" s="54">
        <f t="shared" si="6"/>
        <v>263.17759999999998</v>
      </c>
      <c r="E20" s="54">
        <f t="shared" si="6"/>
        <v>466.17759999999998</v>
      </c>
      <c r="F20" s="54">
        <f t="shared" si="6"/>
        <v>615.17759999999998</v>
      </c>
      <c r="G20" s="54">
        <f t="shared" si="6"/>
        <v>560.17759999999998</v>
      </c>
      <c r="H20" s="54">
        <f t="shared" si="6"/>
        <v>342.17759999999998</v>
      </c>
      <c r="I20" s="54">
        <f t="shared" si="6"/>
        <v>93.177599999999998</v>
      </c>
      <c r="J20" s="54">
        <f t="shared" si="6"/>
        <v>72.177599999999998</v>
      </c>
    </row>
    <row r="21" spans="1:10" x14ac:dyDescent="0.25">
      <c r="A21" s="65" t="s">
        <v>96</v>
      </c>
      <c r="B21" s="62">
        <f t="shared" ref="B21:J21" si="7">SUM(B18-B20)</f>
        <v>36.822400000000002</v>
      </c>
      <c r="C21" s="54">
        <f t="shared" si="7"/>
        <v>21.822400000000016</v>
      </c>
      <c r="D21" s="54">
        <f t="shared" si="7"/>
        <v>1.822400000000016</v>
      </c>
      <c r="E21" s="54">
        <f t="shared" si="7"/>
        <v>15.822400000000016</v>
      </c>
      <c r="F21" s="62">
        <f t="shared" si="7"/>
        <v>29.822400000000016</v>
      </c>
      <c r="G21" s="63">
        <f t="shared" si="7"/>
        <v>-34.177599999999984</v>
      </c>
      <c r="H21" s="78">
        <f t="shared" si="7"/>
        <v>-77.177599999999984</v>
      </c>
      <c r="I21" s="54">
        <f t="shared" si="7"/>
        <v>11.822400000000002</v>
      </c>
      <c r="J21" s="54">
        <f t="shared" si="7"/>
        <v>12.822400000000002</v>
      </c>
    </row>
    <row r="22" spans="1:10" x14ac:dyDescent="0.25">
      <c r="A22" s="65" t="s">
        <v>97</v>
      </c>
      <c r="B22" s="54">
        <f t="shared" ref="B22:J22" si="8">SUM(B20/B18)*100</f>
        <v>69.314666666666668</v>
      </c>
      <c r="C22" s="54">
        <f t="shared" si="8"/>
        <v>90.511999999999986</v>
      </c>
      <c r="D22" s="54">
        <f t="shared" si="8"/>
        <v>99.31230188679244</v>
      </c>
      <c r="E22" s="54">
        <f t="shared" si="8"/>
        <v>96.717344398340245</v>
      </c>
      <c r="F22" s="54">
        <f t="shared" si="8"/>
        <v>95.376372093023249</v>
      </c>
      <c r="G22" s="54">
        <f t="shared" si="8"/>
        <v>106.49764258555132</v>
      </c>
      <c r="H22" s="54">
        <f t="shared" si="8"/>
        <v>129.12362264150943</v>
      </c>
      <c r="I22" s="54">
        <f t="shared" si="8"/>
        <v>88.740571428571428</v>
      </c>
      <c r="J22" s="54">
        <f t="shared" si="8"/>
        <v>84.914823529411763</v>
      </c>
    </row>
    <row r="23" spans="1:10" x14ac:dyDescent="0.25">
      <c r="A23" s="39" t="s">
        <v>103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0" x14ac:dyDescent="0.25">
      <c r="A24" s="65" t="s">
        <v>100</v>
      </c>
      <c r="B24" s="57">
        <v>1</v>
      </c>
      <c r="C24" s="57">
        <v>80</v>
      </c>
      <c r="D24" s="57">
        <v>160</v>
      </c>
      <c r="E24" s="57">
        <v>240</v>
      </c>
      <c r="F24" s="57">
        <v>320</v>
      </c>
      <c r="G24" s="57">
        <v>400</v>
      </c>
      <c r="H24" s="57">
        <v>480</v>
      </c>
      <c r="I24" s="57">
        <v>560</v>
      </c>
      <c r="J24" s="57">
        <v>631</v>
      </c>
    </row>
    <row r="25" spans="1:10" x14ac:dyDescent="0.25">
      <c r="A25" s="65" t="s">
        <v>95</v>
      </c>
      <c r="B25" s="55">
        <v>25</v>
      </c>
      <c r="C25" s="54">
        <v>58</v>
      </c>
      <c r="D25" s="54">
        <v>201</v>
      </c>
      <c r="E25" s="54">
        <v>411</v>
      </c>
      <c r="F25" s="54">
        <v>533</v>
      </c>
      <c r="G25" s="54">
        <v>460</v>
      </c>
      <c r="H25" s="54">
        <v>280</v>
      </c>
      <c r="I25" s="54">
        <v>40</v>
      </c>
      <c r="J25" s="55">
        <v>25</v>
      </c>
    </row>
    <row r="26" spans="1:10" x14ac:dyDescent="0.25">
      <c r="A26" s="65" t="s">
        <v>116</v>
      </c>
      <c r="B26" s="58">
        <v>0</v>
      </c>
      <c r="C26" s="58">
        <v>18</v>
      </c>
      <c r="D26" s="58">
        <v>120</v>
      </c>
      <c r="E26" s="58">
        <v>347</v>
      </c>
      <c r="F26" s="58">
        <v>480</v>
      </c>
      <c r="G26" s="58">
        <v>429</v>
      </c>
      <c r="H26" s="58">
        <v>237</v>
      </c>
      <c r="I26" s="58">
        <v>0</v>
      </c>
      <c r="J26" s="58">
        <v>0</v>
      </c>
    </row>
    <row r="27" spans="1:10" x14ac:dyDescent="0.25">
      <c r="A27" s="65" t="s">
        <v>115</v>
      </c>
      <c r="B27" s="54">
        <f t="shared" ref="B27:J27" si="9">SUM(B26+$P$9)</f>
        <v>65.616</v>
      </c>
      <c r="C27" s="54">
        <f t="shared" si="9"/>
        <v>83.616</v>
      </c>
      <c r="D27" s="54">
        <f t="shared" si="9"/>
        <v>185.61599999999999</v>
      </c>
      <c r="E27" s="54">
        <f t="shared" si="9"/>
        <v>412.61599999999999</v>
      </c>
      <c r="F27" s="54">
        <f t="shared" si="9"/>
        <v>545.61599999999999</v>
      </c>
      <c r="G27" s="54">
        <f t="shared" si="9"/>
        <v>494.61599999999999</v>
      </c>
      <c r="H27" s="54">
        <f t="shared" si="9"/>
        <v>302.61599999999999</v>
      </c>
      <c r="I27" s="54">
        <f t="shared" si="9"/>
        <v>65.616</v>
      </c>
      <c r="J27" s="54">
        <f t="shared" si="9"/>
        <v>65.616</v>
      </c>
    </row>
    <row r="28" spans="1:10" x14ac:dyDescent="0.25">
      <c r="A28" s="65" t="s">
        <v>96</v>
      </c>
      <c r="B28" s="63">
        <f t="shared" ref="B28:J28" si="10">SUM(B25-B27)</f>
        <v>-40.616</v>
      </c>
      <c r="C28" s="63">
        <f t="shared" si="10"/>
        <v>-25.616</v>
      </c>
      <c r="D28" s="54">
        <f t="shared" si="10"/>
        <v>15.384000000000015</v>
      </c>
      <c r="E28" s="54">
        <f t="shared" si="10"/>
        <v>-1.6159999999999854</v>
      </c>
      <c r="F28" s="54">
        <f t="shared" si="10"/>
        <v>-12.615999999999985</v>
      </c>
      <c r="G28" s="63">
        <f t="shared" si="10"/>
        <v>-34.615999999999985</v>
      </c>
      <c r="H28" s="54">
        <f t="shared" si="10"/>
        <v>-22.615999999999985</v>
      </c>
      <c r="I28" s="63">
        <f t="shared" si="10"/>
        <v>-25.616</v>
      </c>
      <c r="J28" s="63">
        <f t="shared" si="10"/>
        <v>-40.616</v>
      </c>
    </row>
    <row r="29" spans="1:10" x14ac:dyDescent="0.25">
      <c r="A29" s="65" t="s">
        <v>97</v>
      </c>
      <c r="B29" s="54">
        <v>0</v>
      </c>
      <c r="C29" s="54">
        <f t="shared" ref="C29:I29" si="11">SUM(C27/C25)*100</f>
        <v>144.16551724137932</v>
      </c>
      <c r="D29" s="54">
        <f t="shared" si="11"/>
        <v>92.346268656716418</v>
      </c>
      <c r="E29" s="54">
        <f t="shared" si="11"/>
        <v>100.39318734793187</v>
      </c>
      <c r="F29" s="54">
        <f t="shared" si="11"/>
        <v>102.3669793621013</v>
      </c>
      <c r="G29" s="54">
        <f t="shared" si="11"/>
        <v>107.52521739130434</v>
      </c>
      <c r="H29" s="54">
        <f t="shared" si="11"/>
        <v>108.07714285714285</v>
      </c>
      <c r="I29" s="54">
        <f t="shared" si="11"/>
        <v>164.04000000000002</v>
      </c>
      <c r="J29" s="54">
        <v>0</v>
      </c>
    </row>
    <row r="30" spans="1:10" x14ac:dyDescent="0.25">
      <c r="A30" s="39" t="s">
        <v>104</v>
      </c>
      <c r="B30" s="54"/>
      <c r="C30" s="54"/>
      <c r="D30" s="54"/>
      <c r="E30" s="54"/>
      <c r="F30" s="54"/>
      <c r="G30" s="54"/>
      <c r="H30" s="54"/>
      <c r="I30" s="54"/>
      <c r="J30" s="54"/>
    </row>
    <row r="31" spans="1:10" x14ac:dyDescent="0.25">
      <c r="A31" s="65" t="s">
        <v>100</v>
      </c>
      <c r="B31" s="57">
        <v>1</v>
      </c>
      <c r="C31" s="57">
        <v>80</v>
      </c>
      <c r="D31" s="57">
        <v>160</v>
      </c>
      <c r="E31" s="57">
        <v>240</v>
      </c>
      <c r="F31" s="57">
        <v>320</v>
      </c>
      <c r="G31" s="57">
        <v>400</v>
      </c>
      <c r="H31" s="57">
        <v>480</v>
      </c>
      <c r="I31" s="57">
        <v>560</v>
      </c>
      <c r="J31" s="57">
        <v>631</v>
      </c>
    </row>
    <row r="32" spans="1:10" x14ac:dyDescent="0.25">
      <c r="A32" s="65" t="s">
        <v>95</v>
      </c>
      <c r="B32" s="55">
        <v>20</v>
      </c>
      <c r="C32" s="56">
        <v>30</v>
      </c>
      <c r="D32" s="54">
        <v>25</v>
      </c>
      <c r="E32" s="54">
        <v>160</v>
      </c>
      <c r="F32" s="54">
        <v>235</v>
      </c>
      <c r="G32" s="54">
        <v>160</v>
      </c>
      <c r="H32" s="56">
        <v>60</v>
      </c>
      <c r="I32" s="56">
        <v>20</v>
      </c>
      <c r="J32" s="55">
        <v>20</v>
      </c>
    </row>
    <row r="33" spans="1:11" x14ac:dyDescent="0.25">
      <c r="A33" s="65" t="s">
        <v>116</v>
      </c>
      <c r="B33" s="58">
        <v>0</v>
      </c>
      <c r="C33" s="58">
        <v>0</v>
      </c>
      <c r="D33" s="58">
        <v>0</v>
      </c>
      <c r="E33" s="58">
        <v>121</v>
      </c>
      <c r="F33" s="58">
        <v>195</v>
      </c>
      <c r="G33" s="58">
        <v>166</v>
      </c>
      <c r="H33" s="58">
        <v>58</v>
      </c>
      <c r="I33" s="58">
        <v>0</v>
      </c>
      <c r="J33" s="58">
        <v>0</v>
      </c>
    </row>
    <row r="34" spans="1:11" x14ac:dyDescent="0.25">
      <c r="A34" s="65" t="s">
        <v>115</v>
      </c>
      <c r="B34" s="54">
        <f>SUM(B33+$P$10)</f>
        <v>32.808</v>
      </c>
      <c r="C34" s="54">
        <f t="shared" ref="C34:J34" si="12">SUM(C33+$P$10)</f>
        <v>32.808</v>
      </c>
      <c r="D34" s="54">
        <f t="shared" si="12"/>
        <v>32.808</v>
      </c>
      <c r="E34" s="54">
        <f t="shared" si="12"/>
        <v>153.80799999999999</v>
      </c>
      <c r="F34" s="54">
        <f t="shared" si="12"/>
        <v>227.80799999999999</v>
      </c>
      <c r="G34" s="54">
        <f t="shared" si="12"/>
        <v>198.80799999999999</v>
      </c>
      <c r="H34" s="54">
        <f t="shared" si="12"/>
        <v>90.807999999999993</v>
      </c>
      <c r="I34" s="54">
        <f t="shared" si="12"/>
        <v>32.808</v>
      </c>
      <c r="J34" s="54">
        <f t="shared" si="12"/>
        <v>32.808</v>
      </c>
    </row>
    <row r="35" spans="1:11" x14ac:dyDescent="0.25">
      <c r="A35" s="65" t="s">
        <v>96</v>
      </c>
      <c r="B35">
        <f t="shared" ref="B35:J35" si="13">SUM(B32-B34)</f>
        <v>-12.808</v>
      </c>
      <c r="C35">
        <f t="shared" si="13"/>
        <v>-2.8079999999999998</v>
      </c>
      <c r="D35">
        <f t="shared" si="13"/>
        <v>-7.8079999999999998</v>
      </c>
      <c r="E35">
        <f t="shared" si="13"/>
        <v>6.1920000000000073</v>
      </c>
      <c r="F35">
        <f t="shared" si="13"/>
        <v>7.1920000000000073</v>
      </c>
      <c r="G35" s="63">
        <f t="shared" si="13"/>
        <v>-38.807999999999993</v>
      </c>
      <c r="H35" s="59">
        <f t="shared" si="13"/>
        <v>-30.807999999999993</v>
      </c>
      <c r="I35">
        <f t="shared" si="13"/>
        <v>-12.808</v>
      </c>
      <c r="J35">
        <f t="shared" si="13"/>
        <v>-12.808</v>
      </c>
    </row>
    <row r="36" spans="1:11" x14ac:dyDescent="0.25">
      <c r="A36" s="65" t="s">
        <v>97</v>
      </c>
      <c r="B36" s="54">
        <v>0</v>
      </c>
      <c r="C36" s="54">
        <f>SUM(C34/C32)*100</f>
        <v>109.35999999999999</v>
      </c>
      <c r="D36" s="54">
        <f>SUM(D34/D32)*100</f>
        <v>131.232</v>
      </c>
      <c r="E36" s="54">
        <f>SUM(E34/E32)*100</f>
        <v>96.13</v>
      </c>
      <c r="F36" s="54">
        <f>SUM(F34/F32)*100</f>
        <v>96.939574468085098</v>
      </c>
      <c r="G36" s="54">
        <f>SUM(G34/G32)*100</f>
        <v>124.25500000000001</v>
      </c>
      <c r="H36" s="54">
        <v>0</v>
      </c>
      <c r="I36" s="54">
        <v>0</v>
      </c>
      <c r="J36" s="54">
        <v>0</v>
      </c>
    </row>
    <row r="37" spans="1:11" x14ac:dyDescent="0.25">
      <c r="A37" s="39" t="s">
        <v>106</v>
      </c>
      <c r="B37" s="54"/>
      <c r="C37" s="54"/>
      <c r="D37" s="54"/>
      <c r="E37" s="54"/>
      <c r="F37" s="54"/>
      <c r="G37" s="54"/>
      <c r="H37" s="54"/>
      <c r="I37" s="54"/>
      <c r="J37" s="54"/>
    </row>
    <row r="38" spans="1:11" x14ac:dyDescent="0.25">
      <c r="A38" s="65" t="s">
        <v>100</v>
      </c>
      <c r="B38" s="57">
        <v>1</v>
      </c>
      <c r="C38" s="57">
        <v>80</v>
      </c>
      <c r="D38" s="57">
        <v>160</v>
      </c>
      <c r="E38" s="57">
        <v>240</v>
      </c>
      <c r="F38" s="57">
        <v>320</v>
      </c>
      <c r="G38" s="57">
        <v>400</v>
      </c>
      <c r="H38" s="57">
        <v>480</v>
      </c>
      <c r="I38" s="57">
        <v>560</v>
      </c>
      <c r="J38" s="57">
        <v>631</v>
      </c>
    </row>
    <row r="39" spans="1:11" x14ac:dyDescent="0.25">
      <c r="A39" s="65" t="s">
        <v>95</v>
      </c>
      <c r="B39" s="55">
        <v>50</v>
      </c>
      <c r="C39" s="54">
        <v>60</v>
      </c>
      <c r="D39" s="54">
        <v>80</v>
      </c>
      <c r="E39" s="54">
        <v>115</v>
      </c>
      <c r="F39" s="54">
        <v>125</v>
      </c>
      <c r="G39" s="54">
        <v>114</v>
      </c>
      <c r="H39" s="54">
        <v>55</v>
      </c>
      <c r="I39" s="54">
        <v>55</v>
      </c>
      <c r="J39" s="55">
        <v>50</v>
      </c>
    </row>
    <row r="40" spans="1:11" x14ac:dyDescent="0.25">
      <c r="A40" s="65" t="s">
        <v>116</v>
      </c>
      <c r="B40" s="58">
        <v>0</v>
      </c>
      <c r="C40" s="58">
        <v>0</v>
      </c>
      <c r="D40" s="58">
        <v>22</v>
      </c>
      <c r="E40" s="58">
        <v>68</v>
      </c>
      <c r="F40" s="58">
        <v>94</v>
      </c>
      <c r="G40" s="58">
        <v>84</v>
      </c>
      <c r="H40" s="58">
        <v>44</v>
      </c>
      <c r="I40" s="58">
        <v>0</v>
      </c>
      <c r="J40" s="58">
        <v>0</v>
      </c>
    </row>
    <row r="41" spans="1:11" x14ac:dyDescent="0.25">
      <c r="A41" s="65" t="s">
        <v>115</v>
      </c>
      <c r="B41" s="118">
        <f>SUM(B40+$P$11)</f>
        <v>39.369600000000005</v>
      </c>
      <c r="C41" s="118">
        <f t="shared" ref="C41:J41" si="14">SUM(C40+$P$11)</f>
        <v>39.369600000000005</v>
      </c>
      <c r="D41" s="118">
        <f t="shared" si="14"/>
        <v>61.369600000000005</v>
      </c>
      <c r="E41" s="118">
        <f t="shared" si="14"/>
        <v>107.36960000000001</v>
      </c>
      <c r="F41" s="118">
        <f t="shared" si="14"/>
        <v>133.36959999999999</v>
      </c>
      <c r="G41" s="118">
        <f t="shared" si="14"/>
        <v>123.36960000000001</v>
      </c>
      <c r="H41" s="118">
        <f t="shared" si="14"/>
        <v>83.369600000000005</v>
      </c>
      <c r="I41" s="118">
        <f t="shared" si="14"/>
        <v>39.369600000000005</v>
      </c>
      <c r="J41" s="118">
        <f t="shared" si="14"/>
        <v>39.369600000000005</v>
      </c>
    </row>
    <row r="42" spans="1:11" x14ac:dyDescent="0.25">
      <c r="A42" s="65" t="s">
        <v>96</v>
      </c>
      <c r="B42" s="54">
        <f t="shared" ref="B42:J42" si="15">SUM(B39-B41)</f>
        <v>10.630399999999995</v>
      </c>
      <c r="C42" s="54">
        <f t="shared" si="15"/>
        <v>20.630399999999995</v>
      </c>
      <c r="D42" s="54">
        <f t="shared" si="15"/>
        <v>18.630399999999995</v>
      </c>
      <c r="E42" s="54">
        <f t="shared" si="15"/>
        <v>7.6303999999999945</v>
      </c>
      <c r="F42" s="54">
        <f t="shared" si="15"/>
        <v>-8.3695999999999913</v>
      </c>
      <c r="G42" s="54">
        <f t="shared" si="15"/>
        <v>-9.3696000000000055</v>
      </c>
      <c r="H42" s="63">
        <f t="shared" si="15"/>
        <v>-28.369600000000005</v>
      </c>
      <c r="I42" s="54">
        <f t="shared" si="15"/>
        <v>15.630399999999995</v>
      </c>
      <c r="J42" s="54">
        <f t="shared" si="15"/>
        <v>10.630399999999995</v>
      </c>
      <c r="K42" s="120"/>
    </row>
    <row r="43" spans="1:11" x14ac:dyDescent="0.25">
      <c r="A43" s="65" t="s">
        <v>97</v>
      </c>
      <c r="B43" s="119">
        <f t="shared" ref="B43:J43" si="16">SUM(B41/B39)*100</f>
        <v>78.739200000000011</v>
      </c>
      <c r="C43" s="119">
        <f t="shared" si="16"/>
        <v>65.616000000000014</v>
      </c>
      <c r="D43" s="119">
        <f t="shared" si="16"/>
        <v>76.712000000000003</v>
      </c>
      <c r="E43" s="119">
        <f t="shared" si="16"/>
        <v>93.364869565217404</v>
      </c>
      <c r="F43" s="119">
        <f t="shared" si="16"/>
        <v>106.69568000000001</v>
      </c>
      <c r="G43" s="119">
        <f t="shared" si="16"/>
        <v>108.21894736842106</v>
      </c>
      <c r="H43" s="119">
        <f t="shared" si="16"/>
        <v>151.5810909090909</v>
      </c>
      <c r="I43" s="119">
        <f t="shared" si="16"/>
        <v>71.581090909090918</v>
      </c>
      <c r="J43" s="119">
        <f t="shared" si="16"/>
        <v>78.739200000000011</v>
      </c>
    </row>
    <row r="47" spans="1:11" x14ac:dyDescent="0.25">
      <c r="A47" t="s">
        <v>118</v>
      </c>
      <c r="B47" s="58">
        <f t="shared" ref="B47:J47" si="17">SUM(B4+B11+B18+B25+B32+B39)</f>
        <v>500</v>
      </c>
      <c r="C47" s="58">
        <f t="shared" si="17"/>
        <v>795</v>
      </c>
      <c r="D47" s="58">
        <f t="shared" si="17"/>
        <v>1231</v>
      </c>
      <c r="E47" s="58">
        <f t="shared" si="17"/>
        <v>1974</v>
      </c>
      <c r="F47" s="58">
        <f t="shared" si="17"/>
        <v>2676</v>
      </c>
      <c r="G47" s="58">
        <f t="shared" si="17"/>
        <v>2332</v>
      </c>
      <c r="H47" s="58">
        <f t="shared" si="17"/>
        <v>1372</v>
      </c>
      <c r="I47" s="58">
        <f t="shared" si="17"/>
        <v>483</v>
      </c>
      <c r="J47" s="58">
        <f t="shared" si="17"/>
        <v>437</v>
      </c>
    </row>
    <row r="48" spans="1:11" x14ac:dyDescent="0.25">
      <c r="A48" t="s">
        <v>119</v>
      </c>
      <c r="B48" s="58">
        <f t="shared" ref="B48:J48" si="18">SUM(B6+B13+B20+B27+B34+B41)</f>
        <v>549.79919999999993</v>
      </c>
      <c r="C48" s="58">
        <f t="shared" si="18"/>
        <v>750.79919999999993</v>
      </c>
      <c r="D48" s="58">
        <f t="shared" si="18"/>
        <v>1191.7991999999999</v>
      </c>
      <c r="E48" s="58">
        <f t="shared" si="18"/>
        <v>2003.7991999999999</v>
      </c>
      <c r="F48" s="58">
        <f t="shared" si="18"/>
        <v>2653.7991999999999</v>
      </c>
      <c r="G48" s="58">
        <f t="shared" si="18"/>
        <v>2387.7991999999999</v>
      </c>
      <c r="H48" s="58">
        <f t="shared" si="18"/>
        <v>1423.7991999999999</v>
      </c>
      <c r="I48" s="58">
        <f t="shared" si="18"/>
        <v>546.79919999999993</v>
      </c>
      <c r="J48" s="58">
        <f t="shared" si="18"/>
        <v>516.79919999999993</v>
      </c>
    </row>
    <row r="49" spans="1:10" x14ac:dyDescent="0.25">
      <c r="A49" t="s">
        <v>121</v>
      </c>
      <c r="B49" s="121">
        <f t="shared" ref="B49:J49" si="19">SUM(B47-B48)</f>
        <v>-49.799199999999928</v>
      </c>
      <c r="C49" s="122">
        <f t="shared" si="19"/>
        <v>44.200800000000072</v>
      </c>
      <c r="D49" s="122">
        <f t="shared" si="19"/>
        <v>39.200800000000072</v>
      </c>
      <c r="E49" s="121">
        <f t="shared" si="19"/>
        <v>-29.799199999999928</v>
      </c>
      <c r="F49">
        <f t="shared" si="19"/>
        <v>22.200800000000072</v>
      </c>
      <c r="G49" s="123">
        <f t="shared" si="19"/>
        <v>-55.799199999999928</v>
      </c>
      <c r="H49" s="123">
        <f t="shared" si="19"/>
        <v>-51.799199999999928</v>
      </c>
      <c r="I49" s="123">
        <f t="shared" si="19"/>
        <v>-63.799199999999928</v>
      </c>
      <c r="J49" s="123">
        <f t="shared" si="19"/>
        <v>-79.799199999999928</v>
      </c>
    </row>
    <row r="50" spans="1:10" x14ac:dyDescent="0.25">
      <c r="A50" t="s">
        <v>120</v>
      </c>
      <c r="B50" s="38">
        <f>SUM(B48/B47)*100</f>
        <v>109.95983999999999</v>
      </c>
      <c r="C50" s="38">
        <f t="shared" ref="C50:J50" si="20">SUM(C48/C47)*100</f>
        <v>94.440150943396219</v>
      </c>
      <c r="D50" s="38">
        <f t="shared" si="20"/>
        <v>96.815532087733544</v>
      </c>
      <c r="E50" s="38">
        <f t="shared" si="20"/>
        <v>101.50958459979735</v>
      </c>
      <c r="F50" s="38">
        <f t="shared" si="20"/>
        <v>99.170373692077732</v>
      </c>
      <c r="G50" s="38">
        <f t="shared" si="20"/>
        <v>102.3927615780446</v>
      </c>
      <c r="H50" s="38">
        <f t="shared" si="20"/>
        <v>103.77545189504373</v>
      </c>
      <c r="I50" s="38">
        <f t="shared" si="20"/>
        <v>113.20894409937887</v>
      </c>
      <c r="J50" s="38">
        <f t="shared" si="20"/>
        <v>118.26068649885582</v>
      </c>
    </row>
    <row r="53" spans="1:10" ht="15" customHeight="1" x14ac:dyDescent="0.25">
      <c r="A53" s="134" t="s">
        <v>123</v>
      </c>
      <c r="C53" s="135" t="s">
        <v>127</v>
      </c>
      <c r="D53" s="135"/>
      <c r="E53" s="135"/>
    </row>
    <row r="54" spans="1:10" x14ac:dyDescent="0.25">
      <c r="A54" s="134"/>
      <c r="C54" s="135"/>
      <c r="D54" s="135"/>
      <c r="E54" s="135"/>
    </row>
    <row r="55" spans="1:10" x14ac:dyDescent="0.25">
      <c r="A55" s="134"/>
      <c r="C55" s="135"/>
      <c r="D55" s="135"/>
      <c r="E55" s="135"/>
    </row>
    <row r="56" spans="1:10" x14ac:dyDescent="0.25">
      <c r="A56" s="134" t="s">
        <v>124</v>
      </c>
      <c r="C56" s="135"/>
      <c r="D56" s="135"/>
      <c r="E56" s="135"/>
    </row>
    <row r="57" spans="1:10" x14ac:dyDescent="0.25">
      <c r="A57" s="134"/>
    </row>
    <row r="58" spans="1:10" x14ac:dyDescent="0.25">
      <c r="A58" s="134"/>
    </row>
    <row r="59" spans="1:10" x14ac:dyDescent="0.25">
      <c r="A59" s="134"/>
    </row>
    <row r="60" spans="1:10" ht="15" customHeight="1" x14ac:dyDescent="0.25">
      <c r="A60" s="136" t="s">
        <v>125</v>
      </c>
    </row>
    <row r="61" spans="1:10" x14ac:dyDescent="0.25">
      <c r="A61" s="136"/>
    </row>
    <row r="62" spans="1:10" x14ac:dyDescent="0.25">
      <c r="A62" s="136"/>
    </row>
    <row r="63" spans="1:10" x14ac:dyDescent="0.25">
      <c r="A63" s="136"/>
    </row>
  </sheetData>
  <mergeCells count="4">
    <mergeCell ref="A53:A55"/>
    <mergeCell ref="C53:E56"/>
    <mergeCell ref="A56:A59"/>
    <mergeCell ref="A60:A63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L169"/>
  <sheetViews>
    <sheetView topLeftCell="I124" zoomScale="98" zoomScaleNormal="98" workbookViewId="0">
      <selection activeCell="T149" sqref="T149"/>
    </sheetView>
  </sheetViews>
  <sheetFormatPr defaultRowHeight="15" x14ac:dyDescent="0.25"/>
  <cols>
    <col min="1" max="1" width="28.5703125" customWidth="1"/>
    <col min="7" max="7" width="18" customWidth="1"/>
    <col min="8" max="9" width="14.5703125" customWidth="1"/>
    <col min="13" max="13" width="14.140625" customWidth="1"/>
    <col min="14" max="14" width="15.28515625" customWidth="1"/>
    <col min="15" max="15" width="14" customWidth="1"/>
    <col min="16" max="16" width="15.7109375" customWidth="1"/>
    <col min="20" max="20" width="32.42578125" customWidth="1"/>
  </cols>
  <sheetData>
    <row r="1" spans="1:454" x14ac:dyDescent="0.25">
      <c r="A1">
        <v>0</v>
      </c>
      <c r="B1">
        <v>0</v>
      </c>
      <c r="C1">
        <v>0</v>
      </c>
      <c r="D1">
        <v>0</v>
      </c>
      <c r="E1">
        <v>0</v>
      </c>
      <c r="F1">
        <v>0</v>
      </c>
      <c r="G1">
        <v>0</v>
      </c>
      <c r="H1">
        <v>0</v>
      </c>
      <c r="I1">
        <v>0</v>
      </c>
      <c r="J1">
        <v>0</v>
      </c>
      <c r="K1">
        <v>0</v>
      </c>
      <c r="L1">
        <v>0</v>
      </c>
      <c r="M1">
        <v>0</v>
      </c>
      <c r="N1">
        <v>0</v>
      </c>
      <c r="O1">
        <v>0</v>
      </c>
      <c r="P1">
        <v>0</v>
      </c>
      <c r="Q1">
        <v>0</v>
      </c>
      <c r="R1">
        <v>0</v>
      </c>
      <c r="S1">
        <v>0</v>
      </c>
      <c r="T1">
        <v>0</v>
      </c>
      <c r="U1">
        <v>0</v>
      </c>
      <c r="V1">
        <v>0</v>
      </c>
      <c r="W1">
        <v>0</v>
      </c>
      <c r="X1">
        <v>0</v>
      </c>
      <c r="Y1">
        <v>0</v>
      </c>
      <c r="Z1">
        <v>0</v>
      </c>
      <c r="AA1">
        <v>0</v>
      </c>
      <c r="AB1">
        <v>0</v>
      </c>
      <c r="AC1">
        <v>0</v>
      </c>
      <c r="AD1">
        <v>0</v>
      </c>
      <c r="AE1">
        <v>0</v>
      </c>
      <c r="AF1">
        <v>0</v>
      </c>
      <c r="AG1">
        <v>0</v>
      </c>
      <c r="AH1">
        <v>0</v>
      </c>
      <c r="AI1">
        <v>0</v>
      </c>
      <c r="AJ1">
        <v>0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  <c r="AS1">
        <v>0</v>
      </c>
      <c r="AT1">
        <v>0</v>
      </c>
      <c r="AU1">
        <v>0</v>
      </c>
      <c r="AV1">
        <v>0</v>
      </c>
      <c r="AW1">
        <v>0</v>
      </c>
      <c r="AX1">
        <v>0</v>
      </c>
      <c r="AY1">
        <v>0</v>
      </c>
      <c r="AZ1">
        <v>0</v>
      </c>
      <c r="BA1">
        <v>0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0.187161154835223</v>
      </c>
      <c r="BI1">
        <v>0.99627233565996698</v>
      </c>
      <c r="BJ1">
        <v>1.79994017959115</v>
      </c>
      <c r="BK1">
        <v>2.5981129393434799</v>
      </c>
      <c r="BL1">
        <v>3.3907388676307701</v>
      </c>
      <c r="BM1">
        <v>4.1777662171674601</v>
      </c>
      <c r="BN1">
        <v>4.95914324066774</v>
      </c>
      <c r="BO1">
        <v>5.7348181908458304</v>
      </c>
      <c r="BP1">
        <v>6.5047393204159798</v>
      </c>
      <c r="BQ1">
        <v>7.2688548820921701</v>
      </c>
      <c r="BR1">
        <v>8.0271131285891197</v>
      </c>
      <c r="BS1">
        <v>8.7794623126205806</v>
      </c>
      <c r="BT1">
        <v>9.5258506869011494</v>
      </c>
      <c r="BU1">
        <v>10.2662265041448</v>
      </c>
      <c r="BV1">
        <v>11.0005380170659</v>
      </c>
      <c r="BW1">
        <v>11.7287334783784</v>
      </c>
      <c r="BX1">
        <v>12.450761140797001</v>
      </c>
      <c r="BY1">
        <v>13.1665692570355</v>
      </c>
      <c r="BZ1">
        <v>13.8761060798083</v>
      </c>
      <c r="CA1">
        <v>14.5793198618296</v>
      </c>
      <c r="CB1">
        <v>15.276158855813801</v>
      </c>
      <c r="CC1">
        <v>15.9665713144748</v>
      </c>
      <c r="CD1">
        <v>16.650505490527099</v>
      </c>
      <c r="CE1">
        <v>17.327909636684801</v>
      </c>
      <c r="CF1">
        <v>17.998732005661999</v>
      </c>
      <c r="CG1">
        <v>18.6629208501734</v>
      </c>
      <c r="CH1">
        <v>19.320424422932501</v>
      </c>
      <c r="CI1">
        <v>19.971190976654299</v>
      </c>
      <c r="CJ1">
        <v>20.615168764052299</v>
      </c>
      <c r="CK1">
        <v>21.252306037841201</v>
      </c>
      <c r="CL1">
        <v>21.882551050735302</v>
      </c>
      <c r="CM1">
        <v>22.505852055448401</v>
      </c>
      <c r="CN1">
        <v>23.122157304695001</v>
      </c>
      <c r="CO1">
        <v>23.731415051189298</v>
      </c>
      <c r="CP1">
        <v>24.3335735476455</v>
      </c>
      <c r="CQ1">
        <v>24.9285810467779</v>
      </c>
      <c r="CR1">
        <v>25.5163858013007</v>
      </c>
      <c r="CS1">
        <v>26.096936063927998</v>
      </c>
      <c r="CT1">
        <v>26.670180087374099</v>
      </c>
      <c r="CU1">
        <v>27.236066124353201</v>
      </c>
      <c r="CV1">
        <v>27.7945424275796</v>
      </c>
      <c r="CW1">
        <v>28.345557249767602</v>
      </c>
      <c r="CX1">
        <v>28.889058843631101</v>
      </c>
      <c r="CY1">
        <v>29.424995461884698</v>
      </c>
      <c r="CZ1">
        <v>29.953315357242399</v>
      </c>
      <c r="DA1">
        <v>30.473966782418501</v>
      </c>
      <c r="DB1">
        <v>30.986897990127201</v>
      </c>
      <c r="DC1">
        <v>31.4920572330828</v>
      </c>
      <c r="DD1">
        <v>31.989392763999501</v>
      </c>
      <c r="DE1">
        <v>32.478852835591397</v>
      </c>
      <c r="DF1">
        <v>32.9603857005729</v>
      </c>
      <c r="DG1">
        <v>33.433939611658097</v>
      </c>
      <c r="DH1">
        <v>33.899462821561301</v>
      </c>
      <c r="DI1">
        <v>34.356903582996701</v>
      </c>
      <c r="DJ1">
        <v>34.806210148678602</v>
      </c>
      <c r="DK1">
        <v>35.247330771320897</v>
      </c>
      <c r="DL1">
        <v>35.680213703638302</v>
      </c>
      <c r="DM1">
        <v>36.104807198344702</v>
      </c>
      <c r="DN1">
        <v>36.5210595081546</v>
      </c>
      <c r="DO1">
        <v>36.928918885781897</v>
      </c>
      <c r="DP1">
        <v>37.328333583941102</v>
      </c>
      <c r="DQ1">
        <v>37.7192518553463</v>
      </c>
      <c r="DR1">
        <v>38.101621952711596</v>
      </c>
      <c r="DS1">
        <v>38.475392128751402</v>
      </c>
      <c r="DT1">
        <v>38.8405106361799</v>
      </c>
      <c r="DU1">
        <v>39.196925727711402</v>
      </c>
      <c r="DV1">
        <v>39.544585656059901</v>
      </c>
      <c r="DW1">
        <v>39.8834386739398</v>
      </c>
      <c r="DX1">
        <v>40.213433034065403</v>
      </c>
      <c r="DY1">
        <v>40.534516989150703</v>
      </c>
      <c r="DZ1">
        <v>40.846638791910202</v>
      </c>
      <c r="EA1">
        <v>41.1497466950578</v>
      </c>
      <c r="EB1">
        <v>41.4437889513081</v>
      </c>
      <c r="EC1">
        <v>41.728713813374902</v>
      </c>
      <c r="ED1">
        <v>42.004469533972703</v>
      </c>
      <c r="EE1">
        <v>42.271004365815699</v>
      </c>
      <c r="EF1">
        <v>42.528266561618203</v>
      </c>
      <c r="EG1">
        <v>42.779884528718902</v>
      </c>
      <c r="EH1">
        <v>43.029521014596199</v>
      </c>
      <c r="EI1">
        <v>43.277175782173302</v>
      </c>
      <c r="EJ1">
        <v>43.522848594373102</v>
      </c>
      <c r="EK1">
        <v>43.766539214119099</v>
      </c>
      <c r="EL1">
        <v>44.008247404334199</v>
      </c>
      <c r="EM1">
        <v>44.247972927941603</v>
      </c>
      <c r="EN1">
        <v>44.485715547864302</v>
      </c>
      <c r="EO1">
        <v>44.721475027025797</v>
      </c>
      <c r="EP1">
        <v>44.955251128348898</v>
      </c>
      <c r="EQ1">
        <v>45.187043614756803</v>
      </c>
      <c r="ER1">
        <v>45.416852249172798</v>
      </c>
      <c r="ES1">
        <v>45.644676794519903</v>
      </c>
      <c r="ET1">
        <v>45.870517013721297</v>
      </c>
      <c r="EU1">
        <v>46.0943726697001</v>
      </c>
      <c r="EV1">
        <v>46.316243525379598</v>
      </c>
      <c r="EW1">
        <v>46.536129343682703</v>
      </c>
      <c r="EX1">
        <v>46.754029887532703</v>
      </c>
      <c r="EY1">
        <v>46.969944919852701</v>
      </c>
      <c r="EZ1">
        <v>47.1838742035659</v>
      </c>
      <c r="FA1">
        <v>47.395817501595403</v>
      </c>
      <c r="FB1">
        <v>47.605774576864199</v>
      </c>
      <c r="FC1">
        <v>47.813745192295698</v>
      </c>
      <c r="FD1">
        <v>48.019729110812797</v>
      </c>
      <c r="FE1">
        <v>48.223726095338797</v>
      </c>
      <c r="FF1">
        <v>48.425735908796803</v>
      </c>
      <c r="FG1">
        <v>48.625758314110001</v>
      </c>
      <c r="FH1">
        <v>48.823793074201497</v>
      </c>
      <c r="FI1">
        <v>49.019839951994399</v>
      </c>
      <c r="FJ1">
        <v>49.213898710411797</v>
      </c>
      <c r="FK1">
        <v>49.405969112377001</v>
      </c>
      <c r="FL1">
        <v>49.596050920813099</v>
      </c>
      <c r="FM1">
        <v>49.784143898643201</v>
      </c>
      <c r="FN1">
        <v>49.970247808790397</v>
      </c>
      <c r="FO1">
        <v>50.154362414177797</v>
      </c>
      <c r="FP1">
        <v>50.336487477728703</v>
      </c>
      <c r="FQ1">
        <v>50.516622762366197</v>
      </c>
      <c r="FR1">
        <v>50.694768031013297</v>
      </c>
      <c r="FS1">
        <v>50.870923046593397</v>
      </c>
      <c r="FT1">
        <v>51.045087572029502</v>
      </c>
      <c r="FU1">
        <v>51.217261370244699</v>
      </c>
      <c r="FV1">
        <v>51.387444204162101</v>
      </c>
      <c r="FW1">
        <v>51.5556358367051</v>
      </c>
      <c r="FX1">
        <v>51.721836030796503</v>
      </c>
      <c r="FY1">
        <v>51.886044549359703</v>
      </c>
      <c r="FZ1">
        <v>52.048261155317803</v>
      </c>
      <c r="GA1">
        <v>52.208485611593801</v>
      </c>
      <c r="GB1">
        <v>52.366717681110998</v>
      </c>
      <c r="GC1">
        <v>52.522957126792399</v>
      </c>
      <c r="GD1">
        <v>52.677203711561297</v>
      </c>
      <c r="GE1">
        <v>52.829457198340798</v>
      </c>
      <c r="GF1">
        <v>52.979717350054003</v>
      </c>
      <c r="GG1">
        <v>53.127983929624001</v>
      </c>
      <c r="GH1">
        <v>53.274256699974003</v>
      </c>
      <c r="GI1">
        <v>53.418535424027297</v>
      </c>
      <c r="GJ1">
        <v>53.560819864706701</v>
      </c>
      <c r="GK1">
        <v>53.701109784935497</v>
      </c>
      <c r="GL1">
        <v>53.839404947637</v>
      </c>
      <c r="GM1">
        <v>53.975705115734101</v>
      </c>
      <c r="GN1">
        <v>54.110010052150201</v>
      </c>
      <c r="GO1">
        <v>54.242319519808198</v>
      </c>
      <c r="GP1">
        <v>54.372633281631302</v>
      </c>
      <c r="GQ1">
        <v>54.5009511005428</v>
      </c>
      <c r="GR1">
        <v>54.627272739465603</v>
      </c>
      <c r="GS1">
        <v>54.751597961323</v>
      </c>
      <c r="GT1">
        <v>54.873926529038101</v>
      </c>
      <c r="GU1">
        <v>54.994258205534003</v>
      </c>
      <c r="GV1">
        <v>55.112592753733999</v>
      </c>
      <c r="GW1">
        <v>55.228929936561201</v>
      </c>
      <c r="GX1">
        <v>55.343269516938498</v>
      </c>
      <c r="GY1">
        <v>55.4556112577893</v>
      </c>
      <c r="GZ1">
        <v>55.565954922036603</v>
      </c>
      <c r="HA1">
        <v>55.674300272603801</v>
      </c>
      <c r="HB1">
        <v>55.7806470724137</v>
      </c>
      <c r="HC1">
        <v>55.884995084389502</v>
      </c>
      <c r="HD1">
        <v>55.9873440714547</v>
      </c>
      <c r="HE1">
        <v>56.087693796532001</v>
      </c>
      <c r="HF1">
        <v>56.186044022544699</v>
      </c>
      <c r="HG1">
        <v>56.282394512416097</v>
      </c>
      <c r="HH1">
        <v>56.376745029069198</v>
      </c>
      <c r="HI1">
        <v>56.469095335426999</v>
      </c>
      <c r="HJ1">
        <v>56.559445194412902</v>
      </c>
      <c r="HK1">
        <v>56.647794368949903</v>
      </c>
      <c r="HL1">
        <v>56.734142621961098</v>
      </c>
      <c r="HM1">
        <v>56.818489716369903</v>
      </c>
      <c r="HN1">
        <v>56.900835415099102</v>
      </c>
      <c r="HO1">
        <v>56.981179481071997</v>
      </c>
      <c r="HP1">
        <v>57.059521677211798</v>
      </c>
      <c r="HQ1">
        <v>57.1358617664417</v>
      </c>
      <c r="HR1">
        <v>57.2101995116846</v>
      </c>
      <c r="HS1">
        <v>57.282534675863801</v>
      </c>
      <c r="HT1">
        <v>57.352867021902497</v>
      </c>
      <c r="HU1">
        <v>57.421196312723701</v>
      </c>
      <c r="HV1">
        <v>57.487522311250601</v>
      </c>
      <c r="HW1">
        <v>57.551844780406299</v>
      </c>
      <c r="HX1">
        <v>57.614163483113998</v>
      </c>
      <c r="HY1">
        <v>57.674478182296902</v>
      </c>
      <c r="HZ1">
        <v>57.732788640877999</v>
      </c>
      <c r="IA1">
        <v>57.789094621780599</v>
      </c>
      <c r="IB1">
        <v>57.843395887927699</v>
      </c>
      <c r="IC1">
        <v>57.8956922022425</v>
      </c>
      <c r="ID1">
        <v>57.945983327648101</v>
      </c>
      <c r="IE1">
        <v>57.994269027067801</v>
      </c>
      <c r="IF1">
        <v>58.040549063424599</v>
      </c>
      <c r="IG1">
        <v>58.084823199641697</v>
      </c>
      <c r="IH1">
        <v>58.127091198642098</v>
      </c>
      <c r="II1">
        <v>58.167352823349098</v>
      </c>
      <c r="IJ1">
        <v>58.205607836685701</v>
      </c>
      <c r="IK1">
        <v>58.2418560015753</v>
      </c>
      <c r="IL1">
        <v>58.2760970809409</v>
      </c>
      <c r="IM1">
        <v>58.308330837705597</v>
      </c>
      <c r="IN1">
        <v>58.338557034792601</v>
      </c>
      <c r="IO1">
        <v>58.3667754351249</v>
      </c>
      <c r="IP1">
        <v>58.392985801625798</v>
      </c>
      <c r="IQ1">
        <v>58.417187897218398</v>
      </c>
      <c r="IR1">
        <v>58.439381484825901</v>
      </c>
      <c r="IS1">
        <v>58.459566327371299</v>
      </c>
      <c r="IT1">
        <v>58.477742187777999</v>
      </c>
      <c r="IU1">
        <v>58.493908828968799</v>
      </c>
      <c r="IV1">
        <v>58.508066013867001</v>
      </c>
      <c r="IW1">
        <v>58.520213505395901</v>
      </c>
      <c r="IX1">
        <v>58.530351066478303</v>
      </c>
      <c r="IY1">
        <v>58.538478460037801</v>
      </c>
      <c r="IZ1">
        <v>58.544595448997001</v>
      </c>
      <c r="JA1">
        <v>58.548701796279502</v>
      </c>
      <c r="JB1">
        <v>58.550797264808203</v>
      </c>
      <c r="JC1">
        <v>58.550881617506398</v>
      </c>
      <c r="JD1">
        <v>58.548954617296999</v>
      </c>
      <c r="JE1">
        <v>58.545016027103401</v>
      </c>
      <c r="JF1">
        <v>58.539065609848599</v>
      </c>
      <c r="JG1">
        <v>58.531103128455797</v>
      </c>
      <c r="JH1">
        <v>58.521128345848197</v>
      </c>
      <c r="JI1">
        <v>58.509141024948804</v>
      </c>
      <c r="JJ1">
        <v>58.495140928680797</v>
      </c>
      <c r="JK1">
        <v>58.479127819967303</v>
      </c>
      <c r="JL1">
        <v>58.461101461731602</v>
      </c>
      <c r="JM1">
        <v>58.441061616896697</v>
      </c>
      <c r="JN1">
        <v>58.419008048385699</v>
      </c>
      <c r="JO1">
        <v>58.394940519122002</v>
      </c>
      <c r="JP1">
        <v>58.368858792028398</v>
      </c>
      <c r="JQ1">
        <v>58.340762630028301</v>
      </c>
      <c r="JR1">
        <v>58.310651796044603</v>
      </c>
      <c r="JS1">
        <v>58.278526053000803</v>
      </c>
      <c r="JT1">
        <v>58.2443851638197</v>
      </c>
      <c r="JU1">
        <v>58.208228891424703</v>
      </c>
      <c r="JV1">
        <v>58.170056998738701</v>
      </c>
      <c r="JW1">
        <v>58.129869248684997</v>
      </c>
      <c r="JX1">
        <v>58.087665404186801</v>
      </c>
      <c r="JY1">
        <v>58.043445228167002</v>
      </c>
      <c r="JZ1">
        <v>57.997208483549002</v>
      </c>
      <c r="KA1">
        <v>57.948954933255798</v>
      </c>
      <c r="KB1">
        <v>57.898684340210501</v>
      </c>
      <c r="KC1">
        <v>57.846396467336497</v>
      </c>
      <c r="KD1">
        <v>57.792091077556698</v>
      </c>
      <c r="KE1">
        <v>57.735767933794101</v>
      </c>
      <c r="KF1">
        <v>57.677426798972299</v>
      </c>
      <c r="KG1">
        <v>57.617067436014104</v>
      </c>
      <c r="KH1">
        <v>57.554689607842697</v>
      </c>
      <c r="KI1">
        <v>57.490293077381402</v>
      </c>
      <c r="KJ1">
        <v>57.423877607553102</v>
      </c>
      <c r="KK1">
        <v>57.355442961281099</v>
      </c>
      <c r="KL1">
        <v>57.284988901488397</v>
      </c>
      <c r="KM1">
        <v>57.212515191098397</v>
      </c>
      <c r="KN1">
        <v>57.138021593033997</v>
      </c>
      <c r="KO1">
        <v>57.061507870218399</v>
      </c>
      <c r="KP1">
        <v>56.982973785574899</v>
      </c>
      <c r="KQ1">
        <v>56.902419102026499</v>
      </c>
      <c r="KR1">
        <v>56.819843582496297</v>
      </c>
      <c r="KS1">
        <v>56.735246989907502</v>
      </c>
      <c r="KT1">
        <v>56.648629087183203</v>
      </c>
      <c r="KU1">
        <v>56.559989637246701</v>
      </c>
      <c r="KV1">
        <v>56.469328403021002</v>
      </c>
      <c r="KW1">
        <v>56.376645147429201</v>
      </c>
      <c r="KX1">
        <v>56.2819396333946</v>
      </c>
      <c r="KY1">
        <v>56.185211623840203</v>
      </c>
      <c r="KZ1">
        <v>56.086460881689199</v>
      </c>
      <c r="LA1">
        <v>55.985687169864804</v>
      </c>
      <c r="LB1">
        <v>55.8828902512901</v>
      </c>
      <c r="LC1">
        <v>55.778069888888197</v>
      </c>
      <c r="LD1">
        <v>55.6712258455822</v>
      </c>
      <c r="LE1">
        <v>55.562357884295402</v>
      </c>
      <c r="LF1">
        <v>55.451465767950801</v>
      </c>
      <c r="LG1">
        <v>55.338549259471698</v>
      </c>
      <c r="LH1">
        <v>55.223608121781098</v>
      </c>
      <c r="LI1">
        <v>55.106642117801997</v>
      </c>
      <c r="LJ1">
        <v>54.987651010457903</v>
      </c>
      <c r="LK1">
        <v>54.866634562671798</v>
      </c>
      <c r="LL1">
        <v>54.743592537366801</v>
      </c>
      <c r="LM1">
        <v>54.618524697466</v>
      </c>
      <c r="LN1">
        <v>54.491430805892598</v>
      </c>
      <c r="LO1">
        <v>54.362310625569798</v>
      </c>
      <c r="LP1">
        <v>54.231163919420602</v>
      </c>
      <c r="LQ1">
        <v>54.097990450368201</v>
      </c>
      <c r="LR1">
        <v>53.962789981335902</v>
      </c>
      <c r="LS1">
        <v>53.825562275246703</v>
      </c>
      <c r="LT1">
        <v>53.6863070950237</v>
      </c>
      <c r="LU1">
        <v>53.545024203590103</v>
      </c>
      <c r="LV1">
        <v>53.401713363869</v>
      </c>
      <c r="LW1">
        <v>53.256374338783701</v>
      </c>
      <c r="LX1">
        <v>53.109006891257103</v>
      </c>
      <c r="LY1">
        <v>52.959610784212501</v>
      </c>
      <c r="LZ1">
        <v>52.808185780573098</v>
      </c>
      <c r="MA1">
        <v>52.654731643261798</v>
      </c>
      <c r="MB1">
        <v>52.499248135202102</v>
      </c>
      <c r="MC1">
        <v>52.341735019316801</v>
      </c>
      <c r="MD1">
        <v>52.182192058529097</v>
      </c>
      <c r="ME1">
        <v>52.0206190157623</v>
      </c>
      <c r="MF1">
        <v>51.857015653939499</v>
      </c>
      <c r="MG1">
        <v>51.691381735983903</v>
      </c>
      <c r="MH1">
        <v>51.523717024818403</v>
      </c>
      <c r="MI1">
        <v>51.3540212833664</v>
      </c>
      <c r="MJ1">
        <v>51.182294274550799</v>
      </c>
      <c r="MK1">
        <v>51.008535761295001</v>
      </c>
      <c r="ML1">
        <v>50.832745506521903</v>
      </c>
      <c r="MM1">
        <v>50.6549232731549</v>
      </c>
      <c r="MN1">
        <v>50.475068824116804</v>
      </c>
      <c r="MO1">
        <v>50.2931819223312</v>
      </c>
      <c r="MP1">
        <v>50.109262330720902</v>
      </c>
      <c r="MQ1">
        <v>49.923309812209098</v>
      </c>
      <c r="MR1">
        <v>49.735324129719103</v>
      </c>
      <c r="MS1">
        <v>49.545305046173802</v>
      </c>
      <c r="MT1">
        <v>49.353252324496502</v>
      </c>
      <c r="MU1">
        <v>49.159165727610201</v>
      </c>
      <c r="MV1">
        <v>48.963045018438301</v>
      </c>
      <c r="MW1">
        <v>48.764889959903698</v>
      </c>
      <c r="MX1">
        <v>48.564700314929702</v>
      </c>
      <c r="MY1">
        <v>48.362475846439303</v>
      </c>
      <c r="MZ1">
        <v>48.158216317355802</v>
      </c>
      <c r="NA1">
        <v>47.951921490602203</v>
      </c>
      <c r="NB1">
        <v>47.743591129101702</v>
      </c>
      <c r="NC1">
        <v>47.533224995777502</v>
      </c>
      <c r="ND1">
        <v>47.320822853552698</v>
      </c>
      <c r="NE1">
        <v>47.106384465350402</v>
      </c>
      <c r="NF1">
        <v>46.889909594093702</v>
      </c>
      <c r="NG1">
        <v>46.671398002705999</v>
      </c>
      <c r="NH1">
        <v>46.450849454110099</v>
      </c>
      <c r="NI1">
        <v>46.228263711229403</v>
      </c>
      <c r="NJ1">
        <v>46.003640536986801</v>
      </c>
      <c r="NK1">
        <v>45.776979694305702</v>
      </c>
      <c r="NL1">
        <v>45.548280946109202</v>
      </c>
      <c r="NM1">
        <v>45.317544055320298</v>
      </c>
      <c r="NN1">
        <v>45.084768784862099</v>
      </c>
      <c r="NO1">
        <v>44.849954897658002</v>
      </c>
      <c r="NP1">
        <v>44.613102156631001</v>
      </c>
      <c r="NQ1">
        <v>44.374210324704102</v>
      </c>
      <c r="NR1">
        <v>44.133279164800904</v>
      </c>
      <c r="NS1">
        <v>43.890308439843999</v>
      </c>
      <c r="NT1">
        <v>43.645297912756703</v>
      </c>
      <c r="NU1">
        <v>43.398247346462398</v>
      </c>
      <c r="NV1">
        <v>43.149156503883901</v>
      </c>
      <c r="NW1">
        <v>42.898025147944601</v>
      </c>
      <c r="NX1">
        <v>42.644853041567501</v>
      </c>
      <c r="NY1">
        <v>42.389639947675903</v>
      </c>
      <c r="NZ1">
        <v>42.132385629192598</v>
      </c>
      <c r="OA1">
        <v>41.8730898490412</v>
      </c>
      <c r="OB1">
        <v>41.575233237308503</v>
      </c>
      <c r="OC1">
        <v>41.2033755071295</v>
      </c>
      <c r="OD1">
        <v>40.759135045999301</v>
      </c>
      <c r="OE1">
        <v>40.244130241412797</v>
      </c>
      <c r="OF1">
        <v>39.659979480865097</v>
      </c>
      <c r="OG1">
        <v>39.008301151851001</v>
      </c>
      <c r="OH1">
        <v>38.290713641865501</v>
      </c>
      <c r="OI1">
        <v>37.508835338403799</v>
      </c>
      <c r="OJ1">
        <v>36.664284628960701</v>
      </c>
      <c r="OK1">
        <v>35.7586799010313</v>
      </c>
      <c r="OL1">
        <v>34.793639542110398</v>
      </c>
      <c r="OM1">
        <v>33.770781939693101</v>
      </c>
      <c r="ON1">
        <v>32.691725481274403</v>
      </c>
      <c r="OO1">
        <v>31.558088554349201</v>
      </c>
      <c r="OP1">
        <v>30.371489546412501</v>
      </c>
      <c r="OQ1">
        <v>29.133546844959401</v>
      </c>
      <c r="OR1">
        <v>27.845878837484701</v>
      </c>
      <c r="OS1">
        <v>26.510103911483501</v>
      </c>
      <c r="OT1">
        <v>25.127840454450801</v>
      </c>
      <c r="OU1">
        <v>23.700706853881599</v>
      </c>
      <c r="OV1">
        <v>22.230321497270701</v>
      </c>
      <c r="OW1">
        <v>20.718302772113301</v>
      </c>
      <c r="OX1">
        <v>19.166269065904199</v>
      </c>
      <c r="OY1">
        <v>17.575838766138599</v>
      </c>
      <c r="OZ1">
        <v>15.9486302603112</v>
      </c>
      <c r="PA1">
        <v>14.286261935917199</v>
      </c>
      <c r="PB1">
        <v>12.5903521804515</v>
      </c>
      <c r="PC1">
        <v>10.862519381409101</v>
      </c>
      <c r="PD1">
        <v>9.1043819262849297</v>
      </c>
      <c r="PE1">
        <v>7.3175582025741601</v>
      </c>
      <c r="PF1">
        <v>5.50366659777149</v>
      </c>
      <c r="PG1">
        <v>3.6643254993721799</v>
      </c>
      <c r="PH1">
        <v>1.80115329487109</v>
      </c>
      <c r="PI1">
        <v>0</v>
      </c>
      <c r="PJ1">
        <v>0</v>
      </c>
      <c r="PK1">
        <v>0</v>
      </c>
      <c r="PL1">
        <v>0</v>
      </c>
      <c r="PM1">
        <v>0</v>
      </c>
      <c r="PN1">
        <v>0</v>
      </c>
      <c r="PO1">
        <v>0</v>
      </c>
      <c r="PP1">
        <v>0</v>
      </c>
      <c r="PQ1">
        <v>0</v>
      </c>
      <c r="PR1">
        <v>0</v>
      </c>
      <c r="PS1">
        <v>0</v>
      </c>
      <c r="PT1">
        <v>0</v>
      </c>
      <c r="PU1">
        <v>0</v>
      </c>
      <c r="PV1">
        <v>0</v>
      </c>
      <c r="PW1">
        <v>0</v>
      </c>
      <c r="PX1">
        <v>0</v>
      </c>
      <c r="PY1">
        <v>0</v>
      </c>
      <c r="PZ1">
        <v>0</v>
      </c>
      <c r="QA1">
        <v>0</v>
      </c>
      <c r="QB1">
        <v>0</v>
      </c>
      <c r="QC1">
        <v>0</v>
      </c>
      <c r="QD1">
        <v>0</v>
      </c>
      <c r="QE1">
        <v>0</v>
      </c>
      <c r="QF1">
        <v>0</v>
      </c>
      <c r="QG1">
        <v>0</v>
      </c>
      <c r="QH1">
        <v>0</v>
      </c>
      <c r="QI1">
        <v>0</v>
      </c>
      <c r="QJ1">
        <v>0</v>
      </c>
      <c r="QK1">
        <v>0</v>
      </c>
    </row>
    <row r="2" spans="1:454" x14ac:dyDescent="0.25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0.66119575143443399</v>
      </c>
      <c r="Y2">
        <v>1.6827207123518</v>
      </c>
      <c r="Z2">
        <v>2.70039049197214</v>
      </c>
      <c r="AA2">
        <v>3.7141539953443599</v>
      </c>
      <c r="AB2">
        <v>4.7239601275174401</v>
      </c>
      <c r="AC2">
        <v>5.7297577935402204</v>
      </c>
      <c r="AD2">
        <v>6.7314958984613904</v>
      </c>
      <c r="AE2">
        <v>7.7291233473299599</v>
      </c>
      <c r="AF2">
        <v>8.7225890451948107</v>
      </c>
      <c r="AG2">
        <v>9.7118418971048808</v>
      </c>
      <c r="AH2">
        <v>10.6968308081088</v>
      </c>
      <c r="AI2">
        <v>11.6775046832556</v>
      </c>
      <c r="AJ2">
        <v>12.6538124275942</v>
      </c>
      <c r="AK2">
        <v>13.625702946173201</v>
      </c>
      <c r="AL2">
        <v>14.5931251440417</v>
      </c>
      <c r="AM2">
        <v>15.5560279262485</v>
      </c>
      <c r="AN2">
        <v>16.5143601978425</v>
      </c>
      <c r="AO2">
        <v>17.468070863872398</v>
      </c>
      <c r="AP2">
        <v>18.4171088293872</v>
      </c>
      <c r="AQ2">
        <v>19.361422999435799</v>
      </c>
      <c r="AR2">
        <v>20.300962279066901</v>
      </c>
      <c r="AS2">
        <v>21.235675573329601</v>
      </c>
      <c r="AT2">
        <v>22.1655117872726</v>
      </c>
      <c r="AU2">
        <v>23.0904198259447</v>
      </c>
      <c r="AV2">
        <v>24.010348594395001</v>
      </c>
      <c r="AW2">
        <v>24.9252469976722</v>
      </c>
      <c r="AX2">
        <v>25.835063940824899</v>
      </c>
      <c r="AY2">
        <v>26.7397483289025</v>
      </c>
      <c r="AZ2">
        <v>27.639249066953798</v>
      </c>
      <c r="BA2">
        <v>28.533515060027</v>
      </c>
      <c r="BB2">
        <v>29.4224952131718</v>
      </c>
      <c r="BC2">
        <v>30.306138431436501</v>
      </c>
      <c r="BD2">
        <v>31.184393619870299</v>
      </c>
      <c r="BE2">
        <v>32.057209683521798</v>
      </c>
      <c r="BF2">
        <v>32.924535527440099</v>
      </c>
      <c r="BG2">
        <v>33.786320056673901</v>
      </c>
      <c r="BH2">
        <v>34.455351021436798</v>
      </c>
      <c r="BI2">
        <v>34.496788455623602</v>
      </c>
      <c r="BJ2">
        <v>34.537974627166001</v>
      </c>
      <c r="BK2">
        <v>34.578910188398403</v>
      </c>
      <c r="BL2">
        <v>34.619595791655499</v>
      </c>
      <c r="BM2">
        <v>34.660032089272001</v>
      </c>
      <c r="BN2">
        <v>34.7002197335825</v>
      </c>
      <c r="BO2">
        <v>34.740159376921703</v>
      </c>
      <c r="BP2">
        <v>34.779851671624201</v>
      </c>
      <c r="BQ2">
        <v>34.819297270024599</v>
      </c>
      <c r="BR2">
        <v>34.858496824457497</v>
      </c>
      <c r="BS2">
        <v>34.897450987257699</v>
      </c>
      <c r="BT2">
        <v>34.936160410759697</v>
      </c>
      <c r="BU2">
        <v>34.974625747298099</v>
      </c>
      <c r="BV2">
        <v>35.0128476492076</v>
      </c>
      <c r="BW2">
        <v>35.050826768823001</v>
      </c>
      <c r="BX2">
        <v>35.0885637584786</v>
      </c>
      <c r="BY2">
        <v>35.126059270509401</v>
      </c>
      <c r="BZ2">
        <v>35.163313957249699</v>
      </c>
      <c r="CA2">
        <v>35.200328471034297</v>
      </c>
      <c r="CB2">
        <v>35.237103464197901</v>
      </c>
      <c r="CC2">
        <v>35.273639589075103</v>
      </c>
      <c r="CD2">
        <v>35.309937498000401</v>
      </c>
      <c r="CE2">
        <v>35.345997843308602</v>
      </c>
      <c r="CF2">
        <v>35.381821277334303</v>
      </c>
      <c r="CG2">
        <v>35.417408452411998</v>
      </c>
      <c r="CH2">
        <v>35.452760020876603</v>
      </c>
      <c r="CI2">
        <v>35.487876635062499</v>
      </c>
      <c r="CJ2">
        <v>35.522758947304403</v>
      </c>
      <c r="CK2">
        <v>35.557407609937002</v>
      </c>
      <c r="CL2">
        <v>35.5918232752949</v>
      </c>
      <c r="CM2">
        <v>35.626006595712703</v>
      </c>
      <c r="CN2">
        <v>35.659958223525202</v>
      </c>
      <c r="CO2">
        <v>35.693678811066803</v>
      </c>
      <c r="CP2">
        <v>35.727169010672199</v>
      </c>
      <c r="CQ2">
        <v>35.760429474676201</v>
      </c>
      <c r="CR2">
        <v>35.793460855413301</v>
      </c>
      <c r="CS2">
        <v>35.826263805218098</v>
      </c>
      <c r="CT2">
        <v>35.858838976425297</v>
      </c>
      <c r="CU2">
        <v>35.891187021369603</v>
      </c>
      <c r="CV2">
        <v>35.923308592385503</v>
      </c>
      <c r="CW2">
        <v>35.9552043418078</v>
      </c>
      <c r="CX2">
        <v>35.986874921970902</v>
      </c>
      <c r="CY2">
        <v>36.018320985209598</v>
      </c>
      <c r="CZ2">
        <v>36.049543183858603</v>
      </c>
      <c r="DA2">
        <v>36.0805421702524</v>
      </c>
      <c r="DB2">
        <v>36.111318596725802</v>
      </c>
      <c r="DC2">
        <v>36.141873115613201</v>
      </c>
      <c r="DD2">
        <v>36.172206379249403</v>
      </c>
      <c r="DE2">
        <v>36.202319039968998</v>
      </c>
      <c r="DF2">
        <v>36.2322117501067</v>
      </c>
      <c r="DG2">
        <v>36.261885161997</v>
      </c>
      <c r="DH2">
        <v>36.291339927974597</v>
      </c>
      <c r="DI2">
        <v>36.320576700374197</v>
      </c>
      <c r="DJ2">
        <v>36.349596131530397</v>
      </c>
      <c r="DK2">
        <v>36.378398873777698</v>
      </c>
      <c r="DL2">
        <v>36.406985579451003</v>
      </c>
      <c r="DM2">
        <v>36.435356900884699</v>
      </c>
      <c r="DN2">
        <v>36.463513490413597</v>
      </c>
      <c r="DO2">
        <v>36.491456000372203</v>
      </c>
      <c r="DP2">
        <v>36.519185083095302</v>
      </c>
      <c r="DQ2">
        <v>36.546701390917399</v>
      </c>
      <c r="DR2">
        <v>36.574005576173199</v>
      </c>
      <c r="DS2">
        <v>36.601098291197303</v>
      </c>
      <c r="DT2">
        <v>36.627980188324301</v>
      </c>
      <c r="DU2">
        <v>36.654651919888998</v>
      </c>
      <c r="DV2">
        <v>36.681114138225801</v>
      </c>
      <c r="DW2">
        <v>36.707367495669601</v>
      </c>
      <c r="DX2">
        <v>36.733412644554797</v>
      </c>
      <c r="DY2">
        <v>36.7592502372162</v>
      </c>
      <c r="DZ2">
        <v>36.784880925988404</v>
      </c>
      <c r="EA2">
        <v>36.810305363205998</v>
      </c>
      <c r="EB2">
        <v>36.835524201203597</v>
      </c>
      <c r="EC2">
        <v>36.860538092315998</v>
      </c>
      <c r="ED2">
        <v>36.885347688877602</v>
      </c>
      <c r="EE2">
        <v>36.909953643223197</v>
      </c>
      <c r="EF2">
        <v>36.934356607687398</v>
      </c>
      <c r="EG2">
        <v>36.958563116366001</v>
      </c>
      <c r="EH2">
        <v>36.982579758238202</v>
      </c>
      <c r="EI2">
        <v>37.006407267964498</v>
      </c>
      <c r="EJ2">
        <v>37.030046380204901</v>
      </c>
      <c r="EK2">
        <v>37.053497829619602</v>
      </c>
      <c r="EL2">
        <v>37.076762350868798</v>
      </c>
      <c r="EM2">
        <v>37.099840678612701</v>
      </c>
      <c r="EN2">
        <v>37.122733547511402</v>
      </c>
      <c r="EO2">
        <v>37.145441692225198</v>
      </c>
      <c r="EP2">
        <v>37.167965847414301</v>
      </c>
      <c r="EQ2">
        <v>37.190306747738802</v>
      </c>
      <c r="ER2">
        <v>37.212465127858898</v>
      </c>
      <c r="ES2">
        <v>37.234441722434703</v>
      </c>
      <c r="ET2">
        <v>37.256237266126597</v>
      </c>
      <c r="EU2">
        <v>37.277852493594601</v>
      </c>
      <c r="EV2">
        <v>37.299288139498898</v>
      </c>
      <c r="EW2">
        <v>37.3205449384998</v>
      </c>
      <c r="EX2">
        <v>37.341623625257398</v>
      </c>
      <c r="EY2">
        <v>37.362524934431903</v>
      </c>
      <c r="EZ2">
        <v>37.383249600683399</v>
      </c>
      <c r="FA2">
        <v>37.403798358672297</v>
      </c>
      <c r="FB2">
        <v>37.424171943058496</v>
      </c>
      <c r="FC2">
        <v>37.4443710885024</v>
      </c>
      <c r="FD2">
        <v>37.4643965296641</v>
      </c>
      <c r="FE2">
        <v>37.4842490012038</v>
      </c>
      <c r="FF2">
        <v>37.503929237781698</v>
      </c>
      <c r="FG2">
        <v>37.523437974057998</v>
      </c>
      <c r="FH2">
        <v>37.542775944692799</v>
      </c>
      <c r="FI2">
        <v>37.561943884346299</v>
      </c>
      <c r="FJ2">
        <v>37.580942527678801</v>
      </c>
      <c r="FK2">
        <v>37.599772609350303</v>
      </c>
      <c r="FL2">
        <v>37.618434864021197</v>
      </c>
      <c r="FM2">
        <v>37.6369300263515</v>
      </c>
      <c r="FN2">
        <v>37.655258831001497</v>
      </c>
      <c r="FO2">
        <v>37.673422012631399</v>
      </c>
      <c r="FP2">
        <v>37.691420305901197</v>
      </c>
      <c r="FQ2">
        <v>37.709254445471203</v>
      </c>
      <c r="FR2">
        <v>37.726925166001699</v>
      </c>
      <c r="FS2">
        <v>37.744433202152699</v>
      </c>
      <c r="FT2">
        <v>37.761779288584499</v>
      </c>
      <c r="FU2">
        <v>37.778964159957198</v>
      </c>
      <c r="FV2">
        <v>37.795988550931</v>
      </c>
      <c r="FW2">
        <v>37.812853196166301</v>
      </c>
      <c r="FX2">
        <v>37.829558830322902</v>
      </c>
      <c r="FY2">
        <v>37.846106188061199</v>
      </c>
      <c r="FZ2">
        <v>37.862496004041397</v>
      </c>
      <c r="GA2">
        <v>37.878729012923699</v>
      </c>
      <c r="GB2">
        <v>37.894805949368198</v>
      </c>
      <c r="GC2">
        <v>37.910727548035098</v>
      </c>
      <c r="GD2">
        <v>37.926494543584603</v>
      </c>
      <c r="GE2">
        <v>37.942107670676897</v>
      </c>
      <c r="GF2">
        <v>37.957567663972199</v>
      </c>
      <c r="GG2">
        <v>37.9728752581306</v>
      </c>
      <c r="GH2">
        <v>37.988031187812297</v>
      </c>
      <c r="GI2">
        <v>38.003036187677502</v>
      </c>
      <c r="GJ2">
        <v>38.017890992386498</v>
      </c>
      <c r="GK2">
        <v>38.032596336599397</v>
      </c>
      <c r="GL2">
        <v>38.047152954976298</v>
      </c>
      <c r="GM2">
        <v>38.061561582177497</v>
      </c>
      <c r="GN2">
        <v>38.075822952863199</v>
      </c>
      <c r="GO2">
        <v>38.089937801693402</v>
      </c>
      <c r="GP2">
        <v>38.103906863328497</v>
      </c>
      <c r="GQ2">
        <v>38.117730872428503</v>
      </c>
      <c r="GR2">
        <v>38.131410563653802</v>
      </c>
      <c r="GS2">
        <v>38.1449466716644</v>
      </c>
      <c r="GT2">
        <v>38.158339931120501</v>
      </c>
      <c r="GU2">
        <v>38.171591076682397</v>
      </c>
      <c r="GV2">
        <v>38.184700843010198</v>
      </c>
      <c r="GW2">
        <v>38.197669964764103</v>
      </c>
      <c r="GX2">
        <v>38.210499176604202</v>
      </c>
      <c r="GY2">
        <v>38.223189213190899</v>
      </c>
      <c r="GZ2">
        <v>38.2357408091842</v>
      </c>
      <c r="HA2">
        <v>38.248154699244303</v>
      </c>
      <c r="HB2">
        <v>38.260431618031397</v>
      </c>
      <c r="HC2">
        <v>38.272572300205802</v>
      </c>
      <c r="HD2">
        <v>38.284577480427501</v>
      </c>
      <c r="HE2">
        <v>38.296447893356799</v>
      </c>
      <c r="HF2">
        <v>38.3081842736539</v>
      </c>
      <c r="HG2">
        <v>38.319787355978903</v>
      </c>
      <c r="HH2">
        <v>38.331257874991898</v>
      </c>
      <c r="HI2">
        <v>38.342596565353404</v>
      </c>
      <c r="HJ2">
        <v>38.353804161723303</v>
      </c>
      <c r="HK2">
        <v>38.364881398761803</v>
      </c>
      <c r="HL2">
        <v>38.375829011129298</v>
      </c>
      <c r="HM2">
        <v>38.386647733485802</v>
      </c>
      <c r="HN2">
        <v>38.397338300491498</v>
      </c>
      <c r="HO2">
        <v>38.407901446806697</v>
      </c>
      <c r="HP2">
        <v>38.418337907091399</v>
      </c>
      <c r="HQ2">
        <v>38.4286484160058</v>
      </c>
      <c r="HR2">
        <v>38.438833708210304</v>
      </c>
      <c r="HS2">
        <v>38.448894518364902</v>
      </c>
      <c r="HT2">
        <v>38.4588315811299</v>
      </c>
      <c r="HU2">
        <v>38.468645631165302</v>
      </c>
      <c r="HV2">
        <v>38.478337403131498</v>
      </c>
      <c r="HW2">
        <v>38.4879076316885</v>
      </c>
      <c r="HX2">
        <v>38.4973570514966</v>
      </c>
      <c r="HY2">
        <v>38.506686397216001</v>
      </c>
      <c r="HZ2">
        <v>38.515896403506801</v>
      </c>
      <c r="IA2">
        <v>38.524987805029198</v>
      </c>
      <c r="IB2">
        <v>38.533961336443397</v>
      </c>
      <c r="IC2">
        <v>38.542817732409603</v>
      </c>
      <c r="ID2">
        <v>38.551557727587998</v>
      </c>
      <c r="IE2">
        <v>38.560182056638702</v>
      </c>
      <c r="IF2">
        <v>38.568691454221998</v>
      </c>
      <c r="IG2">
        <v>38.577086654997998</v>
      </c>
      <c r="IH2">
        <v>38.585368393626901</v>
      </c>
      <c r="II2">
        <v>38.593537404768902</v>
      </c>
      <c r="IJ2">
        <v>38.601594423084201</v>
      </c>
      <c r="IK2">
        <v>38.609540183232902</v>
      </c>
      <c r="IL2">
        <v>38.617375419875302</v>
      </c>
      <c r="IM2">
        <v>38.625100867671499</v>
      </c>
      <c r="IN2">
        <v>38.632717261281698</v>
      </c>
      <c r="IO2">
        <v>38.640225335366203</v>
      </c>
      <c r="IP2">
        <v>38.647625824584999</v>
      </c>
      <c r="IQ2">
        <v>38.654919463598297</v>
      </c>
      <c r="IR2">
        <v>38.662106987066402</v>
      </c>
      <c r="IS2">
        <v>38.669189129649503</v>
      </c>
      <c r="IT2">
        <v>38.6761666260076</v>
      </c>
      <c r="IU2">
        <v>38.683040210801103</v>
      </c>
      <c r="IV2">
        <v>38.689810618689997</v>
      </c>
      <c r="IW2">
        <v>38.696478584334699</v>
      </c>
      <c r="IX2">
        <v>38.703044842395101</v>
      </c>
      <c r="IY2">
        <v>38.709510127531601</v>
      </c>
      <c r="IZ2">
        <v>38.715875174404403</v>
      </c>
      <c r="JA2">
        <v>38.722140717673497</v>
      </c>
      <c r="JB2">
        <v>38.728307491999303</v>
      </c>
      <c r="JC2">
        <v>38.734376232041697</v>
      </c>
      <c r="JD2">
        <v>38.740347672461198</v>
      </c>
      <c r="JE2">
        <v>38.746222547917803</v>
      </c>
      <c r="JF2">
        <v>38.752001593071697</v>
      </c>
      <c r="JG2">
        <v>38.757685542583197</v>
      </c>
      <c r="JH2">
        <v>38.763275131112302</v>
      </c>
      <c r="JI2">
        <v>38.768771093319302</v>
      </c>
      <c r="JJ2">
        <v>38.774174163864402</v>
      </c>
      <c r="JK2">
        <v>38.779485077407699</v>
      </c>
      <c r="JL2">
        <v>38.784704568609399</v>
      </c>
      <c r="JM2">
        <v>38.789833372129799</v>
      </c>
      <c r="JN2">
        <v>38.794872222629003</v>
      </c>
      <c r="JO2">
        <v>38.799821854767103</v>
      </c>
      <c r="JP2">
        <v>38.804683003204403</v>
      </c>
      <c r="JQ2">
        <v>38.8094564026011</v>
      </c>
      <c r="JR2">
        <v>38.8141427876172</v>
      </c>
      <c r="JS2">
        <v>38.8187428929132</v>
      </c>
      <c r="JT2">
        <v>38.823257453148997</v>
      </c>
      <c r="JU2">
        <v>38.827687202984897</v>
      </c>
      <c r="JV2">
        <v>38.832032877081097</v>
      </c>
      <c r="JW2">
        <v>38.836295210097703</v>
      </c>
      <c r="JX2">
        <v>38.840474936695003</v>
      </c>
      <c r="JY2">
        <v>38.844572791532997</v>
      </c>
      <c r="JZ2">
        <v>38.848589509272102</v>
      </c>
      <c r="KA2">
        <v>38.852525824572503</v>
      </c>
      <c r="KB2">
        <v>38.856382472094097</v>
      </c>
      <c r="KC2">
        <v>38.860160186497403</v>
      </c>
      <c r="KD2">
        <v>38.863859702442298</v>
      </c>
      <c r="KE2">
        <v>38.8674817545892</v>
      </c>
      <c r="KF2">
        <v>38.8710270775982</v>
      </c>
      <c r="KG2">
        <v>38.874496406129502</v>
      </c>
      <c r="KH2">
        <v>38.877890474843298</v>
      </c>
      <c r="KI2">
        <v>38.881210018399699</v>
      </c>
      <c r="KJ2">
        <v>38.884455771459002</v>
      </c>
      <c r="KK2">
        <v>38.887628468681399</v>
      </c>
      <c r="KL2">
        <v>38.890728844726901</v>
      </c>
      <c r="KM2">
        <v>38.893757634255898</v>
      </c>
      <c r="KN2">
        <v>38.896715571928397</v>
      </c>
      <c r="KO2">
        <v>38.8996033924047</v>
      </c>
      <c r="KP2">
        <v>38.902421830344899</v>
      </c>
      <c r="KQ2">
        <v>38.905171620409298</v>
      </c>
      <c r="KR2">
        <v>38.907853497258003</v>
      </c>
      <c r="KS2">
        <v>38.910468195551204</v>
      </c>
      <c r="KT2">
        <v>38.913016449949097</v>
      </c>
      <c r="KU2">
        <v>38.915498995111903</v>
      </c>
      <c r="KV2">
        <v>38.917916565699699</v>
      </c>
      <c r="KW2">
        <v>38.920269896372801</v>
      </c>
      <c r="KX2">
        <v>38.922559721791302</v>
      </c>
      <c r="KY2">
        <v>38.924786776615399</v>
      </c>
      <c r="KZ2">
        <v>38.926951795505303</v>
      </c>
      <c r="LA2">
        <v>38.929055513121099</v>
      </c>
      <c r="LB2">
        <v>38.931098664123198</v>
      </c>
      <c r="LC2">
        <v>38.933081983171597</v>
      </c>
      <c r="LD2">
        <v>38.935006204926403</v>
      </c>
      <c r="LE2">
        <v>38.936872064048103</v>
      </c>
      <c r="LF2">
        <v>38.938680295196598</v>
      </c>
      <c r="LG2">
        <v>38.940431633032198</v>
      </c>
      <c r="LH2">
        <v>38.942126812215101</v>
      </c>
      <c r="LI2">
        <v>38.943766567405397</v>
      </c>
      <c r="LJ2">
        <v>38.9453516332633</v>
      </c>
      <c r="LK2">
        <v>38.946882744449098</v>
      </c>
      <c r="LL2">
        <v>38.948360635622898</v>
      </c>
      <c r="LM2">
        <v>38.949786041444803</v>
      </c>
      <c r="LN2">
        <v>38.951159696575097</v>
      </c>
      <c r="LO2">
        <v>38.952482335673999</v>
      </c>
      <c r="LP2">
        <v>38.953754693401599</v>
      </c>
      <c r="LQ2">
        <v>38.954977504418103</v>
      </c>
      <c r="LR2">
        <v>38.956151503383801</v>
      </c>
      <c r="LS2">
        <v>38.957277424958697</v>
      </c>
      <c r="LT2">
        <v>38.958356003803203</v>
      </c>
      <c r="LU2">
        <v>38.959387974577197</v>
      </c>
      <c r="LV2">
        <v>38.960374071941096</v>
      </c>
      <c r="LW2">
        <v>38.961315030555099</v>
      </c>
      <c r="LX2">
        <v>38.962211585079203</v>
      </c>
      <c r="LY2">
        <v>38.963064470173698</v>
      </c>
      <c r="LZ2">
        <v>38.963874420498897</v>
      </c>
      <c r="MA2">
        <v>38.964642170714697</v>
      </c>
      <c r="MB2">
        <v>38.965368455481602</v>
      </c>
      <c r="MC2">
        <v>38.966054009459498</v>
      </c>
      <c r="MD2">
        <v>38.966699567308801</v>
      </c>
      <c r="ME2">
        <v>38.967305863689504</v>
      </c>
      <c r="MF2">
        <v>38.967873633262101</v>
      </c>
      <c r="MG2">
        <v>38.968403610686401</v>
      </c>
      <c r="MH2">
        <v>38.9688965306227</v>
      </c>
      <c r="MI2">
        <v>38.969353127731303</v>
      </c>
      <c r="MJ2">
        <v>38.969774136672399</v>
      </c>
      <c r="MK2">
        <v>38.970160292106002</v>
      </c>
      <c r="ML2">
        <v>38.9705123286925</v>
      </c>
      <c r="MM2">
        <v>38.970830981091801</v>
      </c>
      <c r="MN2">
        <v>38.9711169839644</v>
      </c>
      <c r="MO2">
        <v>38.971371071970303</v>
      </c>
      <c r="MP2">
        <v>38.9715939797697</v>
      </c>
      <c r="MQ2">
        <v>38.971786442022797</v>
      </c>
      <c r="MR2">
        <v>38.971949193389797</v>
      </c>
      <c r="MS2">
        <v>38.972082968530898</v>
      </c>
      <c r="MT2">
        <v>38.972188502106199</v>
      </c>
      <c r="MU2">
        <v>38.972266528776103</v>
      </c>
      <c r="MV2">
        <v>38.972317783200502</v>
      </c>
      <c r="MW2">
        <v>38.9723430000397</v>
      </c>
      <c r="MX2">
        <v>38.972342913953902</v>
      </c>
      <c r="MY2">
        <v>38.972318259603298</v>
      </c>
      <c r="MZ2">
        <v>38.972269771648101</v>
      </c>
      <c r="NA2">
        <v>38.9721981847484</v>
      </c>
      <c r="NB2">
        <v>38.972104233564501</v>
      </c>
      <c r="NC2">
        <v>38.971988652756501</v>
      </c>
      <c r="ND2">
        <v>38.971852176984498</v>
      </c>
      <c r="NE2">
        <v>38.971695540908897</v>
      </c>
      <c r="NF2">
        <v>38.971519479189702</v>
      </c>
      <c r="NG2">
        <v>38.971324726487197</v>
      </c>
      <c r="NH2">
        <v>38.9711120174615</v>
      </c>
      <c r="NI2">
        <v>38.970882086772903</v>
      </c>
      <c r="NJ2">
        <v>38.970635669081403</v>
      </c>
      <c r="NK2">
        <v>38.970373499047298</v>
      </c>
      <c r="NL2">
        <v>38.970096311330799</v>
      </c>
      <c r="NM2">
        <v>38.969804840592097</v>
      </c>
      <c r="NN2">
        <v>38.969499821491297</v>
      </c>
      <c r="NO2">
        <v>38.969181988688597</v>
      </c>
      <c r="NP2">
        <v>38.9688520768443</v>
      </c>
      <c r="NQ2">
        <v>38.968510820618398</v>
      </c>
      <c r="NR2">
        <v>38.968158954671203</v>
      </c>
      <c r="NS2">
        <v>38.967797213662799</v>
      </c>
      <c r="NT2">
        <v>38.967426332253602</v>
      </c>
      <c r="NU2">
        <v>38.967047045103499</v>
      </c>
      <c r="NV2">
        <v>38.966660086872899</v>
      </c>
      <c r="NW2">
        <v>38.966266192221802</v>
      </c>
      <c r="NX2">
        <v>38.965866095810597</v>
      </c>
      <c r="NY2">
        <v>38.965460532299304</v>
      </c>
      <c r="NZ2">
        <v>38.965050236348098</v>
      </c>
      <c r="OA2">
        <v>38.964635942617399</v>
      </c>
      <c r="OB2">
        <v>38.960705138657701</v>
      </c>
      <c r="OC2">
        <v>38.949849122956998</v>
      </c>
      <c r="OD2">
        <v>38.932224346580902</v>
      </c>
      <c r="OE2">
        <v>38.907987260595199</v>
      </c>
      <c r="OF2">
        <v>38.877294316065701</v>
      </c>
      <c r="OG2">
        <v>38.840301964058</v>
      </c>
      <c r="OH2">
        <v>38.797166655637703</v>
      </c>
      <c r="OI2">
        <v>38.748044841870701</v>
      </c>
      <c r="OJ2">
        <v>38.693092973822601</v>
      </c>
      <c r="OK2">
        <v>38.632467502559201</v>
      </c>
      <c r="OL2">
        <v>38.566324879146201</v>
      </c>
      <c r="OM2">
        <v>38.494821554649199</v>
      </c>
      <c r="ON2">
        <v>38.418113980134002</v>
      </c>
      <c r="OO2">
        <v>38.336358606666202</v>
      </c>
      <c r="OP2">
        <v>38.249711885311697</v>
      </c>
      <c r="OQ2">
        <v>38.158330267136101</v>
      </c>
      <c r="OR2">
        <v>38.062370203205198</v>
      </c>
      <c r="OS2">
        <v>37.961988144584502</v>
      </c>
      <c r="OT2">
        <v>37.857340542339898</v>
      </c>
      <c r="OU2">
        <v>37.748583847537098</v>
      </c>
      <c r="OV2">
        <v>37.635874511241703</v>
      </c>
      <c r="OW2">
        <v>37.519368984519502</v>
      </c>
      <c r="OX2">
        <v>37.399223718436303</v>
      </c>
      <c r="OY2">
        <v>37.275595164057499</v>
      </c>
      <c r="OZ2">
        <v>37.148639772449101</v>
      </c>
      <c r="PA2">
        <v>37.018513994676802</v>
      </c>
      <c r="PB2">
        <v>36.8853742818062</v>
      </c>
      <c r="PC2">
        <v>36.749377084903003</v>
      </c>
      <c r="PD2">
        <v>36.610678855033001</v>
      </c>
      <c r="PE2">
        <v>36.469436043261801</v>
      </c>
      <c r="PF2">
        <v>36.325805100655202</v>
      </c>
      <c r="PG2">
        <v>36.179942478278903</v>
      </c>
      <c r="PH2">
        <v>36.032004627198603</v>
      </c>
      <c r="PI2">
        <v>35.797916370243001</v>
      </c>
      <c r="PJ2">
        <v>33.740318160732102</v>
      </c>
      <c r="PK2">
        <v>31.662138132097301</v>
      </c>
      <c r="PL2">
        <v>29.5651511228996</v>
      </c>
      <c r="PM2">
        <v>27.4511319716995</v>
      </c>
      <c r="PN2">
        <v>25.321855517057799</v>
      </c>
      <c r="PO2">
        <v>23.179096597535199</v>
      </c>
      <c r="PP2">
        <v>21.024630051692299</v>
      </c>
      <c r="PQ2">
        <v>18.860230718089799</v>
      </c>
      <c r="PR2">
        <v>16.687673435288499</v>
      </c>
      <c r="PS2">
        <v>14.508733041849</v>
      </c>
      <c r="PT2">
        <v>12.325184376332</v>
      </c>
      <c r="PU2">
        <v>10.1388022772983</v>
      </c>
      <c r="PV2">
        <v>7.95136158330837</v>
      </c>
      <c r="PW2">
        <v>5.76463713292316</v>
      </c>
      <c r="PX2">
        <v>3.58040376470308</v>
      </c>
      <c r="PY2">
        <v>1.4004363172090799</v>
      </c>
      <c r="PZ2">
        <v>0</v>
      </c>
      <c r="QA2">
        <v>0</v>
      </c>
      <c r="QB2">
        <v>0</v>
      </c>
      <c r="QC2">
        <v>0</v>
      </c>
      <c r="QD2">
        <v>0</v>
      </c>
      <c r="QE2">
        <v>0</v>
      </c>
      <c r="QF2">
        <v>0</v>
      </c>
      <c r="QG2">
        <v>0</v>
      </c>
      <c r="QH2">
        <v>0</v>
      </c>
      <c r="QI2">
        <v>0</v>
      </c>
      <c r="QJ2">
        <v>0</v>
      </c>
      <c r="QK2">
        <v>0</v>
      </c>
    </row>
    <row r="3" spans="1:454" x14ac:dyDescent="0.2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v>0</v>
      </c>
      <c r="CW3">
        <v>0</v>
      </c>
      <c r="CX3">
        <v>0</v>
      </c>
      <c r="CY3">
        <v>0</v>
      </c>
      <c r="CZ3">
        <v>0</v>
      </c>
      <c r="DA3">
        <v>0</v>
      </c>
      <c r="DB3">
        <v>0</v>
      </c>
      <c r="DC3">
        <v>0</v>
      </c>
      <c r="DD3">
        <v>0</v>
      </c>
      <c r="DE3">
        <v>0</v>
      </c>
      <c r="DF3">
        <v>0</v>
      </c>
      <c r="DG3">
        <v>0</v>
      </c>
      <c r="DH3">
        <v>0</v>
      </c>
      <c r="DI3">
        <v>0</v>
      </c>
      <c r="DJ3">
        <v>0</v>
      </c>
      <c r="DK3">
        <v>0</v>
      </c>
      <c r="DL3">
        <v>0</v>
      </c>
      <c r="DM3">
        <v>0</v>
      </c>
      <c r="DN3">
        <v>0</v>
      </c>
      <c r="DO3">
        <v>0</v>
      </c>
      <c r="DP3">
        <v>0</v>
      </c>
      <c r="DQ3">
        <v>0</v>
      </c>
      <c r="DR3">
        <v>0</v>
      </c>
      <c r="DS3">
        <v>0</v>
      </c>
      <c r="DT3">
        <v>0</v>
      </c>
      <c r="DU3">
        <v>0</v>
      </c>
      <c r="DV3">
        <v>0</v>
      </c>
      <c r="DW3">
        <v>0</v>
      </c>
      <c r="DX3">
        <v>0</v>
      </c>
      <c r="DY3">
        <v>0</v>
      </c>
      <c r="DZ3">
        <v>0</v>
      </c>
      <c r="EA3">
        <v>0</v>
      </c>
      <c r="EB3">
        <v>0</v>
      </c>
      <c r="EC3">
        <v>0</v>
      </c>
      <c r="ED3">
        <v>0</v>
      </c>
      <c r="EE3">
        <v>0</v>
      </c>
      <c r="EF3">
        <v>0</v>
      </c>
      <c r="EG3">
        <v>0</v>
      </c>
      <c r="EH3">
        <v>0</v>
      </c>
      <c r="EI3">
        <v>0</v>
      </c>
      <c r="EJ3">
        <v>0</v>
      </c>
      <c r="EK3">
        <v>0</v>
      </c>
      <c r="EL3">
        <v>0</v>
      </c>
      <c r="EM3">
        <v>0</v>
      </c>
      <c r="EN3">
        <v>0</v>
      </c>
      <c r="EO3">
        <v>0</v>
      </c>
      <c r="EP3">
        <v>0</v>
      </c>
      <c r="EQ3">
        <v>0</v>
      </c>
      <c r="ER3">
        <v>0</v>
      </c>
      <c r="ES3">
        <v>0</v>
      </c>
      <c r="ET3">
        <v>0</v>
      </c>
      <c r="EU3">
        <v>0</v>
      </c>
      <c r="EV3">
        <v>0</v>
      </c>
      <c r="EW3">
        <v>0</v>
      </c>
      <c r="EX3">
        <v>0</v>
      </c>
      <c r="EY3">
        <v>0</v>
      </c>
      <c r="EZ3">
        <v>0</v>
      </c>
      <c r="FA3">
        <v>0</v>
      </c>
      <c r="FB3">
        <v>0</v>
      </c>
      <c r="FC3">
        <v>0</v>
      </c>
      <c r="FD3">
        <v>0</v>
      </c>
      <c r="FE3">
        <v>0</v>
      </c>
      <c r="FF3">
        <v>0</v>
      </c>
      <c r="FG3">
        <v>0</v>
      </c>
      <c r="FH3">
        <v>0</v>
      </c>
      <c r="FI3">
        <v>0</v>
      </c>
      <c r="FJ3">
        <v>0</v>
      </c>
      <c r="FK3">
        <v>0</v>
      </c>
      <c r="FL3">
        <v>0</v>
      </c>
      <c r="FM3">
        <v>0</v>
      </c>
      <c r="FN3">
        <v>0</v>
      </c>
      <c r="FO3">
        <v>0</v>
      </c>
      <c r="FP3">
        <v>0</v>
      </c>
      <c r="FQ3">
        <v>0</v>
      </c>
      <c r="FR3">
        <v>0</v>
      </c>
      <c r="FS3">
        <v>0</v>
      </c>
      <c r="FT3">
        <v>0</v>
      </c>
      <c r="FU3">
        <v>0</v>
      </c>
      <c r="FV3">
        <v>0</v>
      </c>
      <c r="FW3">
        <v>0</v>
      </c>
      <c r="FX3">
        <v>0</v>
      </c>
      <c r="FY3">
        <v>0</v>
      </c>
      <c r="FZ3">
        <v>0</v>
      </c>
      <c r="GA3">
        <v>0</v>
      </c>
      <c r="GB3">
        <v>0</v>
      </c>
      <c r="GC3">
        <v>0</v>
      </c>
      <c r="GD3">
        <v>0</v>
      </c>
      <c r="GE3">
        <v>0</v>
      </c>
      <c r="GF3">
        <v>0</v>
      </c>
      <c r="GG3">
        <v>0</v>
      </c>
      <c r="GH3">
        <v>0</v>
      </c>
      <c r="GI3">
        <v>0</v>
      </c>
      <c r="GJ3">
        <v>0</v>
      </c>
      <c r="GK3">
        <v>0</v>
      </c>
      <c r="GL3">
        <v>0</v>
      </c>
      <c r="GM3">
        <v>0</v>
      </c>
      <c r="GN3">
        <v>0</v>
      </c>
      <c r="GO3">
        <v>0</v>
      </c>
      <c r="GP3">
        <v>0</v>
      </c>
      <c r="GQ3">
        <v>0</v>
      </c>
      <c r="GR3">
        <v>0</v>
      </c>
      <c r="GS3">
        <v>0</v>
      </c>
      <c r="GT3">
        <v>0</v>
      </c>
      <c r="GU3">
        <v>0</v>
      </c>
      <c r="GV3">
        <v>0</v>
      </c>
      <c r="GW3">
        <v>0</v>
      </c>
      <c r="GX3">
        <v>0</v>
      </c>
      <c r="GY3">
        <v>0</v>
      </c>
      <c r="GZ3">
        <v>0</v>
      </c>
      <c r="HA3">
        <v>0</v>
      </c>
      <c r="HB3">
        <v>0</v>
      </c>
      <c r="HC3">
        <v>0</v>
      </c>
      <c r="HD3">
        <v>0</v>
      </c>
      <c r="HE3">
        <v>0</v>
      </c>
      <c r="HF3">
        <v>0</v>
      </c>
      <c r="HG3">
        <v>0</v>
      </c>
      <c r="HH3">
        <v>0</v>
      </c>
      <c r="HI3">
        <v>0</v>
      </c>
      <c r="HJ3">
        <v>0</v>
      </c>
      <c r="HK3">
        <v>0</v>
      </c>
      <c r="HL3">
        <v>0</v>
      </c>
      <c r="HM3">
        <v>0</v>
      </c>
      <c r="HN3">
        <v>0</v>
      </c>
      <c r="HO3">
        <v>0</v>
      </c>
      <c r="HP3">
        <v>0</v>
      </c>
      <c r="HQ3">
        <v>0</v>
      </c>
      <c r="HR3">
        <v>0</v>
      </c>
      <c r="HS3">
        <v>0</v>
      </c>
      <c r="HT3">
        <v>0</v>
      </c>
      <c r="HU3">
        <v>0</v>
      </c>
      <c r="HV3">
        <v>0</v>
      </c>
      <c r="HW3">
        <v>0</v>
      </c>
      <c r="HX3">
        <v>0</v>
      </c>
      <c r="HY3">
        <v>0</v>
      </c>
      <c r="HZ3">
        <v>0</v>
      </c>
      <c r="IA3">
        <v>0</v>
      </c>
      <c r="IB3">
        <v>0</v>
      </c>
      <c r="IC3">
        <v>0</v>
      </c>
      <c r="ID3">
        <v>0</v>
      </c>
      <c r="IE3">
        <v>0</v>
      </c>
      <c r="IF3">
        <v>0</v>
      </c>
      <c r="IG3">
        <v>0</v>
      </c>
      <c r="IH3">
        <v>0</v>
      </c>
      <c r="II3">
        <v>0</v>
      </c>
      <c r="IJ3">
        <v>0</v>
      </c>
      <c r="IK3">
        <v>0</v>
      </c>
      <c r="IL3">
        <v>0</v>
      </c>
      <c r="IM3">
        <v>0</v>
      </c>
      <c r="IN3">
        <v>0</v>
      </c>
      <c r="IO3">
        <v>0</v>
      </c>
      <c r="IP3">
        <v>0</v>
      </c>
      <c r="IQ3">
        <v>0</v>
      </c>
      <c r="IR3">
        <v>0</v>
      </c>
      <c r="IS3">
        <v>0</v>
      </c>
      <c r="IT3">
        <v>0</v>
      </c>
      <c r="IU3">
        <v>0</v>
      </c>
      <c r="IV3">
        <v>0</v>
      </c>
      <c r="IW3">
        <v>0</v>
      </c>
      <c r="IX3">
        <v>0</v>
      </c>
      <c r="IY3">
        <v>0</v>
      </c>
      <c r="IZ3">
        <v>0</v>
      </c>
      <c r="JA3">
        <v>0</v>
      </c>
      <c r="JB3">
        <v>0</v>
      </c>
      <c r="JC3">
        <v>0</v>
      </c>
      <c r="JD3">
        <v>0</v>
      </c>
      <c r="JE3">
        <v>0</v>
      </c>
      <c r="JF3">
        <v>0</v>
      </c>
      <c r="JG3">
        <v>0</v>
      </c>
      <c r="JH3">
        <v>0</v>
      </c>
      <c r="JI3">
        <v>0</v>
      </c>
      <c r="JJ3">
        <v>0</v>
      </c>
      <c r="JK3">
        <v>0</v>
      </c>
      <c r="JL3">
        <v>0</v>
      </c>
      <c r="JM3">
        <v>0</v>
      </c>
      <c r="JN3">
        <v>0</v>
      </c>
      <c r="JO3">
        <v>0</v>
      </c>
      <c r="JP3">
        <v>0</v>
      </c>
      <c r="JQ3">
        <v>0</v>
      </c>
      <c r="JR3">
        <v>0</v>
      </c>
      <c r="JS3">
        <v>0</v>
      </c>
      <c r="JT3">
        <v>0</v>
      </c>
      <c r="JU3">
        <v>0</v>
      </c>
      <c r="JV3">
        <v>0</v>
      </c>
      <c r="JW3">
        <v>0</v>
      </c>
      <c r="JX3">
        <v>0</v>
      </c>
      <c r="JY3">
        <v>0</v>
      </c>
      <c r="JZ3">
        <v>0</v>
      </c>
      <c r="KA3">
        <v>0</v>
      </c>
      <c r="KB3">
        <v>0</v>
      </c>
      <c r="KC3">
        <v>0</v>
      </c>
      <c r="KD3">
        <v>0</v>
      </c>
      <c r="KE3">
        <v>0</v>
      </c>
      <c r="KF3">
        <v>0</v>
      </c>
      <c r="KG3">
        <v>0</v>
      </c>
      <c r="KH3">
        <v>0</v>
      </c>
      <c r="KI3">
        <v>0</v>
      </c>
      <c r="KJ3">
        <v>0</v>
      </c>
      <c r="KK3">
        <v>0</v>
      </c>
      <c r="KL3">
        <v>0</v>
      </c>
      <c r="KM3">
        <v>0</v>
      </c>
      <c r="KN3">
        <v>0</v>
      </c>
      <c r="KO3">
        <v>0</v>
      </c>
      <c r="KP3">
        <v>0</v>
      </c>
      <c r="KQ3">
        <v>0</v>
      </c>
      <c r="KR3">
        <v>0</v>
      </c>
      <c r="KS3">
        <v>0</v>
      </c>
      <c r="KT3">
        <v>0</v>
      </c>
      <c r="KU3">
        <v>0</v>
      </c>
      <c r="KV3">
        <v>0</v>
      </c>
      <c r="KW3">
        <v>0</v>
      </c>
      <c r="KX3">
        <v>0</v>
      </c>
      <c r="KY3">
        <v>0</v>
      </c>
      <c r="KZ3">
        <v>0</v>
      </c>
      <c r="LA3">
        <v>0</v>
      </c>
      <c r="LB3">
        <v>0</v>
      </c>
      <c r="LC3">
        <v>0</v>
      </c>
      <c r="LD3">
        <v>0</v>
      </c>
      <c r="LE3">
        <v>0</v>
      </c>
      <c r="LF3">
        <v>0</v>
      </c>
      <c r="LG3">
        <v>0</v>
      </c>
      <c r="LH3">
        <v>0</v>
      </c>
      <c r="LI3">
        <v>0</v>
      </c>
      <c r="LJ3">
        <v>0</v>
      </c>
      <c r="LK3">
        <v>0</v>
      </c>
      <c r="LL3">
        <v>0</v>
      </c>
      <c r="LM3">
        <v>0</v>
      </c>
      <c r="LN3">
        <v>0</v>
      </c>
      <c r="LO3">
        <v>0</v>
      </c>
      <c r="LP3">
        <v>0</v>
      </c>
      <c r="LQ3">
        <v>0</v>
      </c>
      <c r="LR3">
        <v>0</v>
      </c>
      <c r="LS3">
        <v>0</v>
      </c>
      <c r="LT3">
        <v>0</v>
      </c>
      <c r="LU3">
        <v>0</v>
      </c>
      <c r="LV3">
        <v>0</v>
      </c>
      <c r="LW3">
        <v>0</v>
      </c>
      <c r="LX3">
        <v>0</v>
      </c>
      <c r="LY3">
        <v>0</v>
      </c>
      <c r="LZ3">
        <v>0</v>
      </c>
      <c r="MA3">
        <v>0</v>
      </c>
      <c r="MB3">
        <v>0</v>
      </c>
      <c r="MC3">
        <v>0</v>
      </c>
      <c r="MD3">
        <v>0</v>
      </c>
      <c r="ME3">
        <v>0</v>
      </c>
      <c r="MF3">
        <v>0</v>
      </c>
      <c r="MG3">
        <v>0</v>
      </c>
      <c r="MH3">
        <v>0</v>
      </c>
      <c r="MI3">
        <v>0</v>
      </c>
      <c r="MJ3">
        <v>0</v>
      </c>
      <c r="MK3">
        <v>0</v>
      </c>
      <c r="ML3">
        <v>0</v>
      </c>
      <c r="MM3">
        <v>0</v>
      </c>
      <c r="MN3">
        <v>0</v>
      </c>
      <c r="MO3">
        <v>0</v>
      </c>
      <c r="MP3">
        <v>0</v>
      </c>
      <c r="MQ3">
        <v>0</v>
      </c>
      <c r="MR3">
        <v>0</v>
      </c>
      <c r="MS3">
        <v>0</v>
      </c>
      <c r="MT3">
        <v>0</v>
      </c>
      <c r="MU3">
        <v>0</v>
      </c>
      <c r="MV3">
        <v>0</v>
      </c>
      <c r="MW3">
        <v>0</v>
      </c>
      <c r="MX3">
        <v>0</v>
      </c>
      <c r="MY3">
        <v>0</v>
      </c>
      <c r="MZ3">
        <v>0</v>
      </c>
      <c r="NA3">
        <v>0</v>
      </c>
      <c r="NB3">
        <v>0</v>
      </c>
      <c r="NC3">
        <v>0</v>
      </c>
      <c r="ND3">
        <v>0</v>
      </c>
      <c r="NE3">
        <v>0</v>
      </c>
      <c r="NF3">
        <v>0</v>
      </c>
      <c r="NG3">
        <v>0</v>
      </c>
      <c r="NH3">
        <v>0</v>
      </c>
      <c r="NI3">
        <v>0</v>
      </c>
      <c r="NJ3">
        <v>0</v>
      </c>
      <c r="NK3">
        <v>0</v>
      </c>
      <c r="NL3">
        <v>0</v>
      </c>
      <c r="NM3">
        <v>0</v>
      </c>
      <c r="NN3">
        <v>0</v>
      </c>
      <c r="NO3">
        <v>0</v>
      </c>
      <c r="NP3">
        <v>0</v>
      </c>
      <c r="NQ3">
        <v>0</v>
      </c>
      <c r="NR3">
        <v>0</v>
      </c>
      <c r="NS3">
        <v>0</v>
      </c>
      <c r="NT3">
        <v>0</v>
      </c>
      <c r="NU3">
        <v>0</v>
      </c>
      <c r="NV3">
        <v>0</v>
      </c>
      <c r="NW3">
        <v>0</v>
      </c>
      <c r="NX3">
        <v>0</v>
      </c>
      <c r="NY3">
        <v>0</v>
      </c>
      <c r="NZ3">
        <v>0</v>
      </c>
      <c r="OA3">
        <v>0</v>
      </c>
      <c r="OB3">
        <v>0</v>
      </c>
      <c r="OC3">
        <v>0</v>
      </c>
      <c r="OD3">
        <v>0</v>
      </c>
      <c r="OE3">
        <v>0</v>
      </c>
      <c r="OF3">
        <v>0</v>
      </c>
      <c r="OG3">
        <v>0</v>
      </c>
      <c r="OH3">
        <v>0</v>
      </c>
      <c r="OI3">
        <v>0</v>
      </c>
      <c r="OJ3">
        <v>0</v>
      </c>
      <c r="OK3">
        <v>0</v>
      </c>
      <c r="OL3">
        <v>0</v>
      </c>
      <c r="OM3">
        <v>0</v>
      </c>
      <c r="ON3">
        <v>0</v>
      </c>
      <c r="OO3">
        <v>0</v>
      </c>
      <c r="OP3">
        <v>0</v>
      </c>
      <c r="OQ3">
        <v>0</v>
      </c>
      <c r="OR3">
        <v>0</v>
      </c>
      <c r="OS3">
        <v>0</v>
      </c>
      <c r="OT3">
        <v>0</v>
      </c>
      <c r="OU3">
        <v>0</v>
      </c>
      <c r="OV3">
        <v>0</v>
      </c>
      <c r="OW3">
        <v>0</v>
      </c>
      <c r="OX3">
        <v>0</v>
      </c>
      <c r="OY3">
        <v>0</v>
      </c>
      <c r="OZ3">
        <v>0</v>
      </c>
      <c r="PA3">
        <v>0</v>
      </c>
      <c r="PB3">
        <v>0</v>
      </c>
      <c r="PC3">
        <v>0</v>
      </c>
      <c r="PD3">
        <v>0</v>
      </c>
      <c r="PE3">
        <v>0</v>
      </c>
      <c r="PF3">
        <v>0</v>
      </c>
      <c r="PG3">
        <v>0</v>
      </c>
      <c r="PH3">
        <v>0</v>
      </c>
      <c r="PI3">
        <v>0</v>
      </c>
      <c r="PJ3">
        <v>0</v>
      </c>
      <c r="PK3">
        <v>0</v>
      </c>
      <c r="PL3">
        <v>0</v>
      </c>
      <c r="PM3">
        <v>0</v>
      </c>
      <c r="PN3">
        <v>0</v>
      </c>
      <c r="PO3">
        <v>0</v>
      </c>
      <c r="PP3">
        <v>0</v>
      </c>
      <c r="PQ3">
        <v>0</v>
      </c>
      <c r="PR3">
        <v>0</v>
      </c>
      <c r="PS3">
        <v>0</v>
      </c>
      <c r="PT3">
        <v>0</v>
      </c>
      <c r="PU3">
        <v>0</v>
      </c>
      <c r="PV3">
        <v>0</v>
      </c>
      <c r="PW3">
        <v>0</v>
      </c>
      <c r="PX3">
        <v>0</v>
      </c>
      <c r="PY3">
        <v>0</v>
      </c>
      <c r="PZ3">
        <v>0</v>
      </c>
      <c r="QA3">
        <v>0</v>
      </c>
      <c r="QB3">
        <v>0</v>
      </c>
      <c r="QC3">
        <v>0</v>
      </c>
      <c r="QD3">
        <v>0</v>
      </c>
      <c r="QE3">
        <v>0</v>
      </c>
      <c r="QF3">
        <v>0</v>
      </c>
      <c r="QG3">
        <v>0</v>
      </c>
      <c r="QH3">
        <v>0</v>
      </c>
      <c r="QI3">
        <v>0</v>
      </c>
      <c r="QJ3">
        <v>0</v>
      </c>
      <c r="QK3">
        <v>0</v>
      </c>
    </row>
    <row r="4" spans="1:454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>
        <v>0</v>
      </c>
      <c r="CU4">
        <v>0</v>
      </c>
      <c r="CV4">
        <v>0</v>
      </c>
      <c r="CW4">
        <v>0</v>
      </c>
      <c r="CX4">
        <v>0</v>
      </c>
      <c r="CY4">
        <v>0</v>
      </c>
      <c r="CZ4">
        <v>0</v>
      </c>
      <c r="DA4">
        <v>0</v>
      </c>
      <c r="DB4">
        <v>0</v>
      </c>
      <c r="DC4">
        <v>0</v>
      </c>
      <c r="DD4">
        <v>0</v>
      </c>
      <c r="DE4">
        <v>0</v>
      </c>
      <c r="DF4">
        <v>0</v>
      </c>
      <c r="DG4">
        <v>0</v>
      </c>
      <c r="DH4">
        <v>0</v>
      </c>
      <c r="DI4">
        <v>0</v>
      </c>
      <c r="DJ4">
        <v>0</v>
      </c>
      <c r="DK4">
        <v>0</v>
      </c>
      <c r="DL4">
        <v>0</v>
      </c>
      <c r="DM4">
        <v>0</v>
      </c>
      <c r="DN4">
        <v>0</v>
      </c>
      <c r="DO4">
        <v>0</v>
      </c>
      <c r="DP4">
        <v>0</v>
      </c>
      <c r="DQ4">
        <v>0</v>
      </c>
      <c r="DR4">
        <v>0</v>
      </c>
      <c r="DS4">
        <v>0</v>
      </c>
      <c r="DT4">
        <v>0</v>
      </c>
      <c r="DU4">
        <v>0</v>
      </c>
      <c r="DV4">
        <v>0</v>
      </c>
      <c r="DW4">
        <v>0</v>
      </c>
      <c r="DX4">
        <v>0</v>
      </c>
      <c r="DY4">
        <v>0</v>
      </c>
      <c r="DZ4">
        <v>0</v>
      </c>
      <c r="EA4">
        <v>0</v>
      </c>
      <c r="EB4">
        <v>0</v>
      </c>
      <c r="EC4">
        <v>0</v>
      </c>
      <c r="ED4">
        <v>0</v>
      </c>
      <c r="EE4">
        <v>0</v>
      </c>
      <c r="EF4">
        <v>0</v>
      </c>
      <c r="EG4">
        <v>0</v>
      </c>
      <c r="EH4">
        <v>0</v>
      </c>
      <c r="EI4">
        <v>0</v>
      </c>
      <c r="EJ4">
        <v>0</v>
      </c>
      <c r="EK4">
        <v>0</v>
      </c>
      <c r="EL4">
        <v>0</v>
      </c>
      <c r="EM4">
        <v>0</v>
      </c>
      <c r="EN4">
        <v>0</v>
      </c>
      <c r="EO4">
        <v>0</v>
      </c>
      <c r="EP4">
        <v>0</v>
      </c>
      <c r="EQ4">
        <v>0</v>
      </c>
      <c r="ER4">
        <v>0</v>
      </c>
      <c r="ES4">
        <v>0</v>
      </c>
      <c r="ET4">
        <v>0</v>
      </c>
      <c r="EU4">
        <v>0</v>
      </c>
      <c r="EV4">
        <v>0</v>
      </c>
      <c r="EW4">
        <v>0</v>
      </c>
      <c r="EX4">
        <v>0</v>
      </c>
      <c r="EY4">
        <v>0</v>
      </c>
      <c r="EZ4">
        <v>0</v>
      </c>
      <c r="FA4">
        <v>0</v>
      </c>
      <c r="FB4">
        <v>0</v>
      </c>
      <c r="FC4">
        <v>0</v>
      </c>
      <c r="FD4">
        <v>0</v>
      </c>
      <c r="FE4">
        <v>0</v>
      </c>
      <c r="FF4">
        <v>0</v>
      </c>
      <c r="FG4">
        <v>0</v>
      </c>
      <c r="FH4">
        <v>0</v>
      </c>
      <c r="FI4">
        <v>0</v>
      </c>
      <c r="FJ4">
        <v>0</v>
      </c>
      <c r="FK4">
        <v>0</v>
      </c>
      <c r="FL4">
        <v>0</v>
      </c>
      <c r="FM4">
        <v>0</v>
      </c>
      <c r="FN4">
        <v>0</v>
      </c>
      <c r="FO4">
        <v>0</v>
      </c>
      <c r="FP4">
        <v>0</v>
      </c>
      <c r="FQ4">
        <v>0</v>
      </c>
      <c r="FR4">
        <v>0</v>
      </c>
      <c r="FS4">
        <v>0</v>
      </c>
      <c r="FT4">
        <v>0</v>
      </c>
      <c r="FU4">
        <v>0</v>
      </c>
      <c r="FV4">
        <v>0</v>
      </c>
      <c r="FW4">
        <v>0</v>
      </c>
      <c r="FX4">
        <v>0</v>
      </c>
      <c r="FY4">
        <v>0</v>
      </c>
      <c r="FZ4">
        <v>0</v>
      </c>
      <c r="GA4">
        <v>0</v>
      </c>
      <c r="GB4">
        <v>0</v>
      </c>
      <c r="GC4">
        <v>0</v>
      </c>
      <c r="GD4">
        <v>0</v>
      </c>
      <c r="GE4">
        <v>0</v>
      </c>
      <c r="GF4">
        <v>0</v>
      </c>
      <c r="GG4">
        <v>0</v>
      </c>
      <c r="GH4">
        <v>0</v>
      </c>
      <c r="GI4">
        <v>0</v>
      </c>
      <c r="GJ4">
        <v>0</v>
      </c>
      <c r="GK4">
        <v>0</v>
      </c>
      <c r="GL4">
        <v>0</v>
      </c>
      <c r="GM4">
        <v>0</v>
      </c>
      <c r="GN4">
        <v>0</v>
      </c>
      <c r="GO4">
        <v>0</v>
      </c>
      <c r="GP4">
        <v>0</v>
      </c>
      <c r="GQ4">
        <v>0</v>
      </c>
      <c r="GR4">
        <v>0</v>
      </c>
      <c r="GS4">
        <v>0</v>
      </c>
      <c r="GT4">
        <v>0</v>
      </c>
      <c r="GU4">
        <v>0</v>
      </c>
      <c r="GV4">
        <v>0</v>
      </c>
      <c r="GW4">
        <v>0</v>
      </c>
      <c r="GX4">
        <v>0</v>
      </c>
      <c r="GY4">
        <v>0</v>
      </c>
      <c r="GZ4">
        <v>0</v>
      </c>
      <c r="HA4">
        <v>0</v>
      </c>
      <c r="HB4">
        <v>0</v>
      </c>
      <c r="HC4">
        <v>0</v>
      </c>
      <c r="HD4">
        <v>0</v>
      </c>
      <c r="HE4">
        <v>0</v>
      </c>
      <c r="HF4">
        <v>0</v>
      </c>
      <c r="HG4">
        <v>0</v>
      </c>
      <c r="HH4">
        <v>0</v>
      </c>
      <c r="HI4">
        <v>0</v>
      </c>
      <c r="HJ4">
        <v>0</v>
      </c>
      <c r="HK4">
        <v>0</v>
      </c>
      <c r="HL4">
        <v>0</v>
      </c>
      <c r="HM4">
        <v>0</v>
      </c>
      <c r="HN4">
        <v>0</v>
      </c>
      <c r="HO4">
        <v>0</v>
      </c>
      <c r="HP4">
        <v>0</v>
      </c>
      <c r="HQ4">
        <v>0</v>
      </c>
      <c r="HR4">
        <v>0</v>
      </c>
      <c r="HS4">
        <v>0</v>
      </c>
      <c r="HT4">
        <v>0</v>
      </c>
      <c r="HU4">
        <v>0</v>
      </c>
      <c r="HV4">
        <v>0</v>
      </c>
      <c r="HW4">
        <v>0</v>
      </c>
      <c r="HX4">
        <v>0</v>
      </c>
      <c r="HY4">
        <v>0</v>
      </c>
      <c r="HZ4">
        <v>0</v>
      </c>
      <c r="IA4">
        <v>0</v>
      </c>
      <c r="IB4">
        <v>0</v>
      </c>
      <c r="IC4">
        <v>0</v>
      </c>
      <c r="ID4">
        <v>0</v>
      </c>
      <c r="IE4">
        <v>0</v>
      </c>
      <c r="IF4">
        <v>0</v>
      </c>
      <c r="IG4">
        <v>0</v>
      </c>
      <c r="IH4">
        <v>0</v>
      </c>
      <c r="II4">
        <v>0</v>
      </c>
      <c r="IJ4">
        <v>0</v>
      </c>
      <c r="IK4">
        <v>0</v>
      </c>
      <c r="IL4">
        <v>0</v>
      </c>
      <c r="IM4">
        <v>0</v>
      </c>
      <c r="IN4">
        <v>0</v>
      </c>
      <c r="IO4">
        <v>0</v>
      </c>
      <c r="IP4">
        <v>0</v>
      </c>
      <c r="IQ4">
        <v>0</v>
      </c>
      <c r="IR4">
        <v>0</v>
      </c>
      <c r="IS4">
        <v>0</v>
      </c>
      <c r="IT4">
        <v>0</v>
      </c>
      <c r="IU4">
        <v>0</v>
      </c>
      <c r="IV4">
        <v>0</v>
      </c>
      <c r="IW4">
        <v>0</v>
      </c>
      <c r="IX4">
        <v>0</v>
      </c>
      <c r="IY4">
        <v>0</v>
      </c>
      <c r="IZ4">
        <v>0</v>
      </c>
      <c r="JA4">
        <v>0</v>
      </c>
      <c r="JB4">
        <v>0</v>
      </c>
      <c r="JC4">
        <v>0</v>
      </c>
      <c r="JD4">
        <v>0</v>
      </c>
      <c r="JE4">
        <v>0</v>
      </c>
      <c r="JF4">
        <v>0</v>
      </c>
      <c r="JG4">
        <v>0</v>
      </c>
      <c r="JH4">
        <v>0</v>
      </c>
      <c r="JI4">
        <v>0</v>
      </c>
      <c r="JJ4">
        <v>0</v>
      </c>
      <c r="JK4">
        <v>0</v>
      </c>
      <c r="JL4">
        <v>0</v>
      </c>
      <c r="JM4">
        <v>0</v>
      </c>
      <c r="JN4">
        <v>0</v>
      </c>
      <c r="JO4">
        <v>0</v>
      </c>
      <c r="JP4">
        <v>0</v>
      </c>
      <c r="JQ4">
        <v>0</v>
      </c>
      <c r="JR4">
        <v>0</v>
      </c>
      <c r="JS4">
        <v>0</v>
      </c>
      <c r="JT4">
        <v>0</v>
      </c>
      <c r="JU4">
        <v>0</v>
      </c>
      <c r="JV4">
        <v>0</v>
      </c>
      <c r="JW4">
        <v>0</v>
      </c>
      <c r="JX4">
        <v>0</v>
      </c>
      <c r="JY4">
        <v>0</v>
      </c>
      <c r="JZ4">
        <v>0</v>
      </c>
      <c r="KA4">
        <v>0</v>
      </c>
      <c r="KB4">
        <v>0</v>
      </c>
      <c r="KC4">
        <v>0</v>
      </c>
      <c r="KD4">
        <v>0</v>
      </c>
      <c r="KE4">
        <v>0</v>
      </c>
      <c r="KF4">
        <v>0</v>
      </c>
      <c r="KG4">
        <v>0</v>
      </c>
      <c r="KH4">
        <v>0</v>
      </c>
      <c r="KI4">
        <v>0</v>
      </c>
      <c r="KJ4">
        <v>0</v>
      </c>
      <c r="KK4">
        <v>0</v>
      </c>
      <c r="KL4">
        <v>0</v>
      </c>
      <c r="KM4">
        <v>0</v>
      </c>
      <c r="KN4">
        <v>0</v>
      </c>
      <c r="KO4">
        <v>0</v>
      </c>
      <c r="KP4">
        <v>0</v>
      </c>
      <c r="KQ4">
        <v>0</v>
      </c>
      <c r="KR4">
        <v>0</v>
      </c>
      <c r="KS4">
        <v>0</v>
      </c>
      <c r="KT4">
        <v>0</v>
      </c>
      <c r="KU4">
        <v>0</v>
      </c>
      <c r="KV4">
        <v>0</v>
      </c>
      <c r="KW4">
        <v>0</v>
      </c>
      <c r="KX4">
        <v>0</v>
      </c>
      <c r="KY4">
        <v>0</v>
      </c>
      <c r="KZ4">
        <v>0</v>
      </c>
      <c r="LA4">
        <v>0</v>
      </c>
      <c r="LB4">
        <v>0</v>
      </c>
      <c r="LC4">
        <v>0</v>
      </c>
      <c r="LD4">
        <v>0</v>
      </c>
      <c r="LE4">
        <v>0</v>
      </c>
      <c r="LF4">
        <v>0</v>
      </c>
      <c r="LG4">
        <v>0</v>
      </c>
      <c r="LH4">
        <v>0</v>
      </c>
      <c r="LI4">
        <v>0</v>
      </c>
      <c r="LJ4">
        <v>0</v>
      </c>
      <c r="LK4">
        <v>0</v>
      </c>
      <c r="LL4">
        <v>0</v>
      </c>
      <c r="LM4">
        <v>0</v>
      </c>
      <c r="LN4">
        <v>0</v>
      </c>
      <c r="LO4">
        <v>0</v>
      </c>
      <c r="LP4">
        <v>0</v>
      </c>
      <c r="LQ4">
        <v>0</v>
      </c>
      <c r="LR4">
        <v>0</v>
      </c>
      <c r="LS4">
        <v>0</v>
      </c>
      <c r="LT4">
        <v>0</v>
      </c>
      <c r="LU4">
        <v>0</v>
      </c>
      <c r="LV4">
        <v>0</v>
      </c>
      <c r="LW4">
        <v>0</v>
      </c>
      <c r="LX4">
        <v>0</v>
      </c>
      <c r="LY4">
        <v>0</v>
      </c>
      <c r="LZ4">
        <v>0</v>
      </c>
      <c r="MA4">
        <v>0</v>
      </c>
      <c r="MB4">
        <v>0</v>
      </c>
      <c r="MC4">
        <v>0</v>
      </c>
      <c r="MD4">
        <v>0</v>
      </c>
      <c r="ME4">
        <v>0</v>
      </c>
      <c r="MF4">
        <v>0</v>
      </c>
      <c r="MG4">
        <v>0</v>
      </c>
      <c r="MH4">
        <v>0</v>
      </c>
      <c r="MI4">
        <v>0</v>
      </c>
      <c r="MJ4">
        <v>0</v>
      </c>
      <c r="MK4">
        <v>0</v>
      </c>
      <c r="ML4">
        <v>0</v>
      </c>
      <c r="MM4">
        <v>0</v>
      </c>
      <c r="MN4">
        <v>0</v>
      </c>
      <c r="MO4">
        <v>0</v>
      </c>
      <c r="MP4">
        <v>0</v>
      </c>
      <c r="MQ4">
        <v>0</v>
      </c>
      <c r="MR4">
        <v>0</v>
      </c>
      <c r="MS4">
        <v>0</v>
      </c>
      <c r="MT4">
        <v>0</v>
      </c>
      <c r="MU4">
        <v>0</v>
      </c>
      <c r="MV4">
        <v>0</v>
      </c>
      <c r="MW4">
        <v>0</v>
      </c>
      <c r="MX4">
        <v>0</v>
      </c>
      <c r="MY4">
        <v>0</v>
      </c>
      <c r="MZ4">
        <v>0</v>
      </c>
      <c r="NA4">
        <v>0</v>
      </c>
      <c r="NB4">
        <v>0</v>
      </c>
      <c r="NC4">
        <v>0</v>
      </c>
      <c r="ND4">
        <v>0</v>
      </c>
      <c r="NE4">
        <v>0</v>
      </c>
      <c r="NF4">
        <v>0</v>
      </c>
      <c r="NG4">
        <v>0</v>
      </c>
      <c r="NH4">
        <v>0</v>
      </c>
      <c r="NI4">
        <v>0</v>
      </c>
      <c r="NJ4">
        <v>0</v>
      </c>
      <c r="NK4">
        <v>0</v>
      </c>
      <c r="NL4">
        <v>0</v>
      </c>
      <c r="NM4">
        <v>0</v>
      </c>
      <c r="NN4">
        <v>0</v>
      </c>
      <c r="NO4">
        <v>0</v>
      </c>
      <c r="NP4">
        <v>0</v>
      </c>
      <c r="NQ4">
        <v>0</v>
      </c>
      <c r="NR4">
        <v>0</v>
      </c>
      <c r="NS4">
        <v>0</v>
      </c>
      <c r="NT4">
        <v>0</v>
      </c>
      <c r="NU4">
        <v>0</v>
      </c>
      <c r="NV4">
        <v>0</v>
      </c>
      <c r="NW4">
        <v>0</v>
      </c>
      <c r="NX4">
        <v>0</v>
      </c>
      <c r="NY4">
        <v>0</v>
      </c>
      <c r="NZ4">
        <v>0</v>
      </c>
      <c r="OA4">
        <v>0</v>
      </c>
      <c r="OB4">
        <v>0</v>
      </c>
      <c r="OC4">
        <v>0</v>
      </c>
      <c r="OD4">
        <v>0</v>
      </c>
      <c r="OE4">
        <v>0</v>
      </c>
      <c r="OF4">
        <v>0</v>
      </c>
      <c r="OG4">
        <v>0</v>
      </c>
      <c r="OH4">
        <v>0</v>
      </c>
      <c r="OI4">
        <v>0</v>
      </c>
      <c r="OJ4">
        <v>0</v>
      </c>
      <c r="OK4">
        <v>0</v>
      </c>
      <c r="OL4">
        <v>0</v>
      </c>
      <c r="OM4">
        <v>0</v>
      </c>
      <c r="ON4">
        <v>0</v>
      </c>
      <c r="OO4">
        <v>0</v>
      </c>
      <c r="OP4">
        <v>0</v>
      </c>
      <c r="OQ4">
        <v>0</v>
      </c>
      <c r="OR4">
        <v>0</v>
      </c>
      <c r="OS4">
        <v>0</v>
      </c>
      <c r="OT4">
        <v>0</v>
      </c>
      <c r="OU4">
        <v>0</v>
      </c>
      <c r="OV4">
        <v>0</v>
      </c>
      <c r="OW4">
        <v>0</v>
      </c>
      <c r="OX4">
        <v>0</v>
      </c>
      <c r="OY4">
        <v>0</v>
      </c>
      <c r="OZ4">
        <v>0</v>
      </c>
      <c r="PA4">
        <v>0</v>
      </c>
      <c r="PB4">
        <v>0</v>
      </c>
      <c r="PC4">
        <v>0</v>
      </c>
      <c r="PD4">
        <v>0</v>
      </c>
      <c r="PE4">
        <v>0</v>
      </c>
      <c r="PF4">
        <v>0</v>
      </c>
      <c r="PG4">
        <v>0</v>
      </c>
      <c r="PH4">
        <v>0</v>
      </c>
      <c r="PI4">
        <v>0</v>
      </c>
      <c r="PJ4">
        <v>0</v>
      </c>
      <c r="PK4">
        <v>0</v>
      </c>
      <c r="PL4">
        <v>0</v>
      </c>
      <c r="PM4">
        <v>0</v>
      </c>
      <c r="PN4">
        <v>0</v>
      </c>
      <c r="PO4">
        <v>0</v>
      </c>
      <c r="PP4">
        <v>0</v>
      </c>
      <c r="PQ4">
        <v>0</v>
      </c>
      <c r="PR4">
        <v>0</v>
      </c>
      <c r="PS4">
        <v>0</v>
      </c>
      <c r="PT4">
        <v>0</v>
      </c>
      <c r="PU4">
        <v>0</v>
      </c>
      <c r="PV4">
        <v>0</v>
      </c>
      <c r="PW4">
        <v>0</v>
      </c>
      <c r="PX4">
        <v>0</v>
      </c>
      <c r="PY4">
        <v>0</v>
      </c>
      <c r="PZ4">
        <v>0</v>
      </c>
      <c r="QA4">
        <v>0</v>
      </c>
      <c r="QB4">
        <v>0</v>
      </c>
      <c r="QC4">
        <v>0</v>
      </c>
      <c r="QD4">
        <v>0</v>
      </c>
      <c r="QE4">
        <v>0</v>
      </c>
      <c r="QF4">
        <v>0</v>
      </c>
      <c r="QG4">
        <v>0</v>
      </c>
      <c r="QH4">
        <v>0</v>
      </c>
      <c r="QI4">
        <v>0</v>
      </c>
      <c r="QJ4">
        <v>0</v>
      </c>
      <c r="QK4">
        <v>0</v>
      </c>
    </row>
    <row r="5" spans="1:454" x14ac:dyDescent="0.25">
      <c r="A5">
        <v>6.8465999999998504</v>
      </c>
      <c r="B5">
        <v>8.1192489029822408</v>
      </c>
      <c r="C5">
        <v>9.3884291599090393</v>
      </c>
      <c r="D5">
        <v>10.654089400964599</v>
      </c>
      <c r="E5">
        <v>11.916178256333</v>
      </c>
      <c r="F5">
        <v>13.174644356198399</v>
      </c>
      <c r="G5">
        <v>14.4294363307454</v>
      </c>
      <c r="H5">
        <v>15.6805028101577</v>
      </c>
      <c r="I5">
        <v>16.927792424619899</v>
      </c>
      <c r="J5">
        <v>18.171253804316301</v>
      </c>
      <c r="K5">
        <v>19.410835579431001</v>
      </c>
      <c r="L5">
        <v>20.646486380147898</v>
      </c>
      <c r="M5">
        <v>21.878154836651699</v>
      </c>
      <c r="N5">
        <v>23.105789579126402</v>
      </c>
      <c r="O5">
        <v>24.329339237756098</v>
      </c>
      <c r="P5">
        <v>25.548752442725199</v>
      </c>
      <c r="Q5">
        <v>26.763977824217999</v>
      </c>
      <c r="R5">
        <v>27.9749640124185</v>
      </c>
      <c r="S5">
        <v>29.181659637511</v>
      </c>
      <c r="T5">
        <v>30.384013329679799</v>
      </c>
      <c r="U5">
        <v>31.581973719109001</v>
      </c>
      <c r="V5">
        <v>32.775489435982998</v>
      </c>
      <c r="W5">
        <v>33.9645091104858</v>
      </c>
      <c r="X5">
        <v>34.487785621367301</v>
      </c>
      <c r="Y5">
        <v>34.646134140763401</v>
      </c>
      <c r="Z5">
        <v>34.803687689637897</v>
      </c>
      <c r="AA5">
        <v>34.960445993126399</v>
      </c>
      <c r="AB5">
        <v>35.116408776363997</v>
      </c>
      <c r="AC5">
        <v>35.271575764486201</v>
      </c>
      <c r="AD5">
        <v>35.4259466826284</v>
      </c>
      <c r="AE5">
        <v>35.579521255925798</v>
      </c>
      <c r="AF5">
        <v>35.732299209513997</v>
      </c>
      <c r="AG5">
        <v>35.884280268528002</v>
      </c>
      <c r="AH5">
        <v>36.035464158103501</v>
      </c>
      <c r="AI5">
        <v>36.185850603375698</v>
      </c>
      <c r="AJ5">
        <v>36.335439329480003</v>
      </c>
      <c r="AK5">
        <v>36.484230061551798</v>
      </c>
      <c r="AL5">
        <v>36.632222524726302</v>
      </c>
      <c r="AM5">
        <v>36.779416444139002</v>
      </c>
      <c r="AN5">
        <v>36.925811544925203</v>
      </c>
      <c r="AO5">
        <v>37.0714075522203</v>
      </c>
      <c r="AP5">
        <v>37.216204191159697</v>
      </c>
      <c r="AQ5">
        <v>37.360201186878598</v>
      </c>
      <c r="AR5">
        <v>37.503398264512398</v>
      </c>
      <c r="AS5">
        <v>37.645795149196701</v>
      </c>
      <c r="AT5">
        <v>37.787391566066603</v>
      </c>
      <c r="AU5">
        <v>37.928187240257401</v>
      </c>
      <c r="AV5">
        <v>38.068181896904797</v>
      </c>
      <c r="AW5">
        <v>38.207375261143802</v>
      </c>
      <c r="AX5">
        <v>38.345767058109899</v>
      </c>
      <c r="AY5">
        <v>38.483357012938498</v>
      </c>
      <c r="AZ5">
        <v>38.620144850764902</v>
      </c>
      <c r="BA5">
        <v>38.7561302967245</v>
      </c>
      <c r="BB5">
        <v>38.891313075952702</v>
      </c>
      <c r="BC5">
        <v>39.025692913584699</v>
      </c>
      <c r="BD5">
        <v>39.159269534756</v>
      </c>
      <c r="BE5">
        <v>39.292042664601901</v>
      </c>
      <c r="BF5">
        <v>39.424012028257799</v>
      </c>
      <c r="BG5">
        <v>39.555177350858997</v>
      </c>
      <c r="BH5">
        <v>39.685538357540899</v>
      </c>
      <c r="BI5">
        <v>39.815094773438801</v>
      </c>
      <c r="BJ5">
        <v>39.943846323688199</v>
      </c>
      <c r="BK5">
        <v>40.071792733424303</v>
      </c>
      <c r="BL5">
        <v>40.198933727782503</v>
      </c>
      <c r="BM5">
        <v>40.325269031898202</v>
      </c>
      <c r="BN5">
        <v>40.450798370906703</v>
      </c>
      <c r="BO5">
        <v>40.575521469943503</v>
      </c>
      <c r="BP5">
        <v>40.699438054143798</v>
      </c>
      <c r="BQ5">
        <v>40.822547848642998</v>
      </c>
      <c r="BR5">
        <v>40.944850578576499</v>
      </c>
      <c r="BS5">
        <v>41.066345969079698</v>
      </c>
      <c r="BT5">
        <v>41.187033745287799</v>
      </c>
      <c r="BU5">
        <v>41.306913632336197</v>
      </c>
      <c r="BV5">
        <v>41.425985355360403</v>
      </c>
      <c r="BW5">
        <v>41.544248639495699</v>
      </c>
      <c r="BX5">
        <v>41.661703209877302</v>
      </c>
      <c r="BY5">
        <v>41.778348791640703</v>
      </c>
      <c r="BZ5">
        <v>41.894185109921303</v>
      </c>
      <c r="CA5">
        <v>42.009211889854399</v>
      </c>
      <c r="CB5">
        <v>42.123428856575302</v>
      </c>
      <c r="CC5">
        <v>42.236835735219501</v>
      </c>
      <c r="CD5">
        <v>42.349432250922199</v>
      </c>
      <c r="CE5">
        <v>42.4612181288188</v>
      </c>
      <c r="CF5">
        <v>42.572193094044898</v>
      </c>
      <c r="CG5">
        <v>42.682356871735401</v>
      </c>
      <c r="CH5">
        <v>42.7917091870261</v>
      </c>
      <c r="CI5">
        <v>42.900249765052003</v>
      </c>
      <c r="CJ5">
        <v>43.007978330948703</v>
      </c>
      <c r="CK5">
        <v>43.114894609851397</v>
      </c>
      <c r="CL5">
        <v>43.220998326895803</v>
      </c>
      <c r="CM5">
        <v>43.326289207216703</v>
      </c>
      <c r="CN5">
        <v>43.430766975949901</v>
      </c>
      <c r="CO5">
        <v>43.534431358230599</v>
      </c>
      <c r="CP5">
        <v>43.6372820791942</v>
      </c>
      <c r="CQ5">
        <v>43.739318863976003</v>
      </c>
      <c r="CR5">
        <v>43.840541437711401</v>
      </c>
      <c r="CS5">
        <v>43.9409495255357</v>
      </c>
      <c r="CT5">
        <v>44.040542852584402</v>
      </c>
      <c r="CU5">
        <v>44.139321143992802</v>
      </c>
      <c r="CV5">
        <v>44.2372841248961</v>
      </c>
      <c r="CW5">
        <v>44.334431520429803</v>
      </c>
      <c r="CX5">
        <v>44.430763055729301</v>
      </c>
      <c r="CY5">
        <v>44.526278455929898</v>
      </c>
      <c r="CZ5">
        <v>44.620977446166997</v>
      </c>
      <c r="DA5">
        <v>44.714859751575801</v>
      </c>
      <c r="DB5">
        <v>44.8079250972919</v>
      </c>
      <c r="DC5">
        <v>44.900173208450397</v>
      </c>
      <c r="DD5">
        <v>44.991603810186902</v>
      </c>
      <c r="DE5">
        <v>45.082216627636598</v>
      </c>
      <c r="DF5">
        <v>45.172011385934901</v>
      </c>
      <c r="DG5">
        <v>45.260987810217202</v>
      </c>
      <c r="DH5">
        <v>45.349145625618902</v>
      </c>
      <c r="DI5">
        <v>45.4364845572752</v>
      </c>
      <c r="DJ5">
        <v>45.523004330321598</v>
      </c>
      <c r="DK5">
        <v>45.608704669893299</v>
      </c>
      <c r="DL5">
        <v>45.6935853011258</v>
      </c>
      <c r="DM5">
        <v>45.777645949154497</v>
      </c>
      <c r="DN5">
        <v>45.8608863391146</v>
      </c>
      <c r="DO5">
        <v>45.943306196141499</v>
      </c>
      <c r="DP5">
        <v>46.024905245370697</v>
      </c>
      <c r="DQ5">
        <v>46.105683211937396</v>
      </c>
      <c r="DR5">
        <v>46.185639820977002</v>
      </c>
      <c r="DS5">
        <v>46.264774797624902</v>
      </c>
      <c r="DT5">
        <v>46.343087867016401</v>
      </c>
      <c r="DU5">
        <v>46.420578754287</v>
      </c>
      <c r="DV5">
        <v>46.497247184571798</v>
      </c>
      <c r="DW5">
        <v>46.573092883006296</v>
      </c>
      <c r="DX5">
        <v>46.6481155747259</v>
      </c>
      <c r="DY5">
        <v>46.722314984866003</v>
      </c>
      <c r="DZ5">
        <v>46.795690838561796</v>
      </c>
      <c r="EA5">
        <v>46.868242860948698</v>
      </c>
      <c r="EB5">
        <v>46.939970777162202</v>
      </c>
      <c r="EC5">
        <v>47.010874312337499</v>
      </c>
      <c r="ED5">
        <v>47.08095319161</v>
      </c>
      <c r="EE5">
        <v>47.1502071401151</v>
      </c>
      <c r="EF5">
        <v>47.218635882988103</v>
      </c>
      <c r="EG5">
        <v>47.2863854974199</v>
      </c>
      <c r="EH5">
        <v>47.353603426237001</v>
      </c>
      <c r="EI5">
        <v>47.420291443028098</v>
      </c>
      <c r="EJ5">
        <v>47.486451321381701</v>
      </c>
      <c r="EK5">
        <v>47.552084834886699</v>
      </c>
      <c r="EL5">
        <v>47.617193757131602</v>
      </c>
      <c r="EM5">
        <v>47.681779861705202</v>
      </c>
      <c r="EN5">
        <v>47.745844922196099</v>
      </c>
      <c r="EO5">
        <v>47.809390712193</v>
      </c>
      <c r="EP5">
        <v>47.872419005284698</v>
      </c>
      <c r="EQ5">
        <v>47.934931575059601</v>
      </c>
      <c r="ER5">
        <v>47.9969301951066</v>
      </c>
      <c r="ES5">
        <v>48.058416639014297</v>
      </c>
      <c r="ET5">
        <v>48.119392680371497</v>
      </c>
      <c r="EU5">
        <v>48.179860092766503</v>
      </c>
      <c r="EV5">
        <v>48.239820649788498</v>
      </c>
      <c r="EW5">
        <v>48.299276125025798</v>
      </c>
      <c r="EX5">
        <v>48.358228292067302</v>
      </c>
      <c r="EY5">
        <v>48.416678924501497</v>
      </c>
      <c r="EZ5">
        <v>48.474629795917203</v>
      </c>
      <c r="FA5">
        <v>48.532082679903098</v>
      </c>
      <c r="FB5">
        <v>48.589039350047699</v>
      </c>
      <c r="FC5">
        <v>48.645501579939797</v>
      </c>
      <c r="FD5">
        <v>48.701471143168099</v>
      </c>
      <c r="FE5">
        <v>48.756949813321199</v>
      </c>
      <c r="FF5">
        <v>48.811939363987896</v>
      </c>
      <c r="FG5">
        <v>48.866441568756798</v>
      </c>
      <c r="FH5">
        <v>48.920458201216597</v>
      </c>
      <c r="FI5">
        <v>48.973991034955901</v>
      </c>
      <c r="FJ5">
        <v>49.027041843563403</v>
      </c>
      <c r="FK5">
        <v>49.079612400627902</v>
      </c>
      <c r="FL5">
        <v>49.131704479737998</v>
      </c>
      <c r="FM5">
        <v>49.183319854482299</v>
      </c>
      <c r="FN5">
        <v>49.234460298449498</v>
      </c>
      <c r="FO5">
        <v>49.285127585228402</v>
      </c>
      <c r="FP5">
        <v>49.335323488407496</v>
      </c>
      <c r="FQ5">
        <v>49.385049781575702</v>
      </c>
      <c r="FR5">
        <v>49.434308238321499</v>
      </c>
      <c r="FS5">
        <v>49.4831006322337</v>
      </c>
      <c r="FT5">
        <v>49.531428736900899</v>
      </c>
      <c r="FU5">
        <v>49.579294325911697</v>
      </c>
      <c r="FV5">
        <v>49.626699172854899</v>
      </c>
      <c r="FW5">
        <v>49.673645051319198</v>
      </c>
      <c r="FX5">
        <v>49.720133734893203</v>
      </c>
      <c r="FY5">
        <v>49.766166997165499</v>
      </c>
      <c r="FZ5">
        <v>49.811746611724999</v>
      </c>
      <c r="GA5">
        <v>49.856874352160197</v>
      </c>
      <c r="GB5">
        <v>49.901551992059801</v>
      </c>
      <c r="GC5">
        <v>49.945781305012503</v>
      </c>
      <c r="GD5">
        <v>49.989564064607102</v>
      </c>
      <c r="GE5">
        <v>50.032902044432198</v>
      </c>
      <c r="GF5">
        <v>50.075797018076202</v>
      </c>
      <c r="GG5">
        <v>50.118250759128202</v>
      </c>
      <c r="GH5">
        <v>50.1602650411767</v>
      </c>
      <c r="GI5">
        <v>50.201841637810297</v>
      </c>
      <c r="GJ5">
        <v>50.242982322617799</v>
      </c>
      <c r="GK5">
        <v>50.283688869187799</v>
      </c>
      <c r="GL5">
        <v>50.323963051108997</v>
      </c>
      <c r="GM5">
        <v>50.3638066419701</v>
      </c>
      <c r="GN5">
        <v>50.403221415359702</v>
      </c>
      <c r="GO5">
        <v>50.442209144866602</v>
      </c>
      <c r="GP5">
        <v>50.4807716040795</v>
      </c>
      <c r="GQ5">
        <v>50.518910566586797</v>
      </c>
      <c r="GR5">
        <v>50.556627805977499</v>
      </c>
      <c r="GS5">
        <v>50.593925095840198</v>
      </c>
      <c r="GT5">
        <v>50.630804209763397</v>
      </c>
      <c r="GU5">
        <v>50.667266921336001</v>
      </c>
      <c r="GV5">
        <v>50.703315004146503</v>
      </c>
      <c r="GW5">
        <v>50.738950231783797</v>
      </c>
      <c r="GX5">
        <v>50.774174377836303</v>
      </c>
      <c r="GY5">
        <v>50.8089892158929</v>
      </c>
      <c r="GZ5">
        <v>50.843396519542097</v>
      </c>
      <c r="HA5">
        <v>50.877398062372698</v>
      </c>
      <c r="HB5">
        <v>50.910995617973498</v>
      </c>
      <c r="HC5">
        <v>50.944190959932797</v>
      </c>
      <c r="HD5">
        <v>50.976985861839601</v>
      </c>
      <c r="HE5">
        <v>51.009382097282497</v>
      </c>
      <c r="HF5">
        <v>51.041381439850198</v>
      </c>
      <c r="HG5">
        <v>51.072985663131298</v>
      </c>
      <c r="HH5">
        <v>51.104196540714398</v>
      </c>
      <c r="HI5">
        <v>51.135015846188402</v>
      </c>
      <c r="HJ5">
        <v>51.165445353141898</v>
      </c>
      <c r="HK5">
        <v>51.1954868351635</v>
      </c>
      <c r="HL5">
        <v>51.225142065841901</v>
      </c>
      <c r="HM5">
        <v>51.2544128187658</v>
      </c>
      <c r="HN5">
        <v>51.283300867523998</v>
      </c>
      <c r="HO5">
        <v>51.311807985704903</v>
      </c>
      <c r="HP5">
        <v>51.339935946897398</v>
      </c>
      <c r="HQ5">
        <v>51.3676865246901</v>
      </c>
      <c r="HR5">
        <v>51.395061492671701</v>
      </c>
      <c r="HS5">
        <v>51.4220626244309</v>
      </c>
      <c r="HT5">
        <v>51.448691693556199</v>
      </c>
      <c r="HU5">
        <v>51.474950473636603</v>
      </c>
      <c r="HV5">
        <v>51.5008407382605</v>
      </c>
      <c r="HW5">
        <v>51.526364261016703</v>
      </c>
      <c r="HX5">
        <v>51.551522815493897</v>
      </c>
      <c r="HY5">
        <v>51.576318175280697</v>
      </c>
      <c r="HZ5">
        <v>51.600752113965797</v>
      </c>
      <c r="IA5">
        <v>51.624826405137902</v>
      </c>
      <c r="IB5">
        <v>51.6485428223857</v>
      </c>
      <c r="IC5">
        <v>51.671903139297697</v>
      </c>
      <c r="ID5">
        <v>51.6949091294629</v>
      </c>
      <c r="IE5">
        <v>51.717562566469702</v>
      </c>
      <c r="IF5">
        <v>51.739865223906897</v>
      </c>
      <c r="IG5">
        <v>51.761818875363097</v>
      </c>
      <c r="IH5">
        <v>51.783425294427097</v>
      </c>
      <c r="II5">
        <v>51.804686254687503</v>
      </c>
      <c r="IJ5">
        <v>51.825603529733002</v>
      </c>
      <c r="IK5">
        <v>51.846178893152199</v>
      </c>
      <c r="IL5">
        <v>51.866414118533903</v>
      </c>
      <c r="IM5">
        <v>51.8863109794667</v>
      </c>
      <c r="IN5">
        <v>51.905871249539203</v>
      </c>
      <c r="IO5">
        <v>51.925096702340298</v>
      </c>
      <c r="IP5">
        <v>51.9439891114585</v>
      </c>
      <c r="IQ5">
        <v>51.9625502504826</v>
      </c>
      <c r="IR5">
        <v>51.980781893001101</v>
      </c>
      <c r="IS5">
        <v>51.998685812602801</v>
      </c>
      <c r="IT5">
        <v>52.0162637828765</v>
      </c>
      <c r="IU5">
        <v>52.033517577410599</v>
      </c>
      <c r="IV5">
        <v>52.050448969793898</v>
      </c>
      <c r="IW5">
        <v>52.067059733615203</v>
      </c>
      <c r="IX5">
        <v>52.083351642463001</v>
      </c>
      <c r="IY5">
        <v>52.099326469926098</v>
      </c>
      <c r="IZ5">
        <v>52.114985989593102</v>
      </c>
      <c r="JA5">
        <v>52.130331975052698</v>
      </c>
      <c r="JB5">
        <v>52.145366199893601</v>
      </c>
      <c r="JC5">
        <v>52.160090437704497</v>
      </c>
      <c r="JD5">
        <v>52.1745064620739</v>
      </c>
      <c r="JE5">
        <v>52.188616046590703</v>
      </c>
      <c r="JF5">
        <v>52.202420964843498</v>
      </c>
      <c r="JG5">
        <v>52.215922990420999</v>
      </c>
      <c r="JH5">
        <v>52.229123896911801</v>
      </c>
      <c r="JI5">
        <v>52.242025457904603</v>
      </c>
      <c r="JJ5">
        <v>52.254629446988098</v>
      </c>
      <c r="JK5">
        <v>52.266937637750999</v>
      </c>
      <c r="JL5">
        <v>52.278951803782</v>
      </c>
      <c r="JM5">
        <v>52.290673718669801</v>
      </c>
      <c r="JN5">
        <v>52.302105156002902</v>
      </c>
      <c r="JO5">
        <v>52.313247889370103</v>
      </c>
      <c r="JP5">
        <v>52.324103692359998</v>
      </c>
      <c r="JQ5">
        <v>52.334674338561499</v>
      </c>
      <c r="JR5">
        <v>52.344961601563</v>
      </c>
      <c r="JS5">
        <v>52.354967254953401</v>
      </c>
      <c r="JT5">
        <v>52.364693072321202</v>
      </c>
      <c r="JU5">
        <v>52.374140827255196</v>
      </c>
      <c r="JV5">
        <v>52.383312293343998</v>
      </c>
      <c r="JW5">
        <v>52.392209244176399</v>
      </c>
      <c r="JX5">
        <v>52.400833453340901</v>
      </c>
      <c r="JY5">
        <v>52.409186694426197</v>
      </c>
      <c r="JZ5">
        <v>52.417270741021198</v>
      </c>
      <c r="KA5">
        <v>52.425087366714401</v>
      </c>
      <c r="KB5">
        <v>52.432638345094396</v>
      </c>
      <c r="KC5">
        <v>52.43992544975</v>
      </c>
      <c r="KD5">
        <v>52.446950454269903</v>
      </c>
      <c r="KE5">
        <v>52.453715132242699</v>
      </c>
      <c r="KF5">
        <v>52.460221257257203</v>
      </c>
      <c r="KG5">
        <v>52.466470602902</v>
      </c>
      <c r="KH5">
        <v>52.472464942765598</v>
      </c>
      <c r="KI5">
        <v>52.478206050436903</v>
      </c>
      <c r="KJ5">
        <v>52.483695699504601</v>
      </c>
      <c r="KK5">
        <v>52.4889356635572</v>
      </c>
      <c r="KL5">
        <v>52.493927716183499</v>
      </c>
      <c r="KM5">
        <v>52.4986736309721</v>
      </c>
      <c r="KN5">
        <v>52.503175181511899</v>
      </c>
      <c r="KO5">
        <v>52.5074341413913</v>
      </c>
      <c r="KP5">
        <v>52.511452284199102</v>
      </c>
      <c r="KQ5">
        <v>52.515231383523897</v>
      </c>
      <c r="KR5">
        <v>52.5187732129545</v>
      </c>
      <c r="KS5">
        <v>52.522079546079503</v>
      </c>
      <c r="KT5">
        <v>52.5251521564877</v>
      </c>
      <c r="KU5">
        <v>52.527992817767498</v>
      </c>
      <c r="KV5">
        <v>52.530603303507903</v>
      </c>
      <c r="KW5">
        <v>52.532985387297302</v>
      </c>
      <c r="KX5">
        <v>52.535140842724601</v>
      </c>
      <c r="KY5">
        <v>52.537071443378302</v>
      </c>
      <c r="KZ5">
        <v>52.538778962847204</v>
      </c>
      <c r="LA5">
        <v>52.540265174719998</v>
      </c>
      <c r="LB5">
        <v>52.541531852585301</v>
      </c>
      <c r="LC5">
        <v>52.542580770031797</v>
      </c>
      <c r="LD5">
        <v>52.543413700648102</v>
      </c>
      <c r="LE5">
        <v>52.544032418023001</v>
      </c>
      <c r="LF5">
        <v>52.5444386957451</v>
      </c>
      <c r="LG5">
        <v>52.544634307403101</v>
      </c>
      <c r="LH5">
        <v>52.544621026585702</v>
      </c>
      <c r="LI5">
        <v>52.544400626881597</v>
      </c>
      <c r="LJ5">
        <v>52.5439748818794</v>
      </c>
      <c r="LK5">
        <v>52.543345565167698</v>
      </c>
      <c r="LL5">
        <v>52.542514450335403</v>
      </c>
      <c r="LM5">
        <v>52.541483310971103</v>
      </c>
      <c r="LN5">
        <v>52.540253920663503</v>
      </c>
      <c r="LO5">
        <v>52.538828053001097</v>
      </c>
      <c r="LP5">
        <v>52.5372074815728</v>
      </c>
      <c r="LQ5">
        <v>52.535393979966997</v>
      </c>
      <c r="LR5">
        <v>52.533389321772702</v>
      </c>
      <c r="LS5">
        <v>52.531195280578501</v>
      </c>
      <c r="LT5">
        <v>52.528813629972902</v>
      </c>
      <c r="LU5">
        <v>52.526246143544697</v>
      </c>
      <c r="LV5">
        <v>52.5234945948826</v>
      </c>
      <c r="LW5">
        <v>52.520560757575197</v>
      </c>
      <c r="LX5">
        <v>52.517446405211302</v>
      </c>
      <c r="LY5">
        <v>52.514153311379502</v>
      </c>
      <c r="LZ5">
        <v>52.510683249668404</v>
      </c>
      <c r="MA5">
        <v>52.507037993666799</v>
      </c>
      <c r="MB5">
        <v>52.503219316963303</v>
      </c>
      <c r="MC5">
        <v>52.499228993146602</v>
      </c>
      <c r="MD5">
        <v>52.495068795805501</v>
      </c>
      <c r="ME5">
        <v>52.490740498528503</v>
      </c>
      <c r="MF5">
        <v>52.486245874904299</v>
      </c>
      <c r="MG5">
        <v>52.481586698521603</v>
      </c>
      <c r="MH5">
        <v>52.476764742969202</v>
      </c>
      <c r="MI5">
        <v>52.471781781835702</v>
      </c>
      <c r="MJ5">
        <v>52.466639588709597</v>
      </c>
      <c r="MK5">
        <v>52.461339937179801</v>
      </c>
      <c r="ML5">
        <v>52.455884600834999</v>
      </c>
      <c r="MM5">
        <v>52.450275353263699</v>
      </c>
      <c r="MN5">
        <v>52.4445139680547</v>
      </c>
      <c r="MO5">
        <v>52.438602218796603</v>
      </c>
      <c r="MP5">
        <v>52.432541879078201</v>
      </c>
      <c r="MQ5">
        <v>52.426334722488001</v>
      </c>
      <c r="MR5">
        <v>52.419982522614802</v>
      </c>
      <c r="MS5">
        <v>52.413487053047199</v>
      </c>
      <c r="MT5">
        <v>52.406850087374103</v>
      </c>
      <c r="MU5">
        <v>52.400073399183803</v>
      </c>
      <c r="MV5">
        <v>52.393158762065397</v>
      </c>
      <c r="MW5">
        <v>52.386107949607201</v>
      </c>
      <c r="MX5">
        <v>52.378922735398099</v>
      </c>
      <c r="MY5">
        <v>52.371604893026699</v>
      </c>
      <c r="MZ5">
        <v>52.364156196081801</v>
      </c>
      <c r="NA5">
        <v>52.356578418151798</v>
      </c>
      <c r="NB5">
        <v>52.348873332825598</v>
      </c>
      <c r="NC5">
        <v>52.341042713691898</v>
      </c>
      <c r="ND5">
        <v>52.333088334339301</v>
      </c>
      <c r="NE5">
        <v>52.325011968356399</v>
      </c>
      <c r="NF5">
        <v>52.316815389332</v>
      </c>
      <c r="NG5">
        <v>52.308500370854802</v>
      </c>
      <c r="NH5">
        <v>52.300068686513299</v>
      </c>
      <c r="NI5">
        <v>52.291522109896398</v>
      </c>
      <c r="NJ5">
        <v>52.2828624145926</v>
      </c>
      <c r="NK5">
        <v>52.274091374190697</v>
      </c>
      <c r="NL5">
        <v>52.265210762279303</v>
      </c>
      <c r="NM5">
        <v>52.256222352447097</v>
      </c>
      <c r="NN5">
        <v>52.2471279182828</v>
      </c>
      <c r="NO5">
        <v>52.237929233374999</v>
      </c>
      <c r="NP5">
        <v>52.2286280713125</v>
      </c>
      <c r="NQ5">
        <v>52.219226205683903</v>
      </c>
      <c r="NR5">
        <v>52.209725410077901</v>
      </c>
      <c r="NS5">
        <v>52.200127458083202</v>
      </c>
      <c r="NT5">
        <v>52.190434123288398</v>
      </c>
      <c r="NU5">
        <v>52.180647179282197</v>
      </c>
      <c r="NV5">
        <v>52.170768399653397</v>
      </c>
      <c r="NW5">
        <v>52.160799557990501</v>
      </c>
      <c r="NX5">
        <v>52.1507424278823</v>
      </c>
      <c r="NY5">
        <v>52.140598782917301</v>
      </c>
      <c r="NZ5">
        <v>52.130370396684398</v>
      </c>
      <c r="OA5">
        <v>52.120059042772297</v>
      </c>
      <c r="OB5">
        <v>52.099833548362497</v>
      </c>
      <c r="OC5">
        <v>52.0601532887678</v>
      </c>
      <c r="OD5">
        <v>52.001455859772499</v>
      </c>
      <c r="OE5">
        <v>51.9241788571615</v>
      </c>
      <c r="OF5">
        <v>51.828759876719303</v>
      </c>
      <c r="OG5">
        <v>51.715636514230802</v>
      </c>
      <c r="OH5">
        <v>51.585246365480302</v>
      </c>
      <c r="OI5">
        <v>51.438027026252698</v>
      </c>
      <c r="OJ5">
        <v>51.274416092332601</v>
      </c>
      <c r="OK5">
        <v>51.094851159504699</v>
      </c>
      <c r="OL5">
        <v>50.899769823553498</v>
      </c>
      <c r="OM5">
        <v>50.689609680263899</v>
      </c>
      <c r="ON5">
        <v>50.4648083254203</v>
      </c>
      <c r="OO5">
        <v>50.225803354807503</v>
      </c>
      <c r="OP5">
        <v>49.973032364210098</v>
      </c>
      <c r="OQ5">
        <v>49.706932949412803</v>
      </c>
      <c r="OR5">
        <v>49.427942706200199</v>
      </c>
      <c r="OS5">
        <v>49.136499230357003</v>
      </c>
      <c r="OT5">
        <v>48.8330401176678</v>
      </c>
      <c r="OU5">
        <v>48.518002963917397</v>
      </c>
      <c r="OV5">
        <v>48.1918253648902</v>
      </c>
      <c r="OW5">
        <v>47.854944916371103</v>
      </c>
      <c r="OX5">
        <v>47.507799214144697</v>
      </c>
      <c r="OY5">
        <v>47.150825853995499</v>
      </c>
      <c r="OZ5">
        <v>46.784462431708299</v>
      </c>
      <c r="PA5">
        <v>46.409146543067699</v>
      </c>
      <c r="PB5">
        <v>46.025315783858403</v>
      </c>
      <c r="PC5">
        <v>45.6334077498651</v>
      </c>
      <c r="PD5">
        <v>45.233860036872201</v>
      </c>
      <c r="PE5">
        <v>44.827110240664702</v>
      </c>
      <c r="PF5">
        <v>44.413595957026999</v>
      </c>
      <c r="PG5">
        <v>43.993754781743903</v>
      </c>
      <c r="PH5">
        <v>43.568024310600002</v>
      </c>
      <c r="PI5">
        <v>43.136842139379901</v>
      </c>
      <c r="PJ5">
        <v>42.700645863868402</v>
      </c>
      <c r="PK5">
        <v>42.259873079849903</v>
      </c>
      <c r="PL5">
        <v>41.814961383109399</v>
      </c>
      <c r="PM5">
        <v>41.3663483694313</v>
      </c>
      <c r="PN5">
        <v>40.914471634600297</v>
      </c>
      <c r="PO5">
        <v>40.459768774401098</v>
      </c>
      <c r="PP5">
        <v>40.002677384618401</v>
      </c>
      <c r="PQ5">
        <v>39.543635061036703</v>
      </c>
      <c r="PR5">
        <v>39.083079399440798</v>
      </c>
      <c r="PS5">
        <v>38.621447995615199</v>
      </c>
      <c r="PT5">
        <v>38.1591784453448</v>
      </c>
      <c r="PU5">
        <v>37.696708344413999</v>
      </c>
      <c r="PV5">
        <v>37.234475288607598</v>
      </c>
      <c r="PW5">
        <v>36.772916873710201</v>
      </c>
      <c r="PX5">
        <v>36.312470695506498</v>
      </c>
      <c r="PY5">
        <v>35.853574349781098</v>
      </c>
      <c r="PZ5">
        <v>34.623175061320502</v>
      </c>
      <c r="QA5">
        <v>32.0025800775459</v>
      </c>
      <c r="QB5">
        <v>29.3944381500114</v>
      </c>
      <c r="QC5">
        <v>26.800961713062701</v>
      </c>
      <c r="QD5">
        <v>24.2243632010452</v>
      </c>
      <c r="QE5">
        <v>21.666855048303699</v>
      </c>
      <c r="QF5">
        <v>19.130649689184299</v>
      </c>
      <c r="QG5">
        <v>16.617959558031998</v>
      </c>
      <c r="QH5">
        <v>14.130997089191901</v>
      </c>
      <c r="QI5">
        <v>11.6719747170098</v>
      </c>
      <c r="QJ5">
        <v>9.24310487583063</v>
      </c>
      <c r="QK5">
        <v>6.8465999999998504</v>
      </c>
    </row>
    <row r="7" spans="1:454" x14ac:dyDescent="0.25">
      <c r="A7">
        <f>SUM(A1:A5)</f>
        <v>6.8465999999998504</v>
      </c>
      <c r="B7">
        <f t="shared" ref="B7:BM7" si="0">SUM(B1:B5)</f>
        <v>8.1192489029822408</v>
      </c>
      <c r="C7">
        <f t="shared" si="0"/>
        <v>9.3884291599090393</v>
      </c>
      <c r="D7">
        <f t="shared" si="0"/>
        <v>10.654089400964599</v>
      </c>
      <c r="E7">
        <f t="shared" si="0"/>
        <v>11.916178256333</v>
      </c>
      <c r="F7">
        <f t="shared" si="0"/>
        <v>13.174644356198399</v>
      </c>
      <c r="G7">
        <f t="shared" si="0"/>
        <v>14.4294363307454</v>
      </c>
      <c r="H7">
        <f t="shared" si="0"/>
        <v>15.6805028101577</v>
      </c>
      <c r="I7">
        <f t="shared" si="0"/>
        <v>16.927792424619899</v>
      </c>
      <c r="J7">
        <f t="shared" si="0"/>
        <v>18.171253804316301</v>
      </c>
      <c r="K7">
        <f t="shared" si="0"/>
        <v>19.410835579431001</v>
      </c>
      <c r="L7">
        <f t="shared" si="0"/>
        <v>20.646486380147898</v>
      </c>
      <c r="M7">
        <f t="shared" si="0"/>
        <v>21.878154836651699</v>
      </c>
      <c r="N7">
        <f t="shared" si="0"/>
        <v>23.105789579126402</v>
      </c>
      <c r="O7">
        <f t="shared" si="0"/>
        <v>24.329339237756098</v>
      </c>
      <c r="P7">
        <f t="shared" si="0"/>
        <v>25.548752442725199</v>
      </c>
      <c r="Q7">
        <f t="shared" si="0"/>
        <v>26.763977824217999</v>
      </c>
      <c r="R7">
        <f t="shared" si="0"/>
        <v>27.9749640124185</v>
      </c>
      <c r="S7">
        <f t="shared" si="0"/>
        <v>29.181659637511</v>
      </c>
      <c r="T7">
        <f t="shared" si="0"/>
        <v>30.384013329679799</v>
      </c>
      <c r="U7">
        <f t="shared" si="0"/>
        <v>31.581973719109001</v>
      </c>
      <c r="V7">
        <f t="shared" si="0"/>
        <v>32.775489435982998</v>
      </c>
      <c r="W7">
        <f t="shared" si="0"/>
        <v>33.9645091104858</v>
      </c>
      <c r="X7">
        <f t="shared" si="0"/>
        <v>35.148981372801735</v>
      </c>
      <c r="Y7">
        <f t="shared" si="0"/>
        <v>36.328854853115203</v>
      </c>
      <c r="Z7">
        <f t="shared" si="0"/>
        <v>37.504078181610041</v>
      </c>
      <c r="AA7">
        <f t="shared" si="0"/>
        <v>38.67459998847076</v>
      </c>
      <c r="AB7">
        <f t="shared" si="0"/>
        <v>39.840368903881441</v>
      </c>
      <c r="AC7">
        <f t="shared" si="0"/>
        <v>41.001333558026424</v>
      </c>
      <c r="AD7">
        <f t="shared" si="0"/>
        <v>42.157442581089789</v>
      </c>
      <c r="AE7">
        <f t="shared" si="0"/>
        <v>43.308644603255757</v>
      </c>
      <c r="AF7">
        <f t="shared" si="0"/>
        <v>44.454888254708806</v>
      </c>
      <c r="AG7">
        <f t="shared" si="0"/>
        <v>45.596122165632885</v>
      </c>
      <c r="AH7">
        <f t="shared" si="0"/>
        <v>46.732294966212301</v>
      </c>
      <c r="AI7">
        <f t="shared" si="0"/>
        <v>47.863355286631297</v>
      </c>
      <c r="AJ7">
        <f t="shared" si="0"/>
        <v>48.9892517570742</v>
      </c>
      <c r="AK7">
        <f t="shared" si="0"/>
        <v>50.109933007724997</v>
      </c>
      <c r="AL7">
        <f t="shared" si="0"/>
        <v>51.225347668768002</v>
      </c>
      <c r="AM7">
        <f t="shared" si="0"/>
        <v>52.335444370387506</v>
      </c>
      <c r="AN7">
        <f t="shared" si="0"/>
        <v>53.440171742767703</v>
      </c>
      <c r="AO7">
        <f t="shared" si="0"/>
        <v>54.539478416092699</v>
      </c>
      <c r="AP7">
        <f t="shared" si="0"/>
        <v>55.633313020546893</v>
      </c>
      <c r="AQ7">
        <f t="shared" si="0"/>
        <v>56.721624186314401</v>
      </c>
      <c r="AR7">
        <f t="shared" si="0"/>
        <v>57.8043605435793</v>
      </c>
      <c r="AS7">
        <f t="shared" si="0"/>
        <v>58.881470722526302</v>
      </c>
      <c r="AT7">
        <f t="shared" si="0"/>
        <v>59.952903353339202</v>
      </c>
      <c r="AU7">
        <f t="shared" si="0"/>
        <v>61.018607066202101</v>
      </c>
      <c r="AV7">
        <f t="shared" si="0"/>
        <v>62.078530491299801</v>
      </c>
      <c r="AW7">
        <f t="shared" si="0"/>
        <v>63.132622258815999</v>
      </c>
      <c r="AX7">
        <f t="shared" si="0"/>
        <v>64.180830998934795</v>
      </c>
      <c r="AY7">
        <f t="shared" si="0"/>
        <v>65.223105341841006</v>
      </c>
      <c r="AZ7">
        <f t="shared" si="0"/>
        <v>66.259393917718697</v>
      </c>
      <c r="BA7">
        <f t="shared" si="0"/>
        <v>67.289645356751492</v>
      </c>
      <c r="BB7">
        <f t="shared" si="0"/>
        <v>68.313808289124495</v>
      </c>
      <c r="BC7">
        <f t="shared" si="0"/>
        <v>69.3318313450212</v>
      </c>
      <c r="BD7">
        <f t="shared" si="0"/>
        <v>70.343663154626299</v>
      </c>
      <c r="BE7">
        <f t="shared" si="0"/>
        <v>71.349252348123699</v>
      </c>
      <c r="BF7">
        <f t="shared" si="0"/>
        <v>72.348547555697905</v>
      </c>
      <c r="BG7">
        <f t="shared" si="0"/>
        <v>73.341497407532898</v>
      </c>
      <c r="BH7">
        <f t="shared" si="0"/>
        <v>74.328050533812927</v>
      </c>
      <c r="BI7">
        <f t="shared" si="0"/>
        <v>75.308155564722369</v>
      </c>
      <c r="BJ7">
        <f t="shared" si="0"/>
        <v>76.281761130445346</v>
      </c>
      <c r="BK7">
        <f t="shared" si="0"/>
        <v>77.248815861166179</v>
      </c>
      <c r="BL7">
        <f t="shared" si="0"/>
        <v>78.209268387068775</v>
      </c>
      <c r="BM7">
        <f t="shared" si="0"/>
        <v>79.163067338337669</v>
      </c>
      <c r="BN7">
        <f t="shared" ref="BN7:DY7" si="1">SUM(BN1:BN5)</f>
        <v>80.110161345156939</v>
      </c>
      <c r="BO7">
        <f t="shared" si="1"/>
        <v>81.050499037711035</v>
      </c>
      <c r="BP7">
        <f t="shared" si="1"/>
        <v>81.984029046183977</v>
      </c>
      <c r="BQ7">
        <f t="shared" si="1"/>
        <v>82.910700000759761</v>
      </c>
      <c r="BR7">
        <f t="shared" si="1"/>
        <v>83.830460531623118</v>
      </c>
      <c r="BS7">
        <f t="shared" si="1"/>
        <v>84.743259268957985</v>
      </c>
      <c r="BT7">
        <f t="shared" si="1"/>
        <v>85.649044842948655</v>
      </c>
      <c r="BU7">
        <f t="shared" si="1"/>
        <v>86.547765883779107</v>
      </c>
      <c r="BV7">
        <f t="shared" si="1"/>
        <v>87.439371021633903</v>
      </c>
      <c r="BW7">
        <f t="shared" si="1"/>
        <v>88.323808886697094</v>
      </c>
      <c r="BX7">
        <f t="shared" si="1"/>
        <v>89.201028109152901</v>
      </c>
      <c r="BY7">
        <f t="shared" si="1"/>
        <v>90.070977319185602</v>
      </c>
      <c r="BZ7">
        <f t="shared" si="1"/>
        <v>90.933605146979303</v>
      </c>
      <c r="CA7">
        <f t="shared" si="1"/>
        <v>91.788860222718299</v>
      </c>
      <c r="CB7">
        <f t="shared" si="1"/>
        <v>92.636691176587007</v>
      </c>
      <c r="CC7">
        <f t="shared" si="1"/>
        <v>93.477046638769394</v>
      </c>
      <c r="CD7">
        <f t="shared" si="1"/>
        <v>94.309875239449696</v>
      </c>
      <c r="CE7">
        <f t="shared" si="1"/>
        <v>95.135125608812203</v>
      </c>
      <c r="CF7">
        <f t="shared" si="1"/>
        <v>95.952746377041194</v>
      </c>
      <c r="CG7">
        <f t="shared" si="1"/>
        <v>96.762686174320805</v>
      </c>
      <c r="CH7">
        <f t="shared" si="1"/>
        <v>97.564893630835201</v>
      </c>
      <c r="CI7">
        <f t="shared" si="1"/>
        <v>98.3593173767688</v>
      </c>
      <c r="CJ7">
        <f t="shared" si="1"/>
        <v>99.145906042305398</v>
      </c>
      <c r="CK7">
        <f t="shared" si="1"/>
        <v>99.9246082576296</v>
      </c>
      <c r="CL7">
        <f t="shared" si="1"/>
        <v>100.69537265292601</v>
      </c>
      <c r="CM7">
        <f t="shared" si="1"/>
        <v>101.4581478583778</v>
      </c>
      <c r="CN7">
        <f t="shared" si="1"/>
        <v>102.2128825041701</v>
      </c>
      <c r="CO7">
        <f t="shared" si="1"/>
        <v>102.95952522048671</v>
      </c>
      <c r="CP7">
        <f t="shared" si="1"/>
        <v>103.69802463751191</v>
      </c>
      <c r="CQ7">
        <f t="shared" si="1"/>
        <v>104.4283293854301</v>
      </c>
      <c r="CR7">
        <f t="shared" si="1"/>
        <v>105.15038809442541</v>
      </c>
      <c r="CS7">
        <f t="shared" si="1"/>
        <v>105.86414939468179</v>
      </c>
      <c r="CT7">
        <f t="shared" si="1"/>
        <v>106.5695619163838</v>
      </c>
      <c r="CU7">
        <f t="shared" si="1"/>
        <v>107.26657428971561</v>
      </c>
      <c r="CV7">
        <f t="shared" si="1"/>
        <v>107.9551351448612</v>
      </c>
      <c r="CW7">
        <f t="shared" si="1"/>
        <v>108.6351931120052</v>
      </c>
      <c r="CX7">
        <f t="shared" si="1"/>
        <v>109.3066968213313</v>
      </c>
      <c r="CY7">
        <f t="shared" si="1"/>
        <v>109.9695949030242</v>
      </c>
      <c r="CZ7">
        <f t="shared" si="1"/>
        <v>110.623835987268</v>
      </c>
      <c r="DA7">
        <f t="shared" si="1"/>
        <v>111.2693687042467</v>
      </c>
      <c r="DB7">
        <f t="shared" si="1"/>
        <v>111.9061416841449</v>
      </c>
      <c r="DC7">
        <f t="shared" si="1"/>
        <v>112.53410355714639</v>
      </c>
      <c r="DD7">
        <f t="shared" si="1"/>
        <v>113.15320295343581</v>
      </c>
      <c r="DE7">
        <f t="shared" si="1"/>
        <v>113.76338850319699</v>
      </c>
      <c r="DF7">
        <f t="shared" si="1"/>
        <v>114.36460883661451</v>
      </c>
      <c r="DG7">
        <f t="shared" si="1"/>
        <v>114.95681258387229</v>
      </c>
      <c r="DH7">
        <f t="shared" si="1"/>
        <v>115.53994837515479</v>
      </c>
      <c r="DI7">
        <f t="shared" si="1"/>
        <v>116.1139648406461</v>
      </c>
      <c r="DJ7">
        <f t="shared" si="1"/>
        <v>116.67881061053059</v>
      </c>
      <c r="DK7">
        <f t="shared" si="1"/>
        <v>117.2344343149919</v>
      </c>
      <c r="DL7">
        <f t="shared" si="1"/>
        <v>117.7807845842151</v>
      </c>
      <c r="DM7">
        <f t="shared" si="1"/>
        <v>118.3178100483839</v>
      </c>
      <c r="DN7">
        <f t="shared" si="1"/>
        <v>118.8454593376828</v>
      </c>
      <c r="DO7">
        <f t="shared" si="1"/>
        <v>119.36368108229559</v>
      </c>
      <c r="DP7">
        <f t="shared" si="1"/>
        <v>119.8724239124071</v>
      </c>
      <c r="DQ7">
        <f t="shared" si="1"/>
        <v>120.3716364582011</v>
      </c>
      <c r="DR7">
        <f t="shared" si="1"/>
        <v>120.86126734986181</v>
      </c>
      <c r="DS7">
        <f t="shared" si="1"/>
        <v>121.34126521757361</v>
      </c>
      <c r="DT7">
        <f t="shared" si="1"/>
        <v>121.81157869152059</v>
      </c>
      <c r="DU7">
        <f t="shared" si="1"/>
        <v>122.2721564018874</v>
      </c>
      <c r="DV7">
        <f t="shared" si="1"/>
        <v>122.72294697885749</v>
      </c>
      <c r="DW7">
        <f t="shared" si="1"/>
        <v>123.1638990526157</v>
      </c>
      <c r="DX7">
        <f t="shared" si="1"/>
        <v>123.5949612533461</v>
      </c>
      <c r="DY7">
        <f t="shared" si="1"/>
        <v>124.0160822112329</v>
      </c>
      <c r="DZ7">
        <f t="shared" ref="DZ7:GK7" si="2">SUM(DZ1:DZ5)</f>
        <v>124.42721055646041</v>
      </c>
      <c r="EA7">
        <f t="shared" si="2"/>
        <v>124.8282949192125</v>
      </c>
      <c r="EB7">
        <f t="shared" si="2"/>
        <v>125.21928392967389</v>
      </c>
      <c r="EC7">
        <f t="shared" si="2"/>
        <v>125.60012621802841</v>
      </c>
      <c r="ED7">
        <f t="shared" si="2"/>
        <v>125.9707704144603</v>
      </c>
      <c r="EE7">
        <f t="shared" si="2"/>
        <v>126.331165149154</v>
      </c>
      <c r="EF7">
        <f t="shared" si="2"/>
        <v>126.68125905229371</v>
      </c>
      <c r="EG7">
        <f t="shared" si="2"/>
        <v>127.0248331425048</v>
      </c>
      <c r="EH7">
        <f t="shared" si="2"/>
        <v>127.3657041990714</v>
      </c>
      <c r="EI7">
        <f t="shared" si="2"/>
        <v>127.7038744931659</v>
      </c>
      <c r="EJ7">
        <f t="shared" si="2"/>
        <v>128.03934629595972</v>
      </c>
      <c r="EK7">
        <f t="shared" si="2"/>
        <v>128.37212187862539</v>
      </c>
      <c r="EL7">
        <f t="shared" si="2"/>
        <v>128.70220351233462</v>
      </c>
      <c r="EM7">
        <f t="shared" si="2"/>
        <v>129.02959346825949</v>
      </c>
      <c r="EN7">
        <f t="shared" si="2"/>
        <v>129.35429401757182</v>
      </c>
      <c r="EO7">
        <f t="shared" si="2"/>
        <v>129.676307431444</v>
      </c>
      <c r="EP7">
        <f t="shared" si="2"/>
        <v>129.99563598104788</v>
      </c>
      <c r="EQ7">
        <f t="shared" si="2"/>
        <v>130.31228193755521</v>
      </c>
      <c r="ER7">
        <f t="shared" si="2"/>
        <v>130.62624757213831</v>
      </c>
      <c r="ES7">
        <f t="shared" si="2"/>
        <v>130.9375351559689</v>
      </c>
      <c r="ET7">
        <f t="shared" si="2"/>
        <v>131.24614696021939</v>
      </c>
      <c r="EU7">
        <f t="shared" si="2"/>
        <v>131.55208525606122</v>
      </c>
      <c r="EV7">
        <f t="shared" si="2"/>
        <v>131.85535231466699</v>
      </c>
      <c r="EW7">
        <f t="shared" si="2"/>
        <v>132.15595040720831</v>
      </c>
      <c r="EX7">
        <f t="shared" si="2"/>
        <v>132.45388180485742</v>
      </c>
      <c r="EY7">
        <f t="shared" si="2"/>
        <v>132.74914877878609</v>
      </c>
      <c r="EZ7">
        <f t="shared" si="2"/>
        <v>133.04175360016649</v>
      </c>
      <c r="FA7">
        <f t="shared" si="2"/>
        <v>133.33169854017081</v>
      </c>
      <c r="FB7">
        <f t="shared" si="2"/>
        <v>133.6189858699704</v>
      </c>
      <c r="FC7">
        <f t="shared" si="2"/>
        <v>133.90361786073791</v>
      </c>
      <c r="FD7">
        <f t="shared" si="2"/>
        <v>134.185596783645</v>
      </c>
      <c r="FE7">
        <f t="shared" si="2"/>
        <v>134.46492490986378</v>
      </c>
      <c r="FF7">
        <f t="shared" si="2"/>
        <v>134.74160451056639</v>
      </c>
      <c r="FG7">
        <f t="shared" si="2"/>
        <v>135.0156378569248</v>
      </c>
      <c r="FH7">
        <f t="shared" si="2"/>
        <v>135.2870272201109</v>
      </c>
      <c r="FI7">
        <f t="shared" si="2"/>
        <v>135.55577487129659</v>
      </c>
      <c r="FJ7">
        <f t="shared" si="2"/>
        <v>135.82188308165399</v>
      </c>
      <c r="FK7">
        <f t="shared" si="2"/>
        <v>136.0853541223552</v>
      </c>
      <c r="FL7">
        <f t="shared" si="2"/>
        <v>136.3461902645723</v>
      </c>
      <c r="FM7">
        <f t="shared" si="2"/>
        <v>136.60439377947699</v>
      </c>
      <c r="FN7">
        <f t="shared" si="2"/>
        <v>136.8599669382414</v>
      </c>
      <c r="FO7">
        <f t="shared" si="2"/>
        <v>137.11291201203758</v>
      </c>
      <c r="FP7">
        <f t="shared" si="2"/>
        <v>137.36323127203741</v>
      </c>
      <c r="FQ7">
        <f t="shared" si="2"/>
        <v>137.61092698941309</v>
      </c>
      <c r="FR7">
        <f t="shared" si="2"/>
        <v>137.85600143533651</v>
      </c>
      <c r="FS7">
        <f t="shared" si="2"/>
        <v>138.0984568809798</v>
      </c>
      <c r="FT7">
        <f t="shared" si="2"/>
        <v>138.3382955975149</v>
      </c>
      <c r="FU7">
        <f t="shared" si="2"/>
        <v>138.5755198561136</v>
      </c>
      <c r="FV7">
        <f t="shared" si="2"/>
        <v>138.81013192794799</v>
      </c>
      <c r="FW7">
        <f t="shared" si="2"/>
        <v>139.04213408419059</v>
      </c>
      <c r="FX7">
        <f t="shared" si="2"/>
        <v>139.27152859601262</v>
      </c>
      <c r="FY7">
        <f t="shared" si="2"/>
        <v>139.49831773458641</v>
      </c>
      <c r="FZ7">
        <f t="shared" si="2"/>
        <v>139.72250377108421</v>
      </c>
      <c r="GA7">
        <f t="shared" si="2"/>
        <v>139.9440889766777</v>
      </c>
      <c r="GB7">
        <f t="shared" si="2"/>
        <v>140.163075622539</v>
      </c>
      <c r="GC7">
        <f t="shared" si="2"/>
        <v>140.37946597984001</v>
      </c>
      <c r="GD7">
        <f t="shared" si="2"/>
        <v>140.59326231975299</v>
      </c>
      <c r="GE7">
        <f t="shared" si="2"/>
        <v>140.80446691344989</v>
      </c>
      <c r="GF7">
        <f t="shared" si="2"/>
        <v>141.0130820321024</v>
      </c>
      <c r="GG7">
        <f t="shared" si="2"/>
        <v>141.21910994688278</v>
      </c>
      <c r="GH7">
        <f t="shared" si="2"/>
        <v>141.422552928963</v>
      </c>
      <c r="GI7">
        <f t="shared" si="2"/>
        <v>141.6234132495151</v>
      </c>
      <c r="GJ7">
        <f t="shared" si="2"/>
        <v>141.82169317971099</v>
      </c>
      <c r="GK7">
        <f t="shared" si="2"/>
        <v>142.01739499072269</v>
      </c>
      <c r="GL7">
        <f t="shared" ref="GL7:IW7" si="3">SUM(GL1:GL5)</f>
        <v>142.21052095372229</v>
      </c>
      <c r="GM7">
        <f t="shared" si="3"/>
        <v>142.40107333988169</v>
      </c>
      <c r="GN7">
        <f t="shared" si="3"/>
        <v>142.58905442037309</v>
      </c>
      <c r="GO7">
        <f t="shared" si="3"/>
        <v>142.77446646636821</v>
      </c>
      <c r="GP7">
        <f t="shared" si="3"/>
        <v>142.95731174903929</v>
      </c>
      <c r="GQ7">
        <f t="shared" si="3"/>
        <v>143.13759253955811</v>
      </c>
      <c r="GR7">
        <f t="shared" si="3"/>
        <v>143.31531110909691</v>
      </c>
      <c r="GS7">
        <f t="shared" si="3"/>
        <v>143.49046972882761</v>
      </c>
      <c r="GT7">
        <f t="shared" si="3"/>
        <v>143.66307066992201</v>
      </c>
      <c r="GU7">
        <f t="shared" si="3"/>
        <v>143.83311620355241</v>
      </c>
      <c r="GV7">
        <f t="shared" si="3"/>
        <v>144.0006086008907</v>
      </c>
      <c r="GW7">
        <f t="shared" si="3"/>
        <v>144.16555013310909</v>
      </c>
      <c r="GX7">
        <f t="shared" si="3"/>
        <v>144.32794307137902</v>
      </c>
      <c r="GY7">
        <f t="shared" si="3"/>
        <v>144.4877896868731</v>
      </c>
      <c r="GZ7">
        <f t="shared" si="3"/>
        <v>144.6450922507629</v>
      </c>
      <c r="HA7">
        <f t="shared" si="3"/>
        <v>144.7998530342208</v>
      </c>
      <c r="HB7">
        <f t="shared" si="3"/>
        <v>144.95207430841859</v>
      </c>
      <c r="HC7">
        <f t="shared" si="3"/>
        <v>145.10175834452809</v>
      </c>
      <c r="HD7">
        <f t="shared" si="3"/>
        <v>145.24890741372181</v>
      </c>
      <c r="HE7">
        <f t="shared" si="3"/>
        <v>145.39352378717129</v>
      </c>
      <c r="HF7">
        <f t="shared" si="3"/>
        <v>145.5356097360488</v>
      </c>
      <c r="HG7">
        <f t="shared" si="3"/>
        <v>145.67516753152631</v>
      </c>
      <c r="HH7">
        <f t="shared" si="3"/>
        <v>145.8121994447755</v>
      </c>
      <c r="HI7">
        <f t="shared" si="3"/>
        <v>145.9467077469688</v>
      </c>
      <c r="HJ7">
        <f t="shared" si="3"/>
        <v>146.0786947092781</v>
      </c>
      <c r="HK7">
        <f t="shared" si="3"/>
        <v>146.20816260287521</v>
      </c>
      <c r="HL7">
        <f t="shared" si="3"/>
        <v>146.3351136989323</v>
      </c>
      <c r="HM7">
        <f t="shared" si="3"/>
        <v>146.45955026862151</v>
      </c>
      <c r="HN7">
        <f t="shared" si="3"/>
        <v>146.58147458311458</v>
      </c>
      <c r="HO7">
        <f t="shared" si="3"/>
        <v>146.70088891358358</v>
      </c>
      <c r="HP7">
        <f t="shared" si="3"/>
        <v>146.8177955312006</v>
      </c>
      <c r="HQ7">
        <f t="shared" si="3"/>
        <v>146.93219670713759</v>
      </c>
      <c r="HR7">
        <f t="shared" si="3"/>
        <v>147.04409471256662</v>
      </c>
      <c r="HS7">
        <f t="shared" si="3"/>
        <v>147.1534918186596</v>
      </c>
      <c r="HT7">
        <f t="shared" si="3"/>
        <v>147.26039029658858</v>
      </c>
      <c r="HU7">
        <f t="shared" si="3"/>
        <v>147.36479241752559</v>
      </c>
      <c r="HV7">
        <f t="shared" si="3"/>
        <v>147.46670045264261</v>
      </c>
      <c r="HW7">
        <f t="shared" si="3"/>
        <v>147.56611667311151</v>
      </c>
      <c r="HX7">
        <f t="shared" si="3"/>
        <v>147.66304335010449</v>
      </c>
      <c r="HY7">
        <f t="shared" si="3"/>
        <v>147.75748275479361</v>
      </c>
      <c r="HZ7">
        <f t="shared" si="3"/>
        <v>147.84943715835061</v>
      </c>
      <c r="IA7">
        <f t="shared" si="3"/>
        <v>147.93890883194769</v>
      </c>
      <c r="IB7">
        <f t="shared" si="3"/>
        <v>148.02590004675679</v>
      </c>
      <c r="IC7">
        <f t="shared" si="3"/>
        <v>148.11041307394981</v>
      </c>
      <c r="ID7">
        <f t="shared" si="3"/>
        <v>148.192450184699</v>
      </c>
      <c r="IE7">
        <f t="shared" si="3"/>
        <v>148.27201365017621</v>
      </c>
      <c r="IF7">
        <f t="shared" si="3"/>
        <v>148.3491057415535</v>
      </c>
      <c r="IG7">
        <f t="shared" si="3"/>
        <v>148.42372873000281</v>
      </c>
      <c r="IH7">
        <f t="shared" si="3"/>
        <v>148.4958848866961</v>
      </c>
      <c r="II7">
        <f t="shared" si="3"/>
        <v>148.56557648280551</v>
      </c>
      <c r="IJ7">
        <f t="shared" si="3"/>
        <v>148.6328057895029</v>
      </c>
      <c r="IK7">
        <f t="shared" si="3"/>
        <v>148.69757507796041</v>
      </c>
      <c r="IL7">
        <f t="shared" si="3"/>
        <v>148.75988661935011</v>
      </c>
      <c r="IM7">
        <f t="shared" si="3"/>
        <v>148.81974268484379</v>
      </c>
      <c r="IN7">
        <f t="shared" si="3"/>
        <v>148.8771455456135</v>
      </c>
      <c r="IO7">
        <f t="shared" si="3"/>
        <v>148.9320974728314</v>
      </c>
      <c r="IP7">
        <f t="shared" si="3"/>
        <v>148.9846007376693</v>
      </c>
      <c r="IQ7">
        <f t="shared" si="3"/>
        <v>149.03465761129928</v>
      </c>
      <c r="IR7">
        <f t="shared" si="3"/>
        <v>149.08227036489342</v>
      </c>
      <c r="IS7">
        <f t="shared" si="3"/>
        <v>149.1274412696236</v>
      </c>
      <c r="IT7">
        <f t="shared" si="3"/>
        <v>149.1701725966621</v>
      </c>
      <c r="IU7">
        <f t="shared" si="3"/>
        <v>149.21046661718051</v>
      </c>
      <c r="IV7">
        <f t="shared" si="3"/>
        <v>149.24832560235089</v>
      </c>
      <c r="IW7">
        <f t="shared" si="3"/>
        <v>149.2837518233458</v>
      </c>
      <c r="IX7">
        <f t="shared" ref="IX7:LI7" si="4">SUM(IX1:IX5)</f>
        <v>149.31674755133639</v>
      </c>
      <c r="IY7">
        <f t="shared" si="4"/>
        <v>149.34731505749551</v>
      </c>
      <c r="IZ7">
        <f t="shared" si="4"/>
        <v>149.3754566129945</v>
      </c>
      <c r="JA7">
        <f t="shared" si="4"/>
        <v>149.40117448900571</v>
      </c>
      <c r="JB7">
        <f t="shared" si="4"/>
        <v>149.4244709567011</v>
      </c>
      <c r="JC7">
        <f t="shared" si="4"/>
        <v>149.44534828725259</v>
      </c>
      <c r="JD7">
        <f t="shared" si="4"/>
        <v>149.46380875183209</v>
      </c>
      <c r="JE7">
        <f t="shared" si="4"/>
        <v>149.47985462161191</v>
      </c>
      <c r="JF7">
        <f t="shared" si="4"/>
        <v>149.49348816776379</v>
      </c>
      <c r="JG7">
        <f t="shared" si="4"/>
        <v>149.50471166145999</v>
      </c>
      <c r="JH7">
        <f t="shared" si="4"/>
        <v>149.51352737387231</v>
      </c>
      <c r="JI7">
        <f t="shared" si="4"/>
        <v>149.51993757617271</v>
      </c>
      <c r="JJ7">
        <f t="shared" si="4"/>
        <v>149.52394453953329</v>
      </c>
      <c r="JK7">
        <f t="shared" si="4"/>
        <v>149.525550535126</v>
      </c>
      <c r="JL7">
        <f t="shared" si="4"/>
        <v>149.52475783412299</v>
      </c>
      <c r="JM7">
        <f t="shared" si="4"/>
        <v>149.5215687076963</v>
      </c>
      <c r="JN7">
        <f t="shared" si="4"/>
        <v>149.5159854270176</v>
      </c>
      <c r="JO7">
        <f t="shared" si="4"/>
        <v>149.50801026325922</v>
      </c>
      <c r="JP7">
        <f t="shared" si="4"/>
        <v>149.49764548759282</v>
      </c>
      <c r="JQ7">
        <f t="shared" si="4"/>
        <v>149.48489337119088</v>
      </c>
      <c r="JR7">
        <f t="shared" si="4"/>
        <v>149.46975618522481</v>
      </c>
      <c r="JS7">
        <f t="shared" si="4"/>
        <v>149.45223620086742</v>
      </c>
      <c r="JT7">
        <f t="shared" si="4"/>
        <v>149.43233568928991</v>
      </c>
      <c r="JU7">
        <f t="shared" si="4"/>
        <v>149.41005692166479</v>
      </c>
      <c r="JV7">
        <f t="shared" si="4"/>
        <v>149.3854021691638</v>
      </c>
      <c r="JW7">
        <f t="shared" si="4"/>
        <v>149.35837370295911</v>
      </c>
      <c r="JX7">
        <f t="shared" si="4"/>
        <v>149.32897379422272</v>
      </c>
      <c r="JY7">
        <f t="shared" si="4"/>
        <v>149.2972047141262</v>
      </c>
      <c r="JZ7">
        <f t="shared" si="4"/>
        <v>149.26306873384232</v>
      </c>
      <c r="KA7">
        <f t="shared" si="4"/>
        <v>149.22656812454269</v>
      </c>
      <c r="KB7">
        <f t="shared" si="4"/>
        <v>149.18770515739899</v>
      </c>
      <c r="KC7">
        <f t="shared" si="4"/>
        <v>149.14648210358391</v>
      </c>
      <c r="KD7">
        <f t="shared" si="4"/>
        <v>149.1029012342689</v>
      </c>
      <c r="KE7">
        <f t="shared" si="4"/>
        <v>149.05696482062601</v>
      </c>
      <c r="KF7">
        <f t="shared" si="4"/>
        <v>149.00867513382769</v>
      </c>
      <c r="KG7">
        <f t="shared" si="4"/>
        <v>148.9580344450456</v>
      </c>
      <c r="KH7">
        <f t="shared" si="4"/>
        <v>148.90504502545161</v>
      </c>
      <c r="KI7">
        <f t="shared" si="4"/>
        <v>148.849709146218</v>
      </c>
      <c r="KJ7">
        <f t="shared" si="4"/>
        <v>148.79202907851672</v>
      </c>
      <c r="KK7">
        <f t="shared" si="4"/>
        <v>148.73200709351971</v>
      </c>
      <c r="KL7">
        <f t="shared" si="4"/>
        <v>148.66964546239879</v>
      </c>
      <c r="KM7">
        <f t="shared" si="4"/>
        <v>148.60494645632639</v>
      </c>
      <c r="KN7">
        <f t="shared" si="4"/>
        <v>148.53791234647429</v>
      </c>
      <c r="KO7">
        <f t="shared" si="4"/>
        <v>148.46854540401438</v>
      </c>
      <c r="KP7">
        <f t="shared" si="4"/>
        <v>148.3968479001189</v>
      </c>
      <c r="KQ7">
        <f t="shared" si="4"/>
        <v>148.32282210595969</v>
      </c>
      <c r="KR7">
        <f t="shared" si="4"/>
        <v>148.24647029270881</v>
      </c>
      <c r="KS7">
        <f t="shared" si="4"/>
        <v>148.16779473153821</v>
      </c>
      <c r="KT7">
        <f t="shared" si="4"/>
        <v>148.08679769362001</v>
      </c>
      <c r="KU7">
        <f t="shared" si="4"/>
        <v>148.00348145012612</v>
      </c>
      <c r="KV7">
        <f t="shared" si="4"/>
        <v>147.91784827222858</v>
      </c>
      <c r="KW7">
        <f t="shared" si="4"/>
        <v>147.8299004310993</v>
      </c>
      <c r="KX7">
        <f t="shared" si="4"/>
        <v>147.73964019791049</v>
      </c>
      <c r="KY7">
        <f t="shared" si="4"/>
        <v>147.64706984383389</v>
      </c>
      <c r="KZ7">
        <f t="shared" si="4"/>
        <v>147.55219164004171</v>
      </c>
      <c r="LA7">
        <f t="shared" si="4"/>
        <v>147.45500785770591</v>
      </c>
      <c r="LB7">
        <f t="shared" si="4"/>
        <v>147.3555207679986</v>
      </c>
      <c r="LC7">
        <f t="shared" si="4"/>
        <v>147.25373264209159</v>
      </c>
      <c r="LD7">
        <f t="shared" si="4"/>
        <v>147.1496457511567</v>
      </c>
      <c r="LE7">
        <f t="shared" si="4"/>
        <v>147.04326236636649</v>
      </c>
      <c r="LF7">
        <f t="shared" si="4"/>
        <v>146.9345847588925</v>
      </c>
      <c r="LG7">
        <f t="shared" si="4"/>
        <v>146.82361519990701</v>
      </c>
      <c r="LH7">
        <f t="shared" si="4"/>
        <v>146.71035596058189</v>
      </c>
      <c r="LI7">
        <f t="shared" si="4"/>
        <v>146.59480931208901</v>
      </c>
      <c r="LJ7">
        <f t="shared" ref="LJ7:NU7" si="5">SUM(LJ1:LJ5)</f>
        <v>146.4769775256006</v>
      </c>
      <c r="LK7">
        <f t="shared" si="5"/>
        <v>146.35686287228859</v>
      </c>
      <c r="LL7">
        <f t="shared" si="5"/>
        <v>146.23446762332509</v>
      </c>
      <c r="LM7">
        <f t="shared" si="5"/>
        <v>146.10979404988191</v>
      </c>
      <c r="LN7">
        <f t="shared" si="5"/>
        <v>145.98284442313121</v>
      </c>
      <c r="LO7">
        <f t="shared" si="5"/>
        <v>145.85362101424488</v>
      </c>
      <c r="LP7">
        <f t="shared" si="5"/>
        <v>145.72212609439501</v>
      </c>
      <c r="LQ7">
        <f t="shared" si="5"/>
        <v>145.58836193475332</v>
      </c>
      <c r="LR7">
        <f t="shared" si="5"/>
        <v>145.4523308064924</v>
      </c>
      <c r="LS7">
        <f t="shared" si="5"/>
        <v>145.3140349807839</v>
      </c>
      <c r="LT7">
        <f t="shared" si="5"/>
        <v>145.17347672879981</v>
      </c>
      <c r="LU7">
        <f t="shared" si="5"/>
        <v>145.030658321712</v>
      </c>
      <c r="LV7">
        <f t="shared" si="5"/>
        <v>144.88558203069269</v>
      </c>
      <c r="LW7">
        <f t="shared" si="5"/>
        <v>144.73825012691401</v>
      </c>
      <c r="LX7">
        <f t="shared" si="5"/>
        <v>144.5886648815476</v>
      </c>
      <c r="LY7">
        <f t="shared" si="5"/>
        <v>144.43682856576572</v>
      </c>
      <c r="LZ7">
        <f t="shared" si="5"/>
        <v>144.28274345074038</v>
      </c>
      <c r="MA7">
        <f t="shared" si="5"/>
        <v>144.12641180764331</v>
      </c>
      <c r="MB7">
        <f t="shared" si="5"/>
        <v>143.96783590764701</v>
      </c>
      <c r="MC7">
        <f t="shared" si="5"/>
        <v>143.80701802192289</v>
      </c>
      <c r="MD7">
        <f t="shared" si="5"/>
        <v>143.64396042164341</v>
      </c>
      <c r="ME7">
        <f t="shared" si="5"/>
        <v>143.47866537798032</v>
      </c>
      <c r="MF7">
        <f t="shared" si="5"/>
        <v>143.3111351621059</v>
      </c>
      <c r="MG7">
        <f t="shared" si="5"/>
        <v>143.1413720451919</v>
      </c>
      <c r="MH7">
        <f t="shared" si="5"/>
        <v>142.96937829841031</v>
      </c>
      <c r="MI7">
        <f t="shared" si="5"/>
        <v>142.7951561929334</v>
      </c>
      <c r="MJ7">
        <f t="shared" si="5"/>
        <v>142.61870799993278</v>
      </c>
      <c r="MK7">
        <f t="shared" si="5"/>
        <v>142.44003599058078</v>
      </c>
      <c r="ML7">
        <f t="shared" si="5"/>
        <v>142.25914243604939</v>
      </c>
      <c r="MM7">
        <f t="shared" si="5"/>
        <v>142.07602960751041</v>
      </c>
      <c r="MN7">
        <f t="shared" si="5"/>
        <v>141.8906997761359</v>
      </c>
      <c r="MO7">
        <f t="shared" si="5"/>
        <v>141.70315521309811</v>
      </c>
      <c r="MP7">
        <f t="shared" si="5"/>
        <v>141.51339818956882</v>
      </c>
      <c r="MQ7">
        <f t="shared" si="5"/>
        <v>141.32143097671991</v>
      </c>
      <c r="MR7">
        <f t="shared" si="5"/>
        <v>141.12725584572371</v>
      </c>
      <c r="MS7">
        <f t="shared" si="5"/>
        <v>140.93087506775188</v>
      </c>
      <c r="MT7">
        <f t="shared" si="5"/>
        <v>140.73229091397681</v>
      </c>
      <c r="MU7">
        <f t="shared" si="5"/>
        <v>140.5315056555701</v>
      </c>
      <c r="MV7">
        <f t="shared" si="5"/>
        <v>140.32852156370421</v>
      </c>
      <c r="MW7">
        <f t="shared" si="5"/>
        <v>140.12334090955059</v>
      </c>
      <c r="MX7">
        <f t="shared" si="5"/>
        <v>139.9159659642817</v>
      </c>
      <c r="MY7">
        <f t="shared" si="5"/>
        <v>139.70639899906931</v>
      </c>
      <c r="MZ7">
        <f t="shared" si="5"/>
        <v>139.49464228508572</v>
      </c>
      <c r="NA7">
        <f t="shared" si="5"/>
        <v>139.28069809350239</v>
      </c>
      <c r="NB7">
        <f t="shared" si="5"/>
        <v>139.0645686954918</v>
      </c>
      <c r="NC7">
        <f t="shared" si="5"/>
        <v>138.84625636222592</v>
      </c>
      <c r="ND7">
        <f t="shared" si="5"/>
        <v>138.62576336487649</v>
      </c>
      <c r="NE7">
        <f t="shared" si="5"/>
        <v>138.40309197461571</v>
      </c>
      <c r="NF7">
        <f t="shared" si="5"/>
        <v>138.1782444626154</v>
      </c>
      <c r="NG7">
        <f t="shared" si="5"/>
        <v>137.951223100048</v>
      </c>
      <c r="NH7">
        <f t="shared" si="5"/>
        <v>137.72203015808489</v>
      </c>
      <c r="NI7">
        <f t="shared" si="5"/>
        <v>137.49066790789871</v>
      </c>
      <c r="NJ7">
        <f t="shared" si="5"/>
        <v>137.25713862066078</v>
      </c>
      <c r="NK7">
        <f t="shared" si="5"/>
        <v>137.02144456754371</v>
      </c>
      <c r="NL7">
        <f t="shared" si="5"/>
        <v>136.7835880197193</v>
      </c>
      <c r="NM7">
        <f t="shared" si="5"/>
        <v>136.54357124835951</v>
      </c>
      <c r="NN7">
        <f t="shared" si="5"/>
        <v>136.30139652463617</v>
      </c>
      <c r="NO7">
        <f t="shared" si="5"/>
        <v>136.05706611972158</v>
      </c>
      <c r="NP7">
        <f t="shared" si="5"/>
        <v>135.8105823047878</v>
      </c>
      <c r="NQ7">
        <f t="shared" si="5"/>
        <v>135.56194735100641</v>
      </c>
      <c r="NR7">
        <f t="shared" si="5"/>
        <v>135.31116352955002</v>
      </c>
      <c r="NS7">
        <f t="shared" si="5"/>
        <v>135.05823311159</v>
      </c>
      <c r="NT7">
        <f t="shared" si="5"/>
        <v>134.80315836829868</v>
      </c>
      <c r="NU7">
        <f t="shared" si="5"/>
        <v>134.5459415708481</v>
      </c>
      <c r="NV7">
        <f t="shared" ref="NV7:QG7" si="6">SUM(NV1:NV5)</f>
        <v>134.28658499041018</v>
      </c>
      <c r="NW7">
        <f t="shared" si="6"/>
        <v>134.02509089815692</v>
      </c>
      <c r="NX7">
        <f t="shared" si="6"/>
        <v>133.76146156526039</v>
      </c>
      <c r="NY7">
        <f t="shared" si="6"/>
        <v>133.49569926289251</v>
      </c>
      <c r="NZ7">
        <f t="shared" si="6"/>
        <v>133.2278062622251</v>
      </c>
      <c r="OA7">
        <f t="shared" si="6"/>
        <v>132.9577848344309</v>
      </c>
      <c r="OB7">
        <f t="shared" si="6"/>
        <v>132.63577192432871</v>
      </c>
      <c r="OC7">
        <f t="shared" si="6"/>
        <v>132.21337791885429</v>
      </c>
      <c r="OD7">
        <f t="shared" si="6"/>
        <v>131.69281525235272</v>
      </c>
      <c r="OE7">
        <f t="shared" si="6"/>
        <v>131.0762963591695</v>
      </c>
      <c r="OF7">
        <f t="shared" si="6"/>
        <v>130.36603367365012</v>
      </c>
      <c r="OG7">
        <f t="shared" si="6"/>
        <v>129.56423963013981</v>
      </c>
      <c r="OH7">
        <f t="shared" si="6"/>
        <v>128.67312666298352</v>
      </c>
      <c r="OI7">
        <f t="shared" si="6"/>
        <v>127.69490720652719</v>
      </c>
      <c r="OJ7">
        <f t="shared" si="6"/>
        <v>126.6317936951159</v>
      </c>
      <c r="OK7">
        <f t="shared" si="6"/>
        <v>125.48599856309521</v>
      </c>
      <c r="OL7">
        <f t="shared" si="6"/>
        <v>124.25973424481009</v>
      </c>
      <c r="OM7">
        <f t="shared" si="6"/>
        <v>122.9552131746062</v>
      </c>
      <c r="ON7">
        <f t="shared" si="6"/>
        <v>121.57464778682871</v>
      </c>
      <c r="OO7">
        <f t="shared" si="6"/>
        <v>120.1202505158229</v>
      </c>
      <c r="OP7">
        <f t="shared" si="6"/>
        <v>118.5942337959343</v>
      </c>
      <c r="OQ7">
        <f t="shared" si="6"/>
        <v>116.99881006150831</v>
      </c>
      <c r="OR7">
        <f t="shared" si="6"/>
        <v>115.33619174689009</v>
      </c>
      <c r="OS7">
        <f t="shared" si="6"/>
        <v>113.60859128642501</v>
      </c>
      <c r="OT7">
        <f t="shared" si="6"/>
        <v>111.81822111445851</v>
      </c>
      <c r="OU7">
        <f t="shared" si="6"/>
        <v>109.96729366533609</v>
      </c>
      <c r="OV7">
        <f t="shared" si="6"/>
        <v>108.0580213734026</v>
      </c>
      <c r="OW7">
        <f t="shared" si="6"/>
        <v>106.0926166730039</v>
      </c>
      <c r="OX7">
        <f t="shared" si="6"/>
        <v>104.0732919984852</v>
      </c>
      <c r="OY7">
        <f t="shared" si="6"/>
        <v>102.00225978419159</v>
      </c>
      <c r="OZ7">
        <f t="shared" si="6"/>
        <v>99.881732464468598</v>
      </c>
      <c r="PA7">
        <f t="shared" si="6"/>
        <v>97.713922473661711</v>
      </c>
      <c r="PB7">
        <f t="shared" si="6"/>
        <v>95.5010422461161</v>
      </c>
      <c r="PC7">
        <f t="shared" si="6"/>
        <v>93.245304216177203</v>
      </c>
      <c r="PD7">
        <f t="shared" si="6"/>
        <v>90.948920818190132</v>
      </c>
      <c r="PE7">
        <f t="shared" si="6"/>
        <v>88.614104486500665</v>
      </c>
      <c r="PF7">
        <f t="shared" si="6"/>
        <v>86.2430676554537</v>
      </c>
      <c r="PG7">
        <f t="shared" si="6"/>
        <v>83.838022759394988</v>
      </c>
      <c r="PH7">
        <f t="shared" si="6"/>
        <v>81.401182232669697</v>
      </c>
      <c r="PI7">
        <f t="shared" si="6"/>
        <v>78.934758509622895</v>
      </c>
      <c r="PJ7">
        <f t="shared" si="6"/>
        <v>76.440964024600504</v>
      </c>
      <c r="PK7">
        <f t="shared" si="6"/>
        <v>73.922011211947208</v>
      </c>
      <c r="PL7">
        <f t="shared" si="6"/>
        <v>71.380112506008999</v>
      </c>
      <c r="PM7">
        <f t="shared" si="6"/>
        <v>68.817480341130803</v>
      </c>
      <c r="PN7">
        <f t="shared" si="6"/>
        <v>66.236327151658088</v>
      </c>
      <c r="PO7">
        <f t="shared" si="6"/>
        <v>63.638865371936298</v>
      </c>
      <c r="PP7">
        <f t="shared" si="6"/>
        <v>61.0273074363107</v>
      </c>
      <c r="PQ7">
        <f t="shared" si="6"/>
        <v>58.403865779126505</v>
      </c>
      <c r="PR7">
        <f t="shared" si="6"/>
        <v>55.770752834729294</v>
      </c>
      <c r="PS7">
        <f t="shared" si="6"/>
        <v>53.130181037464197</v>
      </c>
      <c r="PT7">
        <f t="shared" si="6"/>
        <v>50.484362821676797</v>
      </c>
      <c r="PU7">
        <f t="shared" si="6"/>
        <v>47.835510621712302</v>
      </c>
      <c r="PV7">
        <f t="shared" si="6"/>
        <v>45.185836871915967</v>
      </c>
      <c r="PW7">
        <f t="shared" si="6"/>
        <v>42.537554006633364</v>
      </c>
      <c r="PX7">
        <f t="shared" si="6"/>
        <v>39.892874460209576</v>
      </c>
      <c r="PY7">
        <f t="shared" si="6"/>
        <v>37.254010666990176</v>
      </c>
      <c r="PZ7">
        <f t="shared" si="6"/>
        <v>34.623175061320502</v>
      </c>
      <c r="QA7">
        <f t="shared" si="6"/>
        <v>32.0025800775459</v>
      </c>
      <c r="QB7">
        <f t="shared" si="6"/>
        <v>29.3944381500114</v>
      </c>
      <c r="QC7">
        <f t="shared" si="6"/>
        <v>26.800961713062701</v>
      </c>
      <c r="QD7">
        <f t="shared" si="6"/>
        <v>24.2243632010452</v>
      </c>
      <c r="QE7">
        <f t="shared" si="6"/>
        <v>21.666855048303699</v>
      </c>
      <c r="QF7">
        <f t="shared" si="6"/>
        <v>19.130649689184299</v>
      </c>
      <c r="QG7">
        <f t="shared" si="6"/>
        <v>16.617959558031998</v>
      </c>
      <c r="QH7">
        <f>SUM(QH1:QH5)</f>
        <v>14.130997089191901</v>
      </c>
      <c r="QI7">
        <f>SUM(QI1:QI5)</f>
        <v>11.6719747170098</v>
      </c>
      <c r="QJ7">
        <f>SUM(QJ1:QJ5)</f>
        <v>9.24310487583063</v>
      </c>
      <c r="QK7">
        <f>SUM(QK1:QK5)</f>
        <v>6.8465999999998504</v>
      </c>
      <c r="QL7">
        <f>SUM(QL1:QL5)</f>
        <v>0</v>
      </c>
    </row>
    <row r="10" spans="1:454" x14ac:dyDescent="0.25">
      <c r="A10" t="s">
        <v>80</v>
      </c>
    </row>
    <row r="11" spans="1:454" x14ac:dyDescent="0.25">
      <c r="A11" t="s">
        <v>68</v>
      </c>
      <c r="B11">
        <v>1</v>
      </c>
      <c r="C11">
        <v>40</v>
      </c>
      <c r="D11">
        <v>80</v>
      </c>
      <c r="E11">
        <v>120</v>
      </c>
      <c r="F11">
        <v>160</v>
      </c>
      <c r="G11">
        <v>200</v>
      </c>
      <c r="H11">
        <v>240</v>
      </c>
      <c r="I11">
        <v>280</v>
      </c>
      <c r="J11">
        <v>320</v>
      </c>
      <c r="K11">
        <v>334</v>
      </c>
      <c r="L11">
        <v>360</v>
      </c>
      <c r="M11">
        <v>400</v>
      </c>
      <c r="N11">
        <v>440</v>
      </c>
      <c r="O11">
        <v>480</v>
      </c>
      <c r="P11">
        <v>520</v>
      </c>
      <c r="Q11">
        <v>560</v>
      </c>
      <c r="R11">
        <v>600</v>
      </c>
      <c r="S11">
        <v>631</v>
      </c>
    </row>
    <row r="12" spans="1:454" x14ac:dyDescent="0.25">
      <c r="A12" t="s">
        <v>69</v>
      </c>
      <c r="B12">
        <v>2659.9967234999999</v>
      </c>
      <c r="C12">
        <v>2468.9352161522202</v>
      </c>
      <c r="D12">
        <v>2304.75911738789</v>
      </c>
      <c r="E12">
        <v>2080.1595965730899</v>
      </c>
      <c r="F12">
        <v>1712.5112227228699</v>
      </c>
      <c r="G12">
        <v>1181.7939211257201</v>
      </c>
      <c r="H12">
        <v>623.89476392076801</v>
      </c>
      <c r="I12">
        <v>152.632259692834</v>
      </c>
      <c r="J12">
        <v>56.291637654294199</v>
      </c>
      <c r="K12">
        <v>71.661583302805298</v>
      </c>
      <c r="L12">
        <v>137.09068093094299</v>
      </c>
      <c r="M12">
        <v>520.46502614160295</v>
      </c>
      <c r="N12">
        <v>1048.5269119269101</v>
      </c>
      <c r="O12">
        <v>1798.82906212847</v>
      </c>
      <c r="P12">
        <v>2444.3658023755502</v>
      </c>
      <c r="Q12">
        <v>2753.23601471856</v>
      </c>
      <c r="R12">
        <v>2844.1601095000001</v>
      </c>
    </row>
    <row r="13" spans="1:454" x14ac:dyDescent="0.25">
      <c r="A13" t="s">
        <v>70</v>
      </c>
      <c r="B13">
        <f t="shared" ref="B13:R13" si="7">SUM(B12-$B$20)</f>
        <v>2618.9589035902563</v>
      </c>
      <c r="C13">
        <f t="shared" si="7"/>
        <v>2427.8973962424766</v>
      </c>
      <c r="D13">
        <f t="shared" si="7"/>
        <v>2263.7212974781464</v>
      </c>
      <c r="E13">
        <f t="shared" si="7"/>
        <v>2039.1217766633463</v>
      </c>
      <c r="F13">
        <f t="shared" si="7"/>
        <v>1671.4734028131263</v>
      </c>
      <c r="G13">
        <f t="shared" si="7"/>
        <v>1140.7561012159765</v>
      </c>
      <c r="H13">
        <f t="shared" si="7"/>
        <v>582.85694401102444</v>
      </c>
      <c r="I13">
        <f t="shared" si="7"/>
        <v>111.59443978309039</v>
      </c>
      <c r="J13">
        <f t="shared" si="7"/>
        <v>15.253817744550602</v>
      </c>
      <c r="K13">
        <f t="shared" si="7"/>
        <v>30.623763393061701</v>
      </c>
      <c r="L13">
        <f t="shared" si="7"/>
        <v>96.052861021199391</v>
      </c>
      <c r="M13">
        <f t="shared" si="7"/>
        <v>479.42720623185937</v>
      </c>
      <c r="N13">
        <f t="shared" si="7"/>
        <v>1007.4890920171665</v>
      </c>
      <c r="O13">
        <f t="shared" si="7"/>
        <v>1757.7912422187264</v>
      </c>
      <c r="P13">
        <f t="shared" si="7"/>
        <v>2403.3279824658066</v>
      </c>
      <c r="Q13">
        <f t="shared" si="7"/>
        <v>2712.1981948088164</v>
      </c>
      <c r="R13">
        <f t="shared" si="7"/>
        <v>2803.1222895902565</v>
      </c>
    </row>
    <row r="14" spans="1:454" x14ac:dyDescent="0.25">
      <c r="A14" t="s">
        <v>71</v>
      </c>
      <c r="B14">
        <v>2644</v>
      </c>
      <c r="C14">
        <v>2398</v>
      </c>
      <c r="D14">
        <v>2281</v>
      </c>
      <c r="E14">
        <v>2076</v>
      </c>
      <c r="F14">
        <v>1664</v>
      </c>
      <c r="G14">
        <v>1191</v>
      </c>
      <c r="H14">
        <v>727</v>
      </c>
      <c r="I14">
        <v>246</v>
      </c>
      <c r="J14">
        <v>15</v>
      </c>
      <c r="K14">
        <v>0.01</v>
      </c>
      <c r="L14">
        <v>49</v>
      </c>
      <c r="M14">
        <v>303</v>
      </c>
      <c r="N14">
        <v>775</v>
      </c>
      <c r="O14">
        <v>1354</v>
      </c>
      <c r="P14">
        <v>2101</v>
      </c>
      <c r="Q14">
        <v>2565</v>
      </c>
      <c r="R14">
        <v>2786</v>
      </c>
      <c r="S14">
        <v>2833</v>
      </c>
    </row>
    <row r="15" spans="1:454" x14ac:dyDescent="0.25">
      <c r="A15" t="s">
        <v>72</v>
      </c>
      <c r="B15">
        <f>SUM(B14-B13)</f>
        <v>25.041096409743659</v>
      </c>
      <c r="C15">
        <f t="shared" ref="C15:R15" si="8">SUM(C14-C13)</f>
        <v>-29.897396242476589</v>
      </c>
      <c r="D15">
        <f t="shared" si="8"/>
        <v>17.278702521853575</v>
      </c>
      <c r="E15">
        <f t="shared" si="8"/>
        <v>36.878223336653718</v>
      </c>
      <c r="F15">
        <f t="shared" si="8"/>
        <v>-7.473402813126313</v>
      </c>
      <c r="G15">
        <f t="shared" si="8"/>
        <v>50.243898784023486</v>
      </c>
      <c r="H15">
        <f t="shared" si="8"/>
        <v>144.14305598897556</v>
      </c>
      <c r="I15">
        <f t="shared" si="8"/>
        <v>134.40556021690961</v>
      </c>
      <c r="J15">
        <f t="shared" si="8"/>
        <v>-0.25381774455060224</v>
      </c>
      <c r="K15">
        <f t="shared" si="8"/>
        <v>-30.613763393061699</v>
      </c>
      <c r="L15">
        <f t="shared" si="8"/>
        <v>-47.052861021199391</v>
      </c>
      <c r="M15">
        <f t="shared" si="8"/>
        <v>-176.42720623185937</v>
      </c>
      <c r="N15">
        <f t="shared" si="8"/>
        <v>-232.48909201716651</v>
      </c>
      <c r="O15">
        <f t="shared" si="8"/>
        <v>-403.79124221872644</v>
      </c>
      <c r="P15">
        <f t="shared" si="8"/>
        <v>-302.3279824658066</v>
      </c>
      <c r="Q15">
        <f t="shared" si="8"/>
        <v>-147.19819480881642</v>
      </c>
      <c r="R15">
        <f t="shared" si="8"/>
        <v>-17.122289590256514</v>
      </c>
    </row>
    <row r="16" spans="1:454" x14ac:dyDescent="0.25">
      <c r="A16" t="s">
        <v>73</v>
      </c>
      <c r="B16">
        <f>SUM(B15/B14*100)</f>
        <v>0.94709139219907934</v>
      </c>
      <c r="C16">
        <f t="shared" ref="C16:R16" si="9">SUM(C15/C14*100)</f>
        <v>-1.2467638132809253</v>
      </c>
      <c r="D16">
        <f t="shared" si="9"/>
        <v>0.75750559061173062</v>
      </c>
      <c r="E16">
        <f t="shared" si="9"/>
        <v>1.7764076751759981</v>
      </c>
      <c r="F16">
        <f t="shared" si="9"/>
        <v>-0.44912276521191785</v>
      </c>
      <c r="G16">
        <f t="shared" si="9"/>
        <v>4.218631300085935</v>
      </c>
      <c r="H16">
        <f t="shared" si="9"/>
        <v>19.827105362995262</v>
      </c>
      <c r="I16">
        <f t="shared" si="9"/>
        <v>54.636406592239673</v>
      </c>
      <c r="J16">
        <f t="shared" si="9"/>
        <v>-1.6921182970040149</v>
      </c>
      <c r="L16">
        <f t="shared" si="9"/>
        <v>-96.026246982039581</v>
      </c>
      <c r="M16">
        <f t="shared" si="9"/>
        <v>-58.226800736587251</v>
      </c>
      <c r="N16">
        <f t="shared" si="9"/>
        <v>-29.998592518344065</v>
      </c>
      <c r="O16">
        <f t="shared" si="9"/>
        <v>-29.822100606996045</v>
      </c>
      <c r="P16">
        <f t="shared" si="9"/>
        <v>-14.389718346778038</v>
      </c>
      <c r="Q16">
        <f t="shared" si="9"/>
        <v>-5.7387210451780284</v>
      </c>
      <c r="R16">
        <f t="shared" si="9"/>
        <v>-0.6145832588031771</v>
      </c>
    </row>
    <row r="19" spans="1:12" x14ac:dyDescent="0.25">
      <c r="A19" t="s">
        <v>74</v>
      </c>
      <c r="B19">
        <v>300</v>
      </c>
    </row>
    <row r="20" spans="1:12" x14ac:dyDescent="0.25">
      <c r="A20" t="s">
        <v>75</v>
      </c>
      <c r="B20">
        <v>41.037819909743597</v>
      </c>
    </row>
    <row r="23" spans="1:12" x14ac:dyDescent="0.25">
      <c r="E23" t="s">
        <v>76</v>
      </c>
      <c r="F23" t="s">
        <v>77</v>
      </c>
      <c r="G23" t="s">
        <v>78</v>
      </c>
    </row>
    <row r="24" spans="1:12" x14ac:dyDescent="0.25">
      <c r="E24" s="7">
        <v>2.4467421297033005</v>
      </c>
      <c r="F24" s="7">
        <v>1</v>
      </c>
      <c r="G24">
        <v>24.467421300000002</v>
      </c>
      <c r="H24">
        <v>1</v>
      </c>
      <c r="I24">
        <f>SUM(G24/10)</f>
        <v>2.4467421300000001</v>
      </c>
      <c r="L24" s="7">
        <v>1</v>
      </c>
    </row>
    <row r="25" spans="1:12" x14ac:dyDescent="0.25">
      <c r="E25" s="7">
        <v>2.2099606332803998</v>
      </c>
      <c r="F25" s="7">
        <v>50</v>
      </c>
      <c r="G25">
        <v>22.556806226522198</v>
      </c>
      <c r="H25">
        <v>40</v>
      </c>
      <c r="I25">
        <f t="shared" ref="I25:I40" si="10">SUM(G25/10)</f>
        <v>2.2556806226522199</v>
      </c>
      <c r="K25">
        <f>SUM(F25*1.05)</f>
        <v>52.5</v>
      </c>
      <c r="L25">
        <v>52</v>
      </c>
    </row>
    <row r="26" spans="1:12" x14ac:dyDescent="0.25">
      <c r="E26" s="7">
        <v>1.9994881920156</v>
      </c>
      <c r="F26" s="7">
        <v>100</v>
      </c>
      <c r="G26">
        <v>20.9150452388789</v>
      </c>
      <c r="H26">
        <v>80</v>
      </c>
      <c r="I26">
        <f t="shared" si="10"/>
        <v>2.09150452388789</v>
      </c>
      <c r="K26">
        <f t="shared" ref="K26:K37" si="11">SUM(F26*1.05)</f>
        <v>105</v>
      </c>
      <c r="L26">
        <v>105</v>
      </c>
    </row>
    <row r="27" spans="1:12" x14ac:dyDescent="0.25">
      <c r="E27" s="7">
        <v>1.6048523646441002</v>
      </c>
      <c r="F27" s="7">
        <v>150</v>
      </c>
      <c r="G27">
        <v>18.669050030730901</v>
      </c>
      <c r="H27">
        <v>120</v>
      </c>
      <c r="I27">
        <f t="shared" si="10"/>
        <v>1.86690500307309</v>
      </c>
      <c r="K27">
        <f t="shared" si="11"/>
        <v>157.5</v>
      </c>
      <c r="L27">
        <v>158</v>
      </c>
    </row>
    <row r="28" spans="1:12" x14ac:dyDescent="0.25">
      <c r="E28" s="7">
        <v>0.99974409600780001</v>
      </c>
      <c r="F28" s="7">
        <v>200</v>
      </c>
      <c r="G28">
        <v>14.9925662922287</v>
      </c>
      <c r="H28">
        <v>160</v>
      </c>
      <c r="I28">
        <f t="shared" si="10"/>
        <v>1.49925662922287</v>
      </c>
      <c r="K28">
        <f t="shared" si="11"/>
        <v>210</v>
      </c>
      <c r="L28">
        <v>210</v>
      </c>
    </row>
    <row r="29" spans="1:12" x14ac:dyDescent="0.25">
      <c r="E29" s="7">
        <v>0.44725393768770011</v>
      </c>
      <c r="F29" s="7">
        <v>250</v>
      </c>
      <c r="G29">
        <v>9.9974409600000005</v>
      </c>
      <c r="H29">
        <v>200</v>
      </c>
      <c r="I29">
        <f t="shared" si="10"/>
        <v>0.99974409600000003</v>
      </c>
      <c r="K29">
        <f t="shared" si="11"/>
        <v>262.5</v>
      </c>
      <c r="L29">
        <v>263</v>
      </c>
    </row>
    <row r="30" spans="1:12" x14ac:dyDescent="0.25">
      <c r="E30" s="7">
        <v>5.2618110316200013E-2</v>
      </c>
      <c r="F30" s="12">
        <v>300</v>
      </c>
      <c r="G30">
        <v>5.45161890912253</v>
      </c>
      <c r="H30">
        <v>240</v>
      </c>
      <c r="I30">
        <f t="shared" si="10"/>
        <v>0.54516189091225298</v>
      </c>
      <c r="K30">
        <f t="shared" si="11"/>
        <v>315</v>
      </c>
      <c r="L30">
        <v>315</v>
      </c>
    </row>
    <row r="31" spans="1:12" x14ac:dyDescent="0.25">
      <c r="E31" s="7">
        <v>0</v>
      </c>
      <c r="F31" s="12">
        <v>320</v>
      </c>
      <c r="G31">
        <v>1.7385023624032001</v>
      </c>
      <c r="H31">
        <v>280</v>
      </c>
      <c r="I31">
        <f t="shared" si="10"/>
        <v>0.17385023624032001</v>
      </c>
      <c r="K31">
        <f t="shared" si="11"/>
        <v>336</v>
      </c>
      <c r="L31">
        <v>336</v>
      </c>
    </row>
    <row r="32" spans="1:12" x14ac:dyDescent="0.25">
      <c r="E32" s="7">
        <v>9.2081693053350025E-2</v>
      </c>
      <c r="F32" s="12">
        <v>350</v>
      </c>
      <c r="G32">
        <v>0</v>
      </c>
      <c r="H32">
        <v>320</v>
      </c>
      <c r="I32">
        <f t="shared" si="10"/>
        <v>0</v>
      </c>
      <c r="K32">
        <f t="shared" si="11"/>
        <v>367.5</v>
      </c>
      <c r="L32">
        <v>368</v>
      </c>
    </row>
    <row r="33" spans="1:38" x14ac:dyDescent="0.25">
      <c r="E33" s="7">
        <v>0.44725393768770011</v>
      </c>
      <c r="F33" s="12">
        <v>400</v>
      </c>
      <c r="G33">
        <v>0.269850920104376</v>
      </c>
      <c r="H33">
        <v>334</v>
      </c>
      <c r="I33">
        <f t="shared" si="10"/>
        <v>2.6985092010437601E-2</v>
      </c>
      <c r="K33">
        <f t="shared" si="11"/>
        <v>420</v>
      </c>
      <c r="L33">
        <v>420</v>
      </c>
    </row>
    <row r="34" spans="1:38" x14ac:dyDescent="0.25">
      <c r="E34" s="7">
        <v>1.1049803166401999</v>
      </c>
      <c r="F34" s="12">
        <v>450</v>
      </c>
      <c r="G34">
        <v>1.40815612998226</v>
      </c>
      <c r="H34">
        <v>360</v>
      </c>
      <c r="I34">
        <f t="shared" si="10"/>
        <v>0.14081561299822601</v>
      </c>
      <c r="K34">
        <f t="shared" si="11"/>
        <v>472.5</v>
      </c>
      <c r="L34">
        <v>473</v>
      </c>
    </row>
    <row r="35" spans="1:38" x14ac:dyDescent="0.25">
      <c r="E35" s="7">
        <v>1.9731791368575</v>
      </c>
      <c r="F35" s="12">
        <v>500</v>
      </c>
      <c r="G35">
        <v>4.4725393799999997</v>
      </c>
      <c r="H35">
        <v>400</v>
      </c>
      <c r="I35">
        <f t="shared" si="10"/>
        <v>0.44725393799999996</v>
      </c>
      <c r="K35">
        <f t="shared" si="11"/>
        <v>525</v>
      </c>
      <c r="L35">
        <v>525</v>
      </c>
    </row>
    <row r="36" spans="1:38" x14ac:dyDescent="0.25">
      <c r="E36" s="7">
        <v>2.4993602400195001</v>
      </c>
      <c r="F36" s="12">
        <v>550</v>
      </c>
      <c r="G36">
        <v>9.5553592944503105</v>
      </c>
      <c r="H36">
        <v>440</v>
      </c>
      <c r="I36">
        <f t="shared" si="10"/>
        <v>0.95553592944503107</v>
      </c>
      <c r="K36">
        <f t="shared" si="11"/>
        <v>577.5</v>
      </c>
      <c r="L36">
        <v>578</v>
      </c>
    </row>
    <row r="37" spans="1:38" x14ac:dyDescent="0.25">
      <c r="E37" s="7">
        <v>2.6309055158100003</v>
      </c>
      <c r="F37" s="12">
        <v>600</v>
      </c>
      <c r="G37">
        <v>16.4506889669095</v>
      </c>
      <c r="H37">
        <v>480</v>
      </c>
      <c r="I37">
        <f t="shared" si="10"/>
        <v>1.6450688966909499</v>
      </c>
      <c r="K37">
        <f t="shared" si="11"/>
        <v>630</v>
      </c>
      <c r="L37">
        <v>631</v>
      </c>
    </row>
    <row r="38" spans="1:38" x14ac:dyDescent="0.25">
      <c r="F38" s="12">
        <v>631</v>
      </c>
      <c r="G38">
        <v>22.325447233799</v>
      </c>
      <c r="H38">
        <v>520</v>
      </c>
      <c r="I38">
        <f t="shared" si="10"/>
        <v>2.2325447233798998</v>
      </c>
    </row>
    <row r="39" spans="1:38" x14ac:dyDescent="0.25">
      <c r="G39">
        <v>25.3998142121856</v>
      </c>
      <c r="H39">
        <v>560</v>
      </c>
      <c r="I39">
        <f t="shared" si="10"/>
        <v>2.5399814212185601</v>
      </c>
    </row>
    <row r="40" spans="1:38" x14ac:dyDescent="0.25">
      <c r="G40">
        <v>26.30905516</v>
      </c>
      <c r="H40">
        <v>600</v>
      </c>
      <c r="I40">
        <f t="shared" si="10"/>
        <v>2.6309055159999999</v>
      </c>
    </row>
    <row r="41" spans="1:38" x14ac:dyDescent="0.25">
      <c r="T41" s="137" t="s">
        <v>132</v>
      </c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</row>
    <row r="42" spans="1:38" x14ac:dyDescent="0.25">
      <c r="T42" s="137"/>
      <c r="U42" s="137"/>
      <c r="V42" s="137"/>
      <c r="W42" s="137"/>
      <c r="X42" s="137"/>
      <c r="Y42" s="137"/>
      <c r="Z42" s="137"/>
      <c r="AA42" s="137"/>
      <c r="AB42" s="137"/>
      <c r="AC42" s="137"/>
      <c r="AD42" s="137"/>
      <c r="AE42" s="137"/>
      <c r="AF42" s="137"/>
      <c r="AG42" s="137"/>
      <c r="AH42" s="137"/>
      <c r="AI42" s="137"/>
      <c r="AJ42" s="137"/>
      <c r="AK42" s="137"/>
      <c r="AL42" s="137"/>
    </row>
    <row r="43" spans="1:38" x14ac:dyDescent="0.25">
      <c r="A43" t="s">
        <v>79</v>
      </c>
      <c r="T43" t="s">
        <v>81</v>
      </c>
    </row>
    <row r="44" spans="1:38" x14ac:dyDescent="0.25">
      <c r="A44" t="s">
        <v>68</v>
      </c>
      <c r="B44">
        <v>1</v>
      </c>
      <c r="C44">
        <v>40</v>
      </c>
      <c r="D44">
        <v>80</v>
      </c>
      <c r="E44">
        <v>120</v>
      </c>
      <c r="F44">
        <v>160</v>
      </c>
      <c r="G44">
        <v>200</v>
      </c>
      <c r="H44">
        <v>240</v>
      </c>
      <c r="I44">
        <v>280</v>
      </c>
      <c r="J44">
        <v>320</v>
      </c>
      <c r="K44">
        <v>334</v>
      </c>
      <c r="L44">
        <v>360</v>
      </c>
      <c r="M44">
        <v>400</v>
      </c>
      <c r="N44">
        <v>440</v>
      </c>
      <c r="O44">
        <v>480</v>
      </c>
      <c r="P44">
        <v>520</v>
      </c>
      <c r="Q44">
        <v>560</v>
      </c>
      <c r="R44">
        <v>600</v>
      </c>
      <c r="S44">
        <v>631</v>
      </c>
      <c r="T44" t="s">
        <v>68</v>
      </c>
      <c r="U44">
        <v>1</v>
      </c>
      <c r="V44">
        <v>40</v>
      </c>
      <c r="W44">
        <v>80</v>
      </c>
      <c r="X44">
        <v>120</v>
      </c>
      <c r="Y44">
        <v>160</v>
      </c>
      <c r="Z44">
        <v>200</v>
      </c>
      <c r="AA44">
        <v>240</v>
      </c>
      <c r="AB44">
        <v>280</v>
      </c>
      <c r="AC44">
        <v>320</v>
      </c>
      <c r="AD44">
        <v>334</v>
      </c>
      <c r="AE44">
        <v>360</v>
      </c>
      <c r="AF44">
        <v>400</v>
      </c>
      <c r="AG44">
        <v>440</v>
      </c>
      <c r="AH44">
        <v>480</v>
      </c>
      <c r="AI44">
        <v>520</v>
      </c>
      <c r="AJ44">
        <v>560</v>
      </c>
      <c r="AK44">
        <v>600</v>
      </c>
      <c r="AL44">
        <v>631</v>
      </c>
    </row>
    <row r="45" spans="1:38" x14ac:dyDescent="0.25">
      <c r="A45" t="s">
        <v>69</v>
      </c>
      <c r="B45">
        <v>2659.9967234999999</v>
      </c>
      <c r="C45">
        <v>2475.6923228744099</v>
      </c>
      <c r="D45">
        <v>2318.5132245514601</v>
      </c>
      <c r="E45">
        <v>2123.5241138386</v>
      </c>
      <c r="F45">
        <v>1799.5001583477499</v>
      </c>
      <c r="G45">
        <v>1297.9611475829299</v>
      </c>
      <c r="H45">
        <v>747.25781651223599</v>
      </c>
      <c r="I45">
        <v>295.07597956404601</v>
      </c>
      <c r="J45">
        <v>71.209232241678905</v>
      </c>
      <c r="K45">
        <v>49.090463714441597</v>
      </c>
      <c r="L45">
        <v>120.42848699113399</v>
      </c>
      <c r="M45">
        <v>355.15459934136499</v>
      </c>
      <c r="N45">
        <v>750.72949417836003</v>
      </c>
      <c r="O45">
        <v>1366.2121614072801</v>
      </c>
      <c r="P45">
        <v>2117.7499152673299</v>
      </c>
      <c r="Q45">
        <v>2590.9003533753698</v>
      </c>
      <c r="R45">
        <v>2791.6842560486598</v>
      </c>
      <c r="S45">
        <v>2844.1601095000001</v>
      </c>
      <c r="T45" t="s">
        <v>69</v>
      </c>
      <c r="U45">
        <v>2659.9967234999999</v>
      </c>
      <c r="V45">
        <v>2475.6923225</v>
      </c>
      <c r="W45">
        <v>2318.5132245</v>
      </c>
      <c r="X45">
        <v>2123.5241135000001</v>
      </c>
      <c r="Y45">
        <v>1799.5001585</v>
      </c>
      <c r="Z45">
        <v>1297.9611471257199</v>
      </c>
      <c r="AA45">
        <v>747.257816450684</v>
      </c>
      <c r="AB45">
        <v>295.07597982038101</v>
      </c>
      <c r="AC45">
        <v>71.209232374632805</v>
      </c>
      <c r="AD45">
        <v>49.146320902277402</v>
      </c>
      <c r="AE45">
        <v>116.475907189024</v>
      </c>
      <c r="AF45">
        <v>355.15459914160198</v>
      </c>
      <c r="AG45">
        <v>750.72949420000202</v>
      </c>
      <c r="AH45">
        <v>1366.2121614375301</v>
      </c>
      <c r="AI45">
        <v>2117.7499149956502</v>
      </c>
      <c r="AJ45">
        <v>2590.9003535000002</v>
      </c>
      <c r="AK45">
        <v>2791.6842565000002</v>
      </c>
      <c r="AL45">
        <v>2844.1601095000001</v>
      </c>
    </row>
    <row r="46" spans="1:38" x14ac:dyDescent="0.25">
      <c r="A46" t="s">
        <v>70</v>
      </c>
      <c r="B46">
        <f>SUM(B45-$B$52)</f>
        <v>2610.9062597855582</v>
      </c>
      <c r="C46">
        <f t="shared" ref="C46:S46" si="12">SUM(C45-$B$52)</f>
        <v>2426.6018591599682</v>
      </c>
      <c r="D46">
        <f t="shared" si="12"/>
        <v>2269.4227608370184</v>
      </c>
      <c r="E46">
        <f t="shared" si="12"/>
        <v>2074.4336501241582</v>
      </c>
      <c r="F46">
        <f t="shared" si="12"/>
        <v>1750.4096946333084</v>
      </c>
      <c r="G46">
        <f t="shared" si="12"/>
        <v>1248.8706838684884</v>
      </c>
      <c r="H46">
        <f t="shared" si="12"/>
        <v>698.16735279779436</v>
      </c>
      <c r="I46">
        <f t="shared" si="12"/>
        <v>245.98551584960441</v>
      </c>
      <c r="J46">
        <f t="shared" si="12"/>
        <v>22.118768527237307</v>
      </c>
      <c r="K46">
        <f t="shared" si="12"/>
        <v>0</v>
      </c>
      <c r="L46">
        <f t="shared" si="12"/>
        <v>71.338023276692397</v>
      </c>
      <c r="M46">
        <f t="shared" si="12"/>
        <v>306.06413562692342</v>
      </c>
      <c r="N46">
        <f t="shared" si="12"/>
        <v>701.6390304639184</v>
      </c>
      <c r="O46">
        <f t="shared" si="12"/>
        <v>1317.1216976928386</v>
      </c>
      <c r="P46">
        <f t="shared" si="12"/>
        <v>2068.6594515528882</v>
      </c>
      <c r="Q46">
        <f t="shared" si="12"/>
        <v>2541.8098896609281</v>
      </c>
      <c r="R46">
        <f t="shared" si="12"/>
        <v>2742.5937923342181</v>
      </c>
      <c r="S46">
        <f t="shared" si="12"/>
        <v>2795.0696457855584</v>
      </c>
      <c r="T46" t="s">
        <v>70</v>
      </c>
      <c r="U46">
        <f>SUM(U45-$AD$45)</f>
        <v>2610.8504025977227</v>
      </c>
      <c r="V46">
        <f t="shared" ref="V46:AL46" si="13">SUM(V45-$AD$45)</f>
        <v>2426.5460015977228</v>
      </c>
      <c r="W46">
        <f t="shared" si="13"/>
        <v>2269.3669035977227</v>
      </c>
      <c r="X46">
        <f t="shared" si="13"/>
        <v>2074.3777925977229</v>
      </c>
      <c r="Y46">
        <f t="shared" si="13"/>
        <v>1750.3538375977225</v>
      </c>
      <c r="Z46">
        <f t="shared" si="13"/>
        <v>1248.8148262234424</v>
      </c>
      <c r="AA46">
        <f t="shared" si="13"/>
        <v>698.11149554840665</v>
      </c>
      <c r="AB46">
        <f t="shared" si="13"/>
        <v>245.9296589181036</v>
      </c>
      <c r="AC46">
        <f t="shared" si="13"/>
        <v>22.062911472355403</v>
      </c>
      <c r="AD46">
        <f t="shared" si="13"/>
        <v>0</v>
      </c>
      <c r="AE46">
        <f t="shared" si="13"/>
        <v>67.329586286746604</v>
      </c>
      <c r="AF46">
        <f t="shared" si="13"/>
        <v>306.00827823932457</v>
      </c>
      <c r="AG46">
        <f t="shared" si="13"/>
        <v>701.58317329772467</v>
      </c>
      <c r="AH46">
        <f t="shared" si="13"/>
        <v>1317.0658405352526</v>
      </c>
      <c r="AI46">
        <f t="shared" si="13"/>
        <v>2068.603594093373</v>
      </c>
      <c r="AJ46">
        <f t="shared" si="13"/>
        <v>2541.7540325977229</v>
      </c>
      <c r="AK46">
        <f t="shared" si="13"/>
        <v>2742.5379355977229</v>
      </c>
      <c r="AL46">
        <f t="shared" si="13"/>
        <v>2795.0137885977229</v>
      </c>
    </row>
    <row r="47" spans="1:38" x14ac:dyDescent="0.25">
      <c r="A47" t="s">
        <v>71</v>
      </c>
      <c r="B47">
        <v>2644</v>
      </c>
      <c r="C47">
        <v>2398</v>
      </c>
      <c r="D47">
        <v>2281</v>
      </c>
      <c r="E47">
        <v>2076</v>
      </c>
      <c r="F47">
        <v>1664</v>
      </c>
      <c r="G47">
        <v>1191</v>
      </c>
      <c r="H47">
        <v>727</v>
      </c>
      <c r="I47">
        <v>246</v>
      </c>
      <c r="J47">
        <v>15</v>
      </c>
      <c r="K47">
        <v>0</v>
      </c>
      <c r="L47">
        <v>49</v>
      </c>
      <c r="M47">
        <v>303</v>
      </c>
      <c r="N47">
        <v>775</v>
      </c>
      <c r="O47">
        <v>1354</v>
      </c>
      <c r="P47">
        <v>2101</v>
      </c>
      <c r="Q47">
        <v>2565</v>
      </c>
      <c r="R47">
        <v>2786</v>
      </c>
      <c r="S47">
        <v>2833</v>
      </c>
      <c r="T47" t="s">
        <v>71</v>
      </c>
      <c r="U47">
        <v>2644</v>
      </c>
      <c r="V47">
        <v>2398</v>
      </c>
      <c r="W47">
        <v>2281</v>
      </c>
      <c r="X47">
        <v>2076</v>
      </c>
      <c r="Y47">
        <v>1664</v>
      </c>
      <c r="Z47">
        <v>1191</v>
      </c>
      <c r="AA47">
        <v>727</v>
      </c>
      <c r="AB47">
        <v>246</v>
      </c>
      <c r="AC47">
        <v>15</v>
      </c>
      <c r="AD47">
        <v>0</v>
      </c>
      <c r="AE47">
        <v>49</v>
      </c>
      <c r="AF47">
        <v>303</v>
      </c>
      <c r="AG47">
        <v>775</v>
      </c>
      <c r="AH47">
        <v>1354</v>
      </c>
      <c r="AI47">
        <v>2101</v>
      </c>
      <c r="AJ47">
        <v>2565</v>
      </c>
      <c r="AK47">
        <v>2786</v>
      </c>
      <c r="AL47">
        <v>2833</v>
      </c>
    </row>
    <row r="48" spans="1:38" x14ac:dyDescent="0.25">
      <c r="A48" t="s">
        <v>72</v>
      </c>
      <c r="B48">
        <f>SUM(B46-B47)</f>
        <v>-33.093740214441823</v>
      </c>
      <c r="C48">
        <f t="shared" ref="C48:S48" si="14">SUM(C46-C47)</f>
        <v>28.601859159968171</v>
      </c>
      <c r="D48">
        <f t="shared" si="14"/>
        <v>-11.577239162981641</v>
      </c>
      <c r="E48">
        <f t="shared" si="14"/>
        <v>-1.5663498758417518</v>
      </c>
      <c r="F48">
        <f t="shared" si="14"/>
        <v>86.409694633308391</v>
      </c>
      <c r="G48">
        <f t="shared" si="14"/>
        <v>57.870683868488413</v>
      </c>
      <c r="H48">
        <f t="shared" si="14"/>
        <v>-28.832647202205635</v>
      </c>
      <c r="I48">
        <f t="shared" si="14"/>
        <v>-1.4484150395588813E-2</v>
      </c>
      <c r="J48">
        <f t="shared" si="14"/>
        <v>7.1187685272373074</v>
      </c>
      <c r="K48">
        <f t="shared" si="14"/>
        <v>0</v>
      </c>
      <c r="L48">
        <f t="shared" si="14"/>
        <v>22.338023276692397</v>
      </c>
      <c r="M48">
        <f t="shared" si="14"/>
        <v>3.0641356269234166</v>
      </c>
      <c r="N48">
        <f t="shared" si="14"/>
        <v>-73.360969536081598</v>
      </c>
      <c r="O48">
        <f t="shared" si="14"/>
        <v>-36.878302307161448</v>
      </c>
      <c r="P48">
        <f t="shared" si="14"/>
        <v>-32.340548447111814</v>
      </c>
      <c r="Q48">
        <f t="shared" si="14"/>
        <v>-23.190110339071907</v>
      </c>
      <c r="R48">
        <f t="shared" si="14"/>
        <v>-43.406207665781949</v>
      </c>
      <c r="S48">
        <f t="shared" si="14"/>
        <v>-37.93035421444165</v>
      </c>
      <c r="T48" t="s">
        <v>72</v>
      </c>
      <c r="U48">
        <f>SUM(U47-U46)</f>
        <v>33.149597402277323</v>
      </c>
      <c r="V48">
        <f t="shared" ref="V48:AL48" si="15">SUM(V47-V46)</f>
        <v>-28.546001597722807</v>
      </c>
      <c r="W48">
        <f t="shared" si="15"/>
        <v>11.63309640227726</v>
      </c>
      <c r="X48">
        <f t="shared" si="15"/>
        <v>1.6222074022771267</v>
      </c>
      <c r="Y48">
        <f t="shared" si="15"/>
        <v>-86.353837597722531</v>
      </c>
      <c r="Z48">
        <f t="shared" si="15"/>
        <v>-57.814826223442424</v>
      </c>
      <c r="AA48">
        <f t="shared" si="15"/>
        <v>28.888504451593349</v>
      </c>
      <c r="AB48">
        <f t="shared" si="15"/>
        <v>7.0341081896401647E-2</v>
      </c>
      <c r="AC48">
        <f t="shared" si="15"/>
        <v>-7.0629114723554025</v>
      </c>
      <c r="AD48">
        <f t="shared" si="15"/>
        <v>0</v>
      </c>
      <c r="AE48">
        <f t="shared" si="15"/>
        <v>-18.329586286746604</v>
      </c>
      <c r="AF48">
        <f t="shared" si="15"/>
        <v>-3.0082782393245679</v>
      </c>
      <c r="AG48">
        <f t="shared" si="15"/>
        <v>73.41682670227533</v>
      </c>
      <c r="AH48">
        <f t="shared" si="15"/>
        <v>36.934159464747381</v>
      </c>
      <c r="AI48">
        <f t="shared" si="15"/>
        <v>32.396405906627024</v>
      </c>
      <c r="AJ48">
        <f t="shared" si="15"/>
        <v>23.245967402277074</v>
      </c>
      <c r="AK48">
        <f t="shared" si="15"/>
        <v>43.462064402277065</v>
      </c>
      <c r="AL48">
        <f t="shared" si="15"/>
        <v>37.986211402277149</v>
      </c>
    </row>
    <row r="49" spans="1:38" x14ac:dyDescent="0.25">
      <c r="A49" t="s">
        <v>73</v>
      </c>
      <c r="B49">
        <f>SUM(B48/B47*100)</f>
        <v>-1.2516543197595245</v>
      </c>
      <c r="C49">
        <f t="shared" ref="C49:S49" si="16">SUM(C48/C47*100)</f>
        <v>1.1927380800653948</v>
      </c>
      <c r="D49">
        <f t="shared" si="16"/>
        <v>-0.50755103739507412</v>
      </c>
      <c r="E49">
        <f t="shared" si="16"/>
        <v>-7.5450379375806925E-2</v>
      </c>
      <c r="F49">
        <f t="shared" si="16"/>
        <v>5.1928903024824749</v>
      </c>
      <c r="G49">
        <f t="shared" si="16"/>
        <v>4.8589994851795479</v>
      </c>
      <c r="H49">
        <f t="shared" si="16"/>
        <v>-3.9659762313900462</v>
      </c>
      <c r="I49">
        <f t="shared" si="16"/>
        <v>-5.8878660144669965E-3</v>
      </c>
      <c r="J49">
        <f t="shared" si="16"/>
        <v>47.458456848248716</v>
      </c>
      <c r="K49">
        <v>0</v>
      </c>
      <c r="L49">
        <f t="shared" si="16"/>
        <v>45.587802605494687</v>
      </c>
      <c r="M49">
        <f t="shared" si="16"/>
        <v>1.0112658834730748</v>
      </c>
      <c r="N49">
        <f t="shared" si="16"/>
        <v>-9.4659315530427861</v>
      </c>
      <c r="O49">
        <f t="shared" si="16"/>
        <v>-2.7236560049602252</v>
      </c>
      <c r="P49">
        <f t="shared" si="16"/>
        <v>-1.5392931198054172</v>
      </c>
      <c r="Q49">
        <f t="shared" si="16"/>
        <v>-0.90409786896966504</v>
      </c>
      <c r="R49">
        <f t="shared" si="16"/>
        <v>-1.558011761155131</v>
      </c>
      <c r="S49">
        <f t="shared" si="16"/>
        <v>-1.3388758988507465</v>
      </c>
      <c r="T49" t="s">
        <v>73</v>
      </c>
      <c r="U49">
        <f>SUM((U46/U47)*100)</f>
        <v>98.746233078582563</v>
      </c>
      <c r="V49">
        <f t="shared" ref="V49:AL49" si="17">SUM(V46/V47)*100</f>
        <v>101.1904087405222</v>
      </c>
      <c r="W49">
        <f t="shared" si="17"/>
        <v>99.490000157725675</v>
      </c>
      <c r="X49">
        <f t="shared" si="17"/>
        <v>99.921858988329618</v>
      </c>
      <c r="Y49">
        <f t="shared" si="17"/>
        <v>105.18953350947852</v>
      </c>
      <c r="Z49">
        <f t="shared" si="17"/>
        <v>104.85430950658628</v>
      </c>
      <c r="AA49">
        <f t="shared" si="17"/>
        <v>96.026340515599259</v>
      </c>
      <c r="AB49">
        <f t="shared" si="17"/>
        <v>99.971406064269758</v>
      </c>
      <c r="AC49">
        <f t="shared" si="17"/>
        <v>147.08607648236935</v>
      </c>
      <c r="AE49">
        <f t="shared" si="17"/>
        <v>137.4073189525441</v>
      </c>
      <c r="AF49">
        <f t="shared" si="17"/>
        <v>100.99283110208732</v>
      </c>
      <c r="AG49">
        <f t="shared" si="17"/>
        <v>90.526861070674144</v>
      </c>
      <c r="AH49">
        <f t="shared" si="17"/>
        <v>97.27221865105264</v>
      </c>
      <c r="AI49">
        <f t="shared" si="17"/>
        <v>98.458048267176252</v>
      </c>
      <c r="AJ49">
        <f t="shared" si="17"/>
        <v>99.093724467747478</v>
      </c>
      <c r="AK49">
        <f t="shared" si="17"/>
        <v>98.439983330858681</v>
      </c>
      <c r="AL49">
        <f t="shared" si="17"/>
        <v>98.659152439030109</v>
      </c>
    </row>
    <row r="50" spans="1:38" x14ac:dyDescent="0.25">
      <c r="M50" s="49" t="s">
        <v>88</v>
      </c>
      <c r="N50" s="48" t="s">
        <v>89</v>
      </c>
      <c r="O50" t="s">
        <v>87</v>
      </c>
    </row>
    <row r="51" spans="1:38" x14ac:dyDescent="0.25">
      <c r="E51" t="s">
        <v>81</v>
      </c>
      <c r="F51" t="s">
        <v>77</v>
      </c>
      <c r="G51" t="s">
        <v>82</v>
      </c>
      <c r="H51" t="s">
        <v>79</v>
      </c>
      <c r="I51" t="s">
        <v>77</v>
      </c>
      <c r="L51" t="s">
        <v>83</v>
      </c>
      <c r="M51" t="s">
        <v>84</v>
      </c>
      <c r="N51" t="s">
        <v>85</v>
      </c>
    </row>
    <row r="52" spans="1:38" x14ac:dyDescent="0.25">
      <c r="A52" t="s">
        <v>75</v>
      </c>
      <c r="B52">
        <v>49.090463714441597</v>
      </c>
      <c r="E52" s="7">
        <v>2.4467421297033005</v>
      </c>
      <c r="F52" s="7">
        <v>1</v>
      </c>
      <c r="H52">
        <v>24.467421300000002</v>
      </c>
      <c r="I52">
        <v>1</v>
      </c>
      <c r="J52">
        <f>SUM(H52/10)</f>
        <v>2.4467421300000001</v>
      </c>
      <c r="L52" s="50">
        <f>SUM(J52*1.02)</f>
        <v>2.4956769726000001</v>
      </c>
      <c r="N52">
        <v>0.62</v>
      </c>
      <c r="O52" s="48">
        <v>16.4136127278061</v>
      </c>
      <c r="T52" t="s">
        <v>83</v>
      </c>
    </row>
    <row r="53" spans="1:38" x14ac:dyDescent="0.25">
      <c r="E53" s="7">
        <v>2.2099606332803998</v>
      </c>
      <c r="F53">
        <v>52</v>
      </c>
      <c r="H53">
        <v>22.6243772937441</v>
      </c>
      <c r="I53">
        <v>40</v>
      </c>
      <c r="J53">
        <f t="shared" ref="J53:J69" si="18">SUM(H53/10)</f>
        <v>2.26243772937441</v>
      </c>
      <c r="L53" s="48">
        <v>2.26243772937441</v>
      </c>
      <c r="N53">
        <v>1.21</v>
      </c>
      <c r="O53" s="48">
        <v>29.174368727816301</v>
      </c>
      <c r="T53" t="s">
        <v>68</v>
      </c>
      <c r="U53">
        <v>1</v>
      </c>
      <c r="V53">
        <v>40</v>
      </c>
      <c r="W53">
        <v>80</v>
      </c>
      <c r="X53">
        <v>120</v>
      </c>
      <c r="Y53">
        <v>160</v>
      </c>
      <c r="Z53">
        <v>200</v>
      </c>
      <c r="AA53">
        <v>240</v>
      </c>
      <c r="AB53">
        <v>280</v>
      </c>
      <c r="AC53">
        <v>320</v>
      </c>
      <c r="AD53">
        <v>334</v>
      </c>
      <c r="AE53">
        <v>360</v>
      </c>
      <c r="AF53">
        <v>400</v>
      </c>
      <c r="AG53">
        <v>440</v>
      </c>
      <c r="AH53">
        <v>480</v>
      </c>
      <c r="AI53">
        <v>520</v>
      </c>
      <c r="AJ53">
        <v>560</v>
      </c>
      <c r="AK53">
        <v>600</v>
      </c>
      <c r="AL53">
        <v>631</v>
      </c>
    </row>
    <row r="54" spans="1:38" x14ac:dyDescent="0.25">
      <c r="E54" s="7">
        <v>1.9994881920156</v>
      </c>
      <c r="F54">
        <v>105</v>
      </c>
      <c r="H54">
        <v>21.052586310514599</v>
      </c>
      <c r="I54">
        <v>80</v>
      </c>
      <c r="J54">
        <f t="shared" si="18"/>
        <v>2.10525863105146</v>
      </c>
      <c r="L54" s="49">
        <v>2.10525863105146</v>
      </c>
      <c r="M54">
        <v>0.48</v>
      </c>
      <c r="O54" s="49">
        <v>11.004729272183795</v>
      </c>
      <c r="T54" t="s">
        <v>69</v>
      </c>
      <c r="U54">
        <v>2708.9315664999899</v>
      </c>
      <c r="V54">
        <v>2475.6923225</v>
      </c>
      <c r="W54">
        <v>2318.5132245</v>
      </c>
      <c r="X54">
        <v>2123.5241135000001</v>
      </c>
      <c r="Y54">
        <v>1720.1878804999999</v>
      </c>
      <c r="Z54">
        <v>1353.75671412572</v>
      </c>
      <c r="AA54">
        <v>774.12355345068397</v>
      </c>
      <c r="AB54">
        <v>295.07597982038101</v>
      </c>
      <c r="AC54">
        <v>52.721452374633202</v>
      </c>
      <c r="AD54">
        <v>48.517953772183702</v>
      </c>
      <c r="AE54">
        <v>95.722474189023799</v>
      </c>
      <c r="AF54">
        <v>355.15459914160198</v>
      </c>
      <c r="AG54">
        <v>816.61609220000196</v>
      </c>
      <c r="AH54">
        <v>1390.46120143753</v>
      </c>
      <c r="AI54">
        <v>2155.8684919956499</v>
      </c>
      <c r="AJ54">
        <v>2638.4532684999999</v>
      </c>
      <c r="AK54">
        <v>2843.2528495000001</v>
      </c>
      <c r="AL54">
        <v>2896.7782195</v>
      </c>
    </row>
    <row r="55" spans="1:38" x14ac:dyDescent="0.25">
      <c r="E55" s="7">
        <v>1.6048523646441002</v>
      </c>
      <c r="F55">
        <v>158</v>
      </c>
      <c r="H55">
        <v>19.102695203385899</v>
      </c>
      <c r="I55">
        <v>120</v>
      </c>
      <c r="J55">
        <f t="shared" si="18"/>
        <v>1.91026952033859</v>
      </c>
      <c r="L55" s="49">
        <v>1.91026952033859</v>
      </c>
      <c r="M55">
        <v>0.04</v>
      </c>
      <c r="O55" s="49">
        <v>0.993840272183661</v>
      </c>
      <c r="T55" t="s">
        <v>70</v>
      </c>
      <c r="U55">
        <f>SUM(U54-$AD$54)</f>
        <v>2660.4136127278061</v>
      </c>
      <c r="V55">
        <f>SUM(V54-$AD$54)</f>
        <v>2427.1743687278163</v>
      </c>
      <c r="W55">
        <f t="shared" ref="W55:AL55" si="19">SUM(W54-$AD$54)</f>
        <v>2269.9952707278162</v>
      </c>
      <c r="X55">
        <f t="shared" si="19"/>
        <v>2075.0061597278163</v>
      </c>
      <c r="Y55">
        <f t="shared" si="19"/>
        <v>1671.6699267278161</v>
      </c>
      <c r="Z55">
        <f t="shared" si="19"/>
        <v>1305.2387603535362</v>
      </c>
      <c r="AA55">
        <f t="shared" si="19"/>
        <v>725.60559967850031</v>
      </c>
      <c r="AB55">
        <f t="shared" si="19"/>
        <v>246.55802604819729</v>
      </c>
      <c r="AC55">
        <f t="shared" si="19"/>
        <v>4.2034986024494998</v>
      </c>
      <c r="AD55">
        <f t="shared" si="19"/>
        <v>0</v>
      </c>
      <c r="AE55">
        <f t="shared" si="19"/>
        <v>47.204520416840097</v>
      </c>
      <c r="AF55">
        <f t="shared" si="19"/>
        <v>306.63664536941826</v>
      </c>
      <c r="AG55">
        <f t="shared" si="19"/>
        <v>768.0981384278183</v>
      </c>
      <c r="AH55">
        <f t="shared" si="19"/>
        <v>1341.9432476653462</v>
      </c>
      <c r="AI55">
        <f t="shared" si="19"/>
        <v>2107.3505382234662</v>
      </c>
      <c r="AJ55">
        <f t="shared" si="19"/>
        <v>2589.9353147278161</v>
      </c>
      <c r="AK55">
        <f t="shared" si="19"/>
        <v>2794.7348957278164</v>
      </c>
      <c r="AL55">
        <f t="shared" si="19"/>
        <v>2848.2602657278162</v>
      </c>
    </row>
    <row r="56" spans="1:38" x14ac:dyDescent="0.25">
      <c r="E56" s="7">
        <v>0.99974409600780001</v>
      </c>
      <c r="F56">
        <v>210</v>
      </c>
      <c r="H56">
        <v>15.8624556484775</v>
      </c>
      <c r="I56">
        <v>160</v>
      </c>
      <c r="J56">
        <f t="shared" si="18"/>
        <v>1.58624556484775</v>
      </c>
      <c r="L56" s="48">
        <f>SUM(J56*0.95)</f>
        <v>1.5069332866053624</v>
      </c>
      <c r="N56">
        <v>0.46</v>
      </c>
      <c r="O56" s="48">
        <v>7.6699267278161196</v>
      </c>
      <c r="T56" t="s">
        <v>71</v>
      </c>
      <c r="U56">
        <v>2644</v>
      </c>
      <c r="V56">
        <v>2398</v>
      </c>
      <c r="W56">
        <v>2281</v>
      </c>
      <c r="X56">
        <v>2076</v>
      </c>
      <c r="Y56">
        <v>1664</v>
      </c>
      <c r="Z56">
        <v>1191</v>
      </c>
      <c r="AA56">
        <v>727</v>
      </c>
      <c r="AB56">
        <v>246</v>
      </c>
      <c r="AC56">
        <v>15</v>
      </c>
      <c r="AD56">
        <v>0</v>
      </c>
      <c r="AE56">
        <v>49</v>
      </c>
      <c r="AF56">
        <v>303</v>
      </c>
      <c r="AG56">
        <v>775</v>
      </c>
      <c r="AH56">
        <v>1354</v>
      </c>
      <c r="AI56">
        <v>2101</v>
      </c>
      <c r="AJ56">
        <v>2565</v>
      </c>
      <c r="AK56">
        <v>2786</v>
      </c>
      <c r="AL56">
        <v>2833</v>
      </c>
    </row>
    <row r="57" spans="1:38" x14ac:dyDescent="0.25">
      <c r="E57" s="7">
        <v>0.44725393768770011</v>
      </c>
      <c r="F57">
        <v>263</v>
      </c>
      <c r="H57">
        <v>11.1591132245722</v>
      </c>
      <c r="I57">
        <v>200</v>
      </c>
      <c r="J57">
        <f t="shared" si="18"/>
        <v>1.1159113224572201</v>
      </c>
      <c r="L57" s="50">
        <f>SUM(J57*1.05)</f>
        <v>1.1717068885800812</v>
      </c>
      <c r="N57">
        <v>9.59</v>
      </c>
      <c r="O57" s="48">
        <v>114.23876035353599</v>
      </c>
      <c r="T57" t="s">
        <v>72</v>
      </c>
      <c r="U57">
        <f>SUM(U56-U55)</f>
        <v>-16.413612727806139</v>
      </c>
      <c r="V57">
        <f t="shared" ref="V57:AL57" si="20">SUM(V56-V55)</f>
        <v>-29.174368727816272</v>
      </c>
      <c r="W57">
        <f t="shared" si="20"/>
        <v>11.004729272183795</v>
      </c>
      <c r="X57">
        <f t="shared" si="20"/>
        <v>0.993840272183661</v>
      </c>
      <c r="Y57">
        <f t="shared" si="20"/>
        <v>-7.6699267278161187</v>
      </c>
      <c r="Z57">
        <f t="shared" si="20"/>
        <v>-114.23876035353624</v>
      </c>
      <c r="AA57">
        <f t="shared" si="20"/>
        <v>1.3944003214996883</v>
      </c>
      <c r="AB57">
        <f t="shared" si="20"/>
        <v>-0.5580260481972914</v>
      </c>
      <c r="AC57">
        <f t="shared" si="20"/>
        <v>10.7965013975505</v>
      </c>
      <c r="AD57">
        <f t="shared" si="20"/>
        <v>0</v>
      </c>
      <c r="AE57">
        <f t="shared" si="20"/>
        <v>1.7954795831599029</v>
      </c>
      <c r="AF57">
        <f t="shared" si="20"/>
        <v>-3.636645369418261</v>
      </c>
      <c r="AG57">
        <f t="shared" si="20"/>
        <v>6.9018615721817014</v>
      </c>
      <c r="AH57">
        <f t="shared" si="20"/>
        <v>12.056752334653766</v>
      </c>
      <c r="AI57">
        <f t="shared" si="20"/>
        <v>-6.3505382234661738</v>
      </c>
      <c r="AJ57">
        <f t="shared" si="20"/>
        <v>-24.935314727816149</v>
      </c>
      <c r="AK57">
        <f t="shared" si="20"/>
        <v>-8.7348957278163653</v>
      </c>
      <c r="AL57">
        <f t="shared" si="20"/>
        <v>-15.260265727816204</v>
      </c>
    </row>
    <row r="58" spans="1:38" x14ac:dyDescent="0.25">
      <c r="E58" s="7">
        <v>5.2618110316200013E-2</v>
      </c>
      <c r="F58">
        <v>315</v>
      </c>
      <c r="H58">
        <v>6.7164342506155403</v>
      </c>
      <c r="I58">
        <v>240</v>
      </c>
      <c r="J58">
        <f t="shared" si="18"/>
        <v>0.67164342506155406</v>
      </c>
      <c r="L58" s="49">
        <f>SUM(J58*1.04)</f>
        <v>0.69850916206401625</v>
      </c>
      <c r="M58">
        <v>0.19</v>
      </c>
      <c r="O58" s="49">
        <v>1.3944003214996883</v>
      </c>
      <c r="T58" t="s">
        <v>73</v>
      </c>
      <c r="U58" s="48">
        <f>SUM(U57/U56)*100</f>
        <v>-0.62078716822262259</v>
      </c>
      <c r="V58" s="48">
        <f t="shared" ref="V58:AL58" si="21">SUM(V57/V56)*100</f>
        <v>-1.2166125407763251</v>
      </c>
      <c r="W58" s="49">
        <f t="shared" si="21"/>
        <v>0.48245196283138075</v>
      </c>
      <c r="X58" s="49">
        <f t="shared" si="21"/>
        <v>4.7872845480908525E-2</v>
      </c>
      <c r="Y58" s="48">
        <f t="shared" si="21"/>
        <v>-0.4609330966235648</v>
      </c>
      <c r="Z58" s="48">
        <f t="shared" si="21"/>
        <v>-9.591835462093723</v>
      </c>
      <c r="AA58" s="49">
        <f t="shared" si="21"/>
        <v>0.19180196994493651</v>
      </c>
      <c r="AB58" s="48">
        <f t="shared" si="21"/>
        <v>-0.22683985699076889</v>
      </c>
      <c r="AC58" s="49">
        <f t="shared" si="21"/>
        <v>71.976675983670006</v>
      </c>
      <c r="AD58">
        <v>0</v>
      </c>
      <c r="AE58" s="49">
        <f t="shared" si="21"/>
        <v>3.6642440472651074</v>
      </c>
      <c r="AF58" s="48">
        <f t="shared" si="21"/>
        <v>-1.2002129932073469</v>
      </c>
      <c r="AG58" s="49">
        <f t="shared" si="21"/>
        <v>0.89056278350731621</v>
      </c>
      <c r="AH58" s="49">
        <f t="shared" si="21"/>
        <v>0.89045438217531503</v>
      </c>
      <c r="AI58" s="48">
        <f t="shared" si="21"/>
        <v>-0.30226264747578174</v>
      </c>
      <c r="AJ58" s="48">
        <f t="shared" si="21"/>
        <v>-0.97213702642558086</v>
      </c>
      <c r="AK58" s="48">
        <f t="shared" si="21"/>
        <v>-0.31352820272133403</v>
      </c>
      <c r="AL58" s="48">
        <f t="shared" si="21"/>
        <v>-0.53866098580360755</v>
      </c>
    </row>
    <row r="59" spans="1:38" x14ac:dyDescent="0.25">
      <c r="E59" s="7">
        <v>0</v>
      </c>
      <c r="F59">
        <v>336</v>
      </c>
      <c r="H59">
        <v>2.9383888774366498</v>
      </c>
      <c r="I59">
        <v>280</v>
      </c>
      <c r="J59">
        <f t="shared" si="18"/>
        <v>0.29383888774366496</v>
      </c>
      <c r="L59" s="50">
        <v>0.29383888774366496</v>
      </c>
      <c r="N59">
        <v>0.23</v>
      </c>
      <c r="O59" s="48">
        <v>0.55802604819729096</v>
      </c>
    </row>
    <row r="60" spans="1:38" x14ac:dyDescent="0.25">
      <c r="E60" s="7">
        <v>9.2081693053350025E-2</v>
      </c>
      <c r="F60">
        <v>368</v>
      </c>
      <c r="H60">
        <v>0.34882602867045998</v>
      </c>
      <c r="I60">
        <v>320</v>
      </c>
      <c r="J60">
        <f t="shared" si="18"/>
        <v>3.4882602867045996E-2</v>
      </c>
      <c r="L60" s="49">
        <f>SUM(J60*0.47)</f>
        <v>1.6394823347511616E-2</v>
      </c>
      <c r="M60">
        <v>72</v>
      </c>
      <c r="O60" s="49">
        <v>10.7965013975505</v>
      </c>
      <c r="T60" t="s">
        <v>86</v>
      </c>
    </row>
    <row r="61" spans="1:38" x14ac:dyDescent="0.25">
      <c r="E61" s="7">
        <v>0.44725393768770011</v>
      </c>
      <c r="F61">
        <v>420</v>
      </c>
      <c r="H61">
        <v>0</v>
      </c>
      <c r="I61">
        <v>336</v>
      </c>
      <c r="J61">
        <f t="shared" si="18"/>
        <v>0</v>
      </c>
      <c r="L61">
        <v>0</v>
      </c>
      <c r="T61" t="s">
        <v>68</v>
      </c>
      <c r="U61">
        <v>1</v>
      </c>
      <c r="V61">
        <v>40</v>
      </c>
      <c r="W61">
        <v>80</v>
      </c>
      <c r="X61">
        <v>120</v>
      </c>
      <c r="Y61">
        <v>160</v>
      </c>
      <c r="Z61">
        <v>200</v>
      </c>
      <c r="AA61">
        <v>240</v>
      </c>
      <c r="AB61">
        <v>280</v>
      </c>
      <c r="AC61">
        <v>320</v>
      </c>
      <c r="AD61">
        <v>334</v>
      </c>
      <c r="AE61">
        <v>360</v>
      </c>
      <c r="AF61">
        <v>400</v>
      </c>
      <c r="AG61">
        <v>440</v>
      </c>
      <c r="AH61">
        <v>480</v>
      </c>
      <c r="AI61">
        <v>520</v>
      </c>
      <c r="AJ61">
        <v>560</v>
      </c>
      <c r="AK61">
        <v>600</v>
      </c>
      <c r="AL61">
        <v>631</v>
      </c>
    </row>
    <row r="62" spans="1:38" x14ac:dyDescent="0.25">
      <c r="E62" s="7">
        <v>1.1049803166401999</v>
      </c>
      <c r="F62">
        <v>473</v>
      </c>
      <c r="H62">
        <v>0.56090358694343101</v>
      </c>
      <c r="I62">
        <v>360</v>
      </c>
      <c r="J62">
        <f t="shared" si="18"/>
        <v>5.6090358694343104E-2</v>
      </c>
      <c r="L62" s="49">
        <f>SUM(J62*0.63)</f>
        <v>3.5336925977436158E-2</v>
      </c>
      <c r="M62">
        <v>3.66</v>
      </c>
      <c r="O62" s="49">
        <v>1.7954795831599029</v>
      </c>
      <c r="T62" t="s">
        <v>69</v>
      </c>
      <c r="U62">
        <v>2708.9315664999899</v>
      </c>
      <c r="V62">
        <v>2503.0678195</v>
      </c>
      <c r="W62">
        <v>2318.5132245</v>
      </c>
      <c r="X62">
        <v>2123.5241135000001</v>
      </c>
      <c r="Y62">
        <v>1720.1878804999999</v>
      </c>
      <c r="Z62">
        <v>1239.0219122880001</v>
      </c>
      <c r="AA62">
        <v>774.12355345068397</v>
      </c>
      <c r="AB62">
        <v>295.07597982038101</v>
      </c>
      <c r="AC62">
        <v>67.720972374633106</v>
      </c>
      <c r="AD62">
        <v>49.091092789107002</v>
      </c>
      <c r="AE62">
        <v>95.722474189023799</v>
      </c>
      <c r="AF62">
        <v>355.15459914160198</v>
      </c>
      <c r="AG62">
        <v>816.61609220000196</v>
      </c>
      <c r="AH62">
        <v>1390.46120143753</v>
      </c>
      <c r="AI62">
        <v>2155.8684919956499</v>
      </c>
      <c r="AJ62">
        <v>2638.4532684999999</v>
      </c>
      <c r="AK62">
        <v>2843.2528495000001</v>
      </c>
      <c r="AL62">
        <v>2896.7782195</v>
      </c>
    </row>
    <row r="63" spans="1:38" x14ac:dyDescent="0.25">
      <c r="E63" s="7">
        <v>1.9731791368575</v>
      </c>
      <c r="F63">
        <v>525</v>
      </c>
      <c r="H63">
        <v>2.8194351119976102</v>
      </c>
      <c r="I63">
        <v>400</v>
      </c>
      <c r="J63">
        <f t="shared" si="18"/>
        <v>0.28194351119976102</v>
      </c>
      <c r="L63" s="48">
        <v>0.28194351119976102</v>
      </c>
      <c r="N63">
        <v>1.2</v>
      </c>
      <c r="O63" s="48">
        <v>3.6366453694182601</v>
      </c>
      <c r="T63" t="s">
        <v>70</v>
      </c>
      <c r="U63">
        <f>SUM(U62-$AD$62)</f>
        <v>2659.8404737108831</v>
      </c>
      <c r="V63">
        <f t="shared" ref="V63:AL63" si="22">SUM(V62-$AD$62)</f>
        <v>2453.9767267108932</v>
      </c>
      <c r="W63">
        <f t="shared" si="22"/>
        <v>2269.4221317108932</v>
      </c>
      <c r="X63">
        <f t="shared" si="22"/>
        <v>2074.4330207108933</v>
      </c>
      <c r="Y63">
        <f t="shared" si="22"/>
        <v>1671.0967877108928</v>
      </c>
      <c r="Z63">
        <f t="shared" si="22"/>
        <v>1189.930819498893</v>
      </c>
      <c r="AA63">
        <f t="shared" si="22"/>
        <v>725.03246066157692</v>
      </c>
      <c r="AB63">
        <f t="shared" si="22"/>
        <v>245.98488703127401</v>
      </c>
      <c r="AC63">
        <f t="shared" si="22"/>
        <v>18.629879585526105</v>
      </c>
      <c r="AD63">
        <f>SUM(AD62-$AD$62)</f>
        <v>0</v>
      </c>
      <c r="AE63">
        <f t="shared" si="22"/>
        <v>46.631381399916798</v>
      </c>
      <c r="AF63">
        <f t="shared" si="22"/>
        <v>306.06350635249498</v>
      </c>
      <c r="AG63">
        <f t="shared" si="22"/>
        <v>767.52499941089491</v>
      </c>
      <c r="AH63">
        <f t="shared" si="22"/>
        <v>1341.370108648423</v>
      </c>
      <c r="AI63">
        <f t="shared" si="22"/>
        <v>2106.7773992065431</v>
      </c>
      <c r="AJ63">
        <f t="shared" si="22"/>
        <v>2589.3621757108931</v>
      </c>
      <c r="AK63">
        <f t="shared" si="22"/>
        <v>2794.1617567108933</v>
      </c>
      <c r="AL63">
        <f t="shared" si="22"/>
        <v>2847.6871267108932</v>
      </c>
    </row>
    <row r="64" spans="1:38" x14ac:dyDescent="0.25">
      <c r="E64" s="7">
        <v>2.4993602400195001</v>
      </c>
      <c r="F64">
        <v>578</v>
      </c>
      <c r="H64">
        <v>6.5886597697836198</v>
      </c>
      <c r="I64">
        <v>440</v>
      </c>
      <c r="J64">
        <f t="shared" si="18"/>
        <v>0.65886597697836202</v>
      </c>
      <c r="L64" s="49">
        <f>SUM(J64*1.1)</f>
        <v>0.72475257467619825</v>
      </c>
      <c r="M64">
        <v>0.89</v>
      </c>
      <c r="O64" s="49">
        <v>6.9018615721817014</v>
      </c>
      <c r="T64" t="s">
        <v>71</v>
      </c>
      <c r="U64">
        <v>2644</v>
      </c>
      <c r="V64">
        <v>2398</v>
      </c>
      <c r="W64">
        <v>2281</v>
      </c>
      <c r="X64">
        <v>2076</v>
      </c>
      <c r="Y64">
        <v>1664</v>
      </c>
      <c r="Z64">
        <v>1191</v>
      </c>
      <c r="AA64">
        <v>727</v>
      </c>
      <c r="AB64">
        <v>246</v>
      </c>
      <c r="AC64">
        <v>15</v>
      </c>
      <c r="AD64">
        <v>0</v>
      </c>
      <c r="AE64">
        <v>49</v>
      </c>
      <c r="AF64">
        <v>303</v>
      </c>
      <c r="AG64">
        <v>775</v>
      </c>
      <c r="AH64">
        <v>1354</v>
      </c>
      <c r="AI64">
        <v>2101</v>
      </c>
      <c r="AJ64">
        <v>2565</v>
      </c>
      <c r="AK64">
        <v>2786</v>
      </c>
      <c r="AL64">
        <v>2833</v>
      </c>
    </row>
    <row r="65" spans="5:38" x14ac:dyDescent="0.25">
      <c r="E65" s="7">
        <v>2.6309055158100003</v>
      </c>
      <c r="F65">
        <v>631</v>
      </c>
      <c r="H65">
        <v>12.1245199596975</v>
      </c>
      <c r="I65">
        <v>480</v>
      </c>
      <c r="J65">
        <f t="shared" si="18"/>
        <v>1.21245199596975</v>
      </c>
      <c r="L65" s="49">
        <f>SUM(J65*1.02)</f>
        <v>1.236701035889145</v>
      </c>
      <c r="M65">
        <v>0.89</v>
      </c>
      <c r="O65" s="49">
        <v>12.056752334653766</v>
      </c>
      <c r="T65" t="s">
        <v>90</v>
      </c>
      <c r="U65" s="48">
        <f>SUM(U64-U63)</f>
        <v>-15.840473710883089</v>
      </c>
      <c r="V65" s="51">
        <f t="shared" ref="V65:AL65" si="23">SUM(V64-V63)</f>
        <v>-55.976726710893217</v>
      </c>
      <c r="W65" s="49">
        <f t="shared" si="23"/>
        <v>11.577868289106846</v>
      </c>
      <c r="X65" s="49">
        <f t="shared" si="23"/>
        <v>1.5669792891067118</v>
      </c>
      <c r="Y65" s="48">
        <f t="shared" si="23"/>
        <v>-7.0967877108928406</v>
      </c>
      <c r="Z65" s="49">
        <f t="shared" si="23"/>
        <v>1.0691805011069846</v>
      </c>
      <c r="AA65" s="49">
        <f t="shared" si="23"/>
        <v>1.9675393384230802</v>
      </c>
      <c r="AB65" s="49">
        <f t="shared" si="23"/>
        <v>1.5112968725986775E-2</v>
      </c>
      <c r="AC65" s="48">
        <f t="shared" si="23"/>
        <v>-3.6298795855261048</v>
      </c>
      <c r="AD65">
        <f t="shared" si="23"/>
        <v>0</v>
      </c>
      <c r="AE65" s="49">
        <f t="shared" si="23"/>
        <v>2.3686186000832024</v>
      </c>
      <c r="AF65" s="48">
        <f t="shared" si="23"/>
        <v>-3.0635063524949828</v>
      </c>
      <c r="AG65" s="49">
        <f t="shared" si="23"/>
        <v>7.4750005891050932</v>
      </c>
      <c r="AH65" s="49">
        <f t="shared" si="23"/>
        <v>12.629891351577044</v>
      </c>
      <c r="AI65" s="48">
        <f t="shared" si="23"/>
        <v>-5.777399206543123</v>
      </c>
      <c r="AJ65" s="51">
        <f t="shared" si="23"/>
        <v>-24.362175710893098</v>
      </c>
      <c r="AK65" s="48">
        <f t="shared" si="23"/>
        <v>-8.1617567108933144</v>
      </c>
      <c r="AL65" s="48">
        <f t="shared" si="23"/>
        <v>-14.687126710893153</v>
      </c>
    </row>
    <row r="66" spans="5:38" x14ac:dyDescent="0.25">
      <c r="H66">
        <v>19.059288362716799</v>
      </c>
      <c r="I66">
        <v>520</v>
      </c>
      <c r="J66">
        <f t="shared" si="18"/>
        <v>1.90592883627168</v>
      </c>
      <c r="L66" s="50">
        <f>SUM(J66*1.02)</f>
        <v>1.9440474129971137</v>
      </c>
      <c r="N66">
        <v>0.3</v>
      </c>
      <c r="O66" s="48">
        <v>6.3505382234661703</v>
      </c>
      <c r="T66" t="s">
        <v>73</v>
      </c>
      <c r="U66">
        <f>SUM(U65/U64)*100</f>
        <v>-0.5991102008654724</v>
      </c>
      <c r="V66">
        <f t="shared" ref="V66:AL66" si="24">SUM(V65/V64)*100</f>
        <v>-2.334308870345839</v>
      </c>
      <c r="W66">
        <f t="shared" si="24"/>
        <v>0.50757861854918218</v>
      </c>
      <c r="X66">
        <f t="shared" si="24"/>
        <v>7.5480697933849317E-2</v>
      </c>
      <c r="Y66">
        <f t="shared" si="24"/>
        <v>-0.42648964608731016</v>
      </c>
      <c r="Z66">
        <f t="shared" si="24"/>
        <v>8.9771662561459659E-2</v>
      </c>
      <c r="AA66">
        <f t="shared" si="24"/>
        <v>0.27063814833880057</v>
      </c>
      <c r="AB66">
        <f t="shared" si="24"/>
        <v>6.1434832219458436E-3</v>
      </c>
      <c r="AC66">
        <f t="shared" si="24"/>
        <v>-24.1991972368407</v>
      </c>
      <c r="AD66">
        <v>0</v>
      </c>
      <c r="AE66">
        <f t="shared" si="24"/>
        <v>4.8339155103738829</v>
      </c>
      <c r="AF66">
        <f t="shared" si="24"/>
        <v>-1.0110582021435588</v>
      </c>
      <c r="AG66">
        <f t="shared" si="24"/>
        <v>0.96451620504581848</v>
      </c>
      <c r="AH66">
        <f t="shared" si="24"/>
        <v>0.93278370395694554</v>
      </c>
      <c r="AI66">
        <f t="shared" si="24"/>
        <v>-0.27498330350038663</v>
      </c>
      <c r="AJ66">
        <f t="shared" si="24"/>
        <v>-0.94979242537594921</v>
      </c>
      <c r="AK66">
        <f t="shared" si="24"/>
        <v>-0.29295609156113833</v>
      </c>
      <c r="AL66">
        <f t="shared" si="24"/>
        <v>-0.51843016981620726</v>
      </c>
    </row>
    <row r="67" spans="5:38" x14ac:dyDescent="0.25">
      <c r="H67">
        <v>23.776457598753701</v>
      </c>
      <c r="I67">
        <v>560</v>
      </c>
      <c r="J67">
        <f t="shared" si="18"/>
        <v>2.37764575987537</v>
      </c>
      <c r="L67" s="50">
        <f>SUM(J67*1.02)</f>
        <v>2.4251986750728776</v>
      </c>
      <c r="N67">
        <v>0.97</v>
      </c>
      <c r="O67" s="48">
        <v>24.935314727816099</v>
      </c>
    </row>
    <row r="68" spans="5:38" x14ac:dyDescent="0.25">
      <c r="H68">
        <v>25.784296625486501</v>
      </c>
      <c r="I68">
        <v>600</v>
      </c>
      <c r="J68">
        <f t="shared" si="18"/>
        <v>2.57842966254865</v>
      </c>
      <c r="L68" s="50">
        <f>SUM(J68*1.02)</f>
        <v>2.6299982557996229</v>
      </c>
      <c r="N68">
        <v>0.31</v>
      </c>
      <c r="O68" s="48">
        <v>8.7348957278163706</v>
      </c>
      <c r="T68" t="s">
        <v>92</v>
      </c>
    </row>
    <row r="69" spans="5:38" x14ac:dyDescent="0.25">
      <c r="H69">
        <v>26.30905516</v>
      </c>
      <c r="I69">
        <v>631</v>
      </c>
      <c r="J69">
        <f t="shared" si="18"/>
        <v>2.6309055159999999</v>
      </c>
      <c r="L69" s="50">
        <f>SUM(J69*1.02)</f>
        <v>2.68352362632</v>
      </c>
      <c r="N69">
        <v>0.53</v>
      </c>
      <c r="O69" s="48">
        <v>15.260265727816201</v>
      </c>
      <c r="T69" t="s">
        <v>68</v>
      </c>
      <c r="U69">
        <v>1</v>
      </c>
      <c r="V69">
        <v>40</v>
      </c>
      <c r="W69">
        <v>80</v>
      </c>
      <c r="X69">
        <v>120</v>
      </c>
      <c r="Y69">
        <v>160</v>
      </c>
      <c r="Z69">
        <v>200</v>
      </c>
      <c r="AA69">
        <v>240</v>
      </c>
      <c r="AB69">
        <v>280</v>
      </c>
      <c r="AC69">
        <v>320</v>
      </c>
      <c r="AD69">
        <v>334</v>
      </c>
      <c r="AE69">
        <v>360</v>
      </c>
      <c r="AF69">
        <v>400</v>
      </c>
      <c r="AG69">
        <v>440</v>
      </c>
      <c r="AH69">
        <v>480</v>
      </c>
      <c r="AI69">
        <v>520</v>
      </c>
      <c r="AJ69">
        <v>560</v>
      </c>
      <c r="AK69">
        <v>600</v>
      </c>
      <c r="AL69">
        <v>631</v>
      </c>
    </row>
    <row r="70" spans="5:38" x14ac:dyDescent="0.25">
      <c r="E70" s="137" t="s">
        <v>131</v>
      </c>
      <c r="F70" s="137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T70" t="s">
        <v>69</v>
      </c>
      <c r="U70">
        <v>2708.9315664999899</v>
      </c>
      <c r="V70">
        <v>2453.06794550001</v>
      </c>
      <c r="W70">
        <v>2318.5132245</v>
      </c>
      <c r="X70">
        <v>2123.5241135000001</v>
      </c>
      <c r="Y70">
        <v>1720.1878804999999</v>
      </c>
      <c r="Z70">
        <v>1251.12545312572</v>
      </c>
      <c r="AA70">
        <v>774.12355345068397</v>
      </c>
      <c r="AB70">
        <v>295.07597982038101</v>
      </c>
      <c r="AC70">
        <v>67.720972374633106</v>
      </c>
      <c r="AD70">
        <v>48.0191628035886</v>
      </c>
      <c r="AE70">
        <v>95.722474189023799</v>
      </c>
      <c r="AF70">
        <v>355.15459914160198</v>
      </c>
      <c r="AG70">
        <v>816.61609220000196</v>
      </c>
      <c r="AH70">
        <v>1390.46120143753</v>
      </c>
      <c r="AI70">
        <v>2155.8684919956499</v>
      </c>
      <c r="AJ70">
        <v>2614.2012814999998</v>
      </c>
      <c r="AK70">
        <v>2843.2528495000001</v>
      </c>
      <c r="AL70">
        <v>2896.7782195</v>
      </c>
    </row>
    <row r="71" spans="5:38" x14ac:dyDescent="0.25">
      <c r="E71" s="137"/>
      <c r="F71" s="137"/>
      <c r="G71" s="137"/>
      <c r="H71" s="137"/>
      <c r="I71" s="137"/>
      <c r="J71" s="137"/>
      <c r="K71" s="137"/>
      <c r="L71" s="137"/>
      <c r="M71" s="137"/>
      <c r="N71" s="137"/>
      <c r="O71" s="137"/>
      <c r="P71" s="137"/>
      <c r="T71" t="s">
        <v>70</v>
      </c>
      <c r="U71">
        <f>SUM(U70-$AD$70)</f>
        <v>2660.9124036964013</v>
      </c>
      <c r="V71">
        <f t="shared" ref="V71:AL71" si="25">SUM(V70-$AD$70)</f>
        <v>2405.0487826964213</v>
      </c>
      <c r="W71">
        <f t="shared" si="25"/>
        <v>2270.4940616964113</v>
      </c>
      <c r="X71">
        <f t="shared" si="25"/>
        <v>2075.5049506964115</v>
      </c>
      <c r="Y71">
        <f t="shared" si="25"/>
        <v>1672.1687176964112</v>
      </c>
      <c r="Z71">
        <f t="shared" si="25"/>
        <v>1203.1062903221314</v>
      </c>
      <c r="AA71">
        <f t="shared" si="25"/>
        <v>726.10439064709533</v>
      </c>
      <c r="AB71">
        <f t="shared" si="25"/>
        <v>247.05681701679242</v>
      </c>
      <c r="AC71">
        <f t="shared" si="25"/>
        <v>19.701809571044507</v>
      </c>
      <c r="AD71">
        <f t="shared" si="25"/>
        <v>0</v>
      </c>
      <c r="AE71">
        <f t="shared" si="25"/>
        <v>47.7033113854352</v>
      </c>
      <c r="AF71">
        <f t="shared" si="25"/>
        <v>307.13543633801339</v>
      </c>
      <c r="AG71">
        <f t="shared" si="25"/>
        <v>768.59692939641332</v>
      </c>
      <c r="AH71">
        <f t="shared" si="25"/>
        <v>1342.4420386339414</v>
      </c>
      <c r="AI71">
        <f t="shared" si="25"/>
        <v>2107.8493291920613</v>
      </c>
      <c r="AJ71">
        <f t="shared" si="25"/>
        <v>2566.1821186964112</v>
      </c>
      <c r="AK71">
        <f t="shared" si="25"/>
        <v>2795.2336866964115</v>
      </c>
      <c r="AL71">
        <f t="shared" si="25"/>
        <v>2848.7590566964113</v>
      </c>
    </row>
    <row r="72" spans="5:38" x14ac:dyDescent="0.25">
      <c r="E72" t="s">
        <v>86</v>
      </c>
      <c r="F72" t="s">
        <v>77</v>
      </c>
      <c r="G72" s="49" t="s">
        <v>91</v>
      </c>
      <c r="H72" s="48" t="s">
        <v>94</v>
      </c>
      <c r="I72" t="s">
        <v>87</v>
      </c>
      <c r="L72" t="s">
        <v>92</v>
      </c>
      <c r="M72" t="s">
        <v>77</v>
      </c>
      <c r="N72" s="49" t="s">
        <v>91</v>
      </c>
      <c r="O72" s="48" t="s">
        <v>94</v>
      </c>
      <c r="P72" t="s">
        <v>87</v>
      </c>
      <c r="T72" t="s">
        <v>71</v>
      </c>
      <c r="U72">
        <v>2644</v>
      </c>
      <c r="V72">
        <v>2398</v>
      </c>
      <c r="W72">
        <v>2281</v>
      </c>
      <c r="X72">
        <v>2076</v>
      </c>
      <c r="Y72">
        <v>1664</v>
      </c>
      <c r="Z72">
        <v>1191</v>
      </c>
      <c r="AA72">
        <v>727</v>
      </c>
      <c r="AB72">
        <v>246</v>
      </c>
      <c r="AC72">
        <v>15</v>
      </c>
      <c r="AD72">
        <v>0</v>
      </c>
      <c r="AE72">
        <v>49</v>
      </c>
      <c r="AF72">
        <v>303</v>
      </c>
      <c r="AG72">
        <v>775</v>
      </c>
      <c r="AH72">
        <v>1354</v>
      </c>
      <c r="AI72">
        <v>2101</v>
      </c>
      <c r="AJ72">
        <v>2565</v>
      </c>
      <c r="AK72">
        <v>2786</v>
      </c>
      <c r="AL72">
        <v>2833</v>
      </c>
    </row>
    <row r="73" spans="5:38" x14ac:dyDescent="0.25">
      <c r="E73">
        <v>2.4956769726000001</v>
      </c>
      <c r="F73">
        <v>1</v>
      </c>
      <c r="H73" s="48">
        <v>0.59911020086547195</v>
      </c>
      <c r="I73">
        <v>-15.840473710883089</v>
      </c>
      <c r="L73">
        <v>2.4956769726000001</v>
      </c>
      <c r="M73">
        <v>1</v>
      </c>
      <c r="O73" s="48">
        <v>0.639652182163437</v>
      </c>
      <c r="P73">
        <v>-16.91240369640127</v>
      </c>
      <c r="T73" t="s">
        <v>90</v>
      </c>
      <c r="U73" s="48">
        <f t="shared" ref="U73:AL73" si="26">SUM(U72-U71)</f>
        <v>-16.91240369640127</v>
      </c>
      <c r="V73" s="51">
        <f t="shared" si="26"/>
        <v>-7.0487826964213127</v>
      </c>
      <c r="W73" s="49">
        <f t="shared" si="26"/>
        <v>10.505938303588664</v>
      </c>
      <c r="X73" s="49">
        <f t="shared" si="26"/>
        <v>0.49504930358853017</v>
      </c>
      <c r="Y73" s="48">
        <f t="shared" si="26"/>
        <v>-8.1687176964112496</v>
      </c>
      <c r="Z73" s="50">
        <f t="shared" si="26"/>
        <v>-12.106290322131372</v>
      </c>
      <c r="AA73" s="49">
        <f t="shared" si="26"/>
        <v>0.89560935290467114</v>
      </c>
      <c r="AB73" s="50">
        <f t="shared" si="26"/>
        <v>-1.0568170167924222</v>
      </c>
      <c r="AC73" s="48">
        <f t="shared" si="26"/>
        <v>-4.7018095710445067</v>
      </c>
      <c r="AD73">
        <f t="shared" si="26"/>
        <v>0</v>
      </c>
      <c r="AE73" s="49">
        <f t="shared" si="26"/>
        <v>1.2966886145648004</v>
      </c>
      <c r="AF73" s="48">
        <f t="shared" si="26"/>
        <v>-4.1354363380133918</v>
      </c>
      <c r="AG73" s="49">
        <f t="shared" si="26"/>
        <v>6.4030706035866842</v>
      </c>
      <c r="AH73" s="49">
        <f t="shared" si="26"/>
        <v>11.557961366058635</v>
      </c>
      <c r="AI73" s="48">
        <f t="shared" si="26"/>
        <v>-6.8493291920613046</v>
      </c>
      <c r="AJ73" s="51">
        <f t="shared" si="26"/>
        <v>-1.1821186964111803</v>
      </c>
      <c r="AK73" s="48">
        <f t="shared" si="26"/>
        <v>-9.2336866964114961</v>
      </c>
      <c r="AL73" s="48">
        <f t="shared" si="26"/>
        <v>-15.759056696411335</v>
      </c>
    </row>
    <row r="74" spans="5:38" x14ac:dyDescent="0.25">
      <c r="E74">
        <f>SUM(2.26243772937441*1.0121)</f>
        <v>2.2898132258998403</v>
      </c>
      <c r="F74">
        <v>40</v>
      </c>
      <c r="H74" s="48">
        <v>2.3343088703458399</v>
      </c>
      <c r="I74">
        <v>-55.976726710893217</v>
      </c>
      <c r="L74">
        <f>SUM(2.26243772937441*0.99)</f>
        <v>2.2398133520806658</v>
      </c>
      <c r="M74">
        <v>40</v>
      </c>
      <c r="O74" s="48">
        <v>0.293944232544675</v>
      </c>
      <c r="P74">
        <v>-7.0487826964213127</v>
      </c>
      <c r="T74" t="s">
        <v>73</v>
      </c>
      <c r="U74">
        <f t="shared" ref="U74:AC74" si="27">SUM(U73/U72)*100</f>
        <v>-0.63965218216343689</v>
      </c>
      <c r="V74">
        <f t="shared" si="27"/>
        <v>-0.29394423254467522</v>
      </c>
      <c r="W74">
        <f t="shared" si="27"/>
        <v>0.46058475684299272</v>
      </c>
      <c r="X74">
        <f t="shared" si="27"/>
        <v>2.3846305567848274E-2</v>
      </c>
      <c r="Y74">
        <f t="shared" si="27"/>
        <v>-0.49090851540932995</v>
      </c>
      <c r="Z74">
        <f t="shared" si="27"/>
        <v>-1.0164811353594772</v>
      </c>
      <c r="AA74">
        <f t="shared" si="27"/>
        <v>0.12319248320559438</v>
      </c>
      <c r="AB74">
        <f t="shared" si="27"/>
        <v>-0.42960041333025295</v>
      </c>
      <c r="AC74">
        <f t="shared" si="27"/>
        <v>-31.345397140296711</v>
      </c>
      <c r="AD74">
        <v>0</v>
      </c>
      <c r="AE74">
        <f t="shared" ref="AE74:AL74" si="28">SUM(AE73/AE72)*100</f>
        <v>2.6463032950302048</v>
      </c>
      <c r="AF74">
        <f t="shared" si="28"/>
        <v>-1.3648304745918785</v>
      </c>
      <c r="AG74">
        <f t="shared" si="28"/>
        <v>0.82620265852731412</v>
      </c>
      <c r="AH74">
        <f t="shared" si="28"/>
        <v>0.85361605362323734</v>
      </c>
      <c r="AI74">
        <f t="shared" si="28"/>
        <v>-0.32600329329182792</v>
      </c>
      <c r="AJ74">
        <f t="shared" si="28"/>
        <v>-4.6086498885426132E-2</v>
      </c>
      <c r="AK74">
        <f t="shared" si="28"/>
        <v>-0.33143168328828054</v>
      </c>
      <c r="AL74">
        <f t="shared" si="28"/>
        <v>-0.55626744427855046</v>
      </c>
    </row>
    <row r="75" spans="5:38" x14ac:dyDescent="0.25">
      <c r="E75">
        <v>2.10525863105146</v>
      </c>
      <c r="F75">
        <v>80</v>
      </c>
      <c r="G75" s="49">
        <v>0.50757861854918218</v>
      </c>
      <c r="I75">
        <v>11.577868289106846</v>
      </c>
      <c r="L75">
        <v>2.10525863105146</v>
      </c>
      <c r="M75">
        <v>80</v>
      </c>
      <c r="N75" s="49">
        <v>0.46058475684299272</v>
      </c>
      <c r="P75">
        <v>10.505938303588664</v>
      </c>
    </row>
    <row r="76" spans="5:38" x14ac:dyDescent="0.25">
      <c r="E76">
        <v>1.91026952033859</v>
      </c>
      <c r="F76">
        <v>120</v>
      </c>
      <c r="G76" s="49">
        <v>7.5480697933849317E-2</v>
      </c>
      <c r="I76">
        <v>1.5669792891067118</v>
      </c>
      <c r="L76">
        <v>1.91026952033859</v>
      </c>
      <c r="M76">
        <v>120</v>
      </c>
      <c r="N76" s="49">
        <v>2.3846305567848274E-2</v>
      </c>
      <c r="P76">
        <v>0.49504930358853017</v>
      </c>
      <c r="T76" t="s">
        <v>93</v>
      </c>
    </row>
    <row r="77" spans="5:38" x14ac:dyDescent="0.25">
      <c r="E77">
        <v>1.5069332866053624</v>
      </c>
      <c r="F77">
        <v>160</v>
      </c>
      <c r="H77" s="48">
        <v>0.42648964608730999</v>
      </c>
      <c r="I77">
        <v>-7.0967877108928406</v>
      </c>
      <c r="L77">
        <v>1.5069332866053624</v>
      </c>
      <c r="M77">
        <v>160</v>
      </c>
      <c r="O77" s="48">
        <v>0.49090851540933</v>
      </c>
      <c r="P77">
        <v>-8.1687176964112496</v>
      </c>
      <c r="T77" t="s">
        <v>68</v>
      </c>
      <c r="U77">
        <v>1</v>
      </c>
      <c r="V77">
        <v>40</v>
      </c>
      <c r="W77">
        <v>80</v>
      </c>
      <c r="X77">
        <v>120</v>
      </c>
      <c r="Y77">
        <v>160</v>
      </c>
      <c r="Z77">
        <v>200</v>
      </c>
      <c r="AA77">
        <v>240</v>
      </c>
      <c r="AB77">
        <v>280</v>
      </c>
      <c r="AC77">
        <v>320</v>
      </c>
      <c r="AD77">
        <v>333</v>
      </c>
      <c r="AE77">
        <v>360</v>
      </c>
      <c r="AF77">
        <v>400</v>
      </c>
      <c r="AG77">
        <v>440</v>
      </c>
      <c r="AH77">
        <v>480</v>
      </c>
      <c r="AI77">
        <v>520</v>
      </c>
      <c r="AJ77">
        <v>560</v>
      </c>
      <c r="AK77">
        <v>600</v>
      </c>
      <c r="AL77">
        <v>631</v>
      </c>
    </row>
    <row r="78" spans="5:38" x14ac:dyDescent="0.25">
      <c r="E78">
        <f>SUM(1.17170688858008/1.096)</f>
        <v>1.0690756282664964</v>
      </c>
      <c r="F78">
        <v>200</v>
      </c>
      <c r="G78" s="49">
        <v>8.9771662561459659E-2</v>
      </c>
      <c r="I78">
        <v>1.0691805011069846</v>
      </c>
      <c r="L78">
        <v>1.0690756282664964</v>
      </c>
      <c r="M78">
        <v>200</v>
      </c>
      <c r="O78" s="48">
        <v>1.01648113535948</v>
      </c>
      <c r="P78">
        <v>-12.106290322131372</v>
      </c>
      <c r="T78" t="s">
        <v>69</v>
      </c>
      <c r="U78">
        <v>2696.4531815</v>
      </c>
      <c r="V78">
        <v>2453.06794550001</v>
      </c>
      <c r="W78">
        <v>2318.5132245</v>
      </c>
      <c r="X78">
        <v>2123.5241135000001</v>
      </c>
      <c r="Y78">
        <v>1720.1878804999999</v>
      </c>
      <c r="Z78">
        <v>1251.12545312572</v>
      </c>
      <c r="AA78">
        <v>774.12355345068397</v>
      </c>
      <c r="AB78">
        <v>295.07597982038101</v>
      </c>
      <c r="AC78">
        <v>64.5815373746332</v>
      </c>
      <c r="AD78">
        <v>47.989802421280501</v>
      </c>
      <c r="AE78">
        <v>95.722474189023799</v>
      </c>
      <c r="AF78">
        <v>355.15459914160198</v>
      </c>
      <c r="AG78">
        <v>816.61609220000196</v>
      </c>
      <c r="AH78">
        <v>1390.46120143753</v>
      </c>
      <c r="AI78">
        <v>2155.8684919956499</v>
      </c>
      <c r="AJ78">
        <v>2614.2012814999998</v>
      </c>
      <c r="AK78">
        <v>2843.2528495000001</v>
      </c>
      <c r="AL78">
        <v>2883.3606015</v>
      </c>
    </row>
    <row r="79" spans="5:38" x14ac:dyDescent="0.25">
      <c r="E79">
        <v>0.69850916206401625</v>
      </c>
      <c r="F79">
        <v>240</v>
      </c>
      <c r="G79" s="49">
        <v>0.27063814833880057</v>
      </c>
      <c r="I79">
        <v>1.9675393384230802</v>
      </c>
      <c r="L79">
        <v>0.69850916206401625</v>
      </c>
      <c r="M79">
        <v>240</v>
      </c>
      <c r="N79" s="49">
        <v>0.12319248320559438</v>
      </c>
      <c r="P79">
        <v>0.89560935290467114</v>
      </c>
      <c r="T79" t="s">
        <v>70</v>
      </c>
      <c r="U79">
        <f>SUM(U78-$AD$78)</f>
        <v>2648.4633790787193</v>
      </c>
      <c r="V79">
        <f t="shared" ref="V79:AL79" si="29">SUM(V78-$AD$78)</f>
        <v>2405.0781430787292</v>
      </c>
      <c r="W79">
        <f t="shared" si="29"/>
        <v>2270.5234220787197</v>
      </c>
      <c r="X79">
        <f t="shared" si="29"/>
        <v>2075.5343110787198</v>
      </c>
      <c r="Y79">
        <f t="shared" si="29"/>
        <v>1672.1980780787194</v>
      </c>
      <c r="Z79">
        <f t="shared" si="29"/>
        <v>1203.1356507044395</v>
      </c>
      <c r="AA79">
        <f t="shared" si="29"/>
        <v>726.13375102940347</v>
      </c>
      <c r="AB79">
        <f t="shared" si="29"/>
        <v>247.08617739910051</v>
      </c>
      <c r="AC79">
        <f t="shared" si="29"/>
        <v>16.591734953352699</v>
      </c>
      <c r="AD79">
        <f t="shared" si="29"/>
        <v>0</v>
      </c>
      <c r="AE79">
        <f t="shared" si="29"/>
        <v>47.732671767743298</v>
      </c>
      <c r="AF79">
        <f t="shared" si="29"/>
        <v>307.16479672032148</v>
      </c>
      <c r="AG79">
        <f t="shared" si="29"/>
        <v>768.62628977872146</v>
      </c>
      <c r="AH79">
        <f t="shared" si="29"/>
        <v>1342.4713990162495</v>
      </c>
      <c r="AI79">
        <f t="shared" si="29"/>
        <v>2107.8786895743697</v>
      </c>
      <c r="AJ79">
        <f t="shared" si="29"/>
        <v>2566.2114790787191</v>
      </c>
      <c r="AK79">
        <f t="shared" si="29"/>
        <v>2795.2630470787199</v>
      </c>
      <c r="AL79">
        <f t="shared" si="29"/>
        <v>2835.3707990787198</v>
      </c>
    </row>
    <row r="80" spans="5:38" x14ac:dyDescent="0.25">
      <c r="E80">
        <v>0.29383888774366496</v>
      </c>
      <c r="F80">
        <v>280</v>
      </c>
      <c r="G80" s="49">
        <v>6.1434832219458436E-3</v>
      </c>
      <c r="I80">
        <v>1.5112968725986775E-2</v>
      </c>
      <c r="L80">
        <v>0.29383888774366496</v>
      </c>
      <c r="M80">
        <v>280</v>
      </c>
      <c r="O80" s="48">
        <v>0.42960041333025301</v>
      </c>
      <c r="P80">
        <v>-1.0568170167924222</v>
      </c>
      <c r="T80" t="s">
        <v>71</v>
      </c>
      <c r="U80">
        <v>2644</v>
      </c>
      <c r="V80">
        <v>2398</v>
      </c>
      <c r="W80">
        <v>2281</v>
      </c>
      <c r="X80">
        <v>2076</v>
      </c>
      <c r="Y80">
        <v>1664</v>
      </c>
      <c r="Z80">
        <v>1191</v>
      </c>
      <c r="AA80">
        <v>727</v>
      </c>
      <c r="AB80">
        <v>246</v>
      </c>
      <c r="AC80">
        <v>15</v>
      </c>
      <c r="AD80">
        <v>0</v>
      </c>
      <c r="AE80">
        <v>49</v>
      </c>
      <c r="AF80">
        <v>303</v>
      </c>
      <c r="AG80">
        <v>775</v>
      </c>
      <c r="AH80">
        <v>1354</v>
      </c>
      <c r="AI80">
        <v>2101</v>
      </c>
      <c r="AJ80">
        <v>2565</v>
      </c>
      <c r="AK80">
        <v>2786</v>
      </c>
      <c r="AL80">
        <v>2833</v>
      </c>
    </row>
    <row r="81" spans="5:38" x14ac:dyDescent="0.25">
      <c r="E81">
        <f>SUM(0.034882602867046*0.9)</f>
        <v>3.1394342580341406E-2</v>
      </c>
      <c r="F81">
        <v>320</v>
      </c>
      <c r="H81" s="48">
        <v>24.1991972368407</v>
      </c>
      <c r="I81">
        <v>-3.6298795855261048</v>
      </c>
      <c r="L81">
        <v>3.1394342580341406E-2</v>
      </c>
      <c r="M81">
        <v>320</v>
      </c>
      <c r="O81" s="48">
        <v>31.345397140296701</v>
      </c>
      <c r="P81">
        <v>-4.7018095710445067</v>
      </c>
      <c r="T81" t="s">
        <v>90</v>
      </c>
      <c r="U81" s="48">
        <f t="shared" ref="U81:AL81" si="30">SUM(U80-U79)</f>
        <v>-4.4633790787192993</v>
      </c>
      <c r="V81" s="51">
        <f t="shared" si="30"/>
        <v>-7.0781430787292265</v>
      </c>
      <c r="W81" s="49">
        <f t="shared" si="30"/>
        <v>10.476577921280295</v>
      </c>
      <c r="X81" s="49">
        <f t="shared" si="30"/>
        <v>0.46568892128016159</v>
      </c>
      <c r="Y81" s="48">
        <f t="shared" si="30"/>
        <v>-8.1980780787193908</v>
      </c>
      <c r="Z81" s="50">
        <f t="shared" si="30"/>
        <v>-12.135650704439513</v>
      </c>
      <c r="AA81" s="49">
        <f t="shared" si="30"/>
        <v>0.86624897059652994</v>
      </c>
      <c r="AB81" s="50">
        <f t="shared" si="30"/>
        <v>-1.0861773991005066</v>
      </c>
      <c r="AC81" s="48">
        <f t="shared" si="30"/>
        <v>-1.5917349533526988</v>
      </c>
      <c r="AD81">
        <f t="shared" si="30"/>
        <v>0</v>
      </c>
      <c r="AE81" s="49">
        <f t="shared" si="30"/>
        <v>1.2673282322567019</v>
      </c>
      <c r="AF81" s="48">
        <f t="shared" si="30"/>
        <v>-4.1647967203214762</v>
      </c>
      <c r="AG81" s="49">
        <f t="shared" si="30"/>
        <v>6.373710221278543</v>
      </c>
      <c r="AH81" s="49">
        <f t="shared" si="30"/>
        <v>11.528600983750493</v>
      </c>
      <c r="AI81" s="48">
        <f t="shared" si="30"/>
        <v>-6.8786895743696732</v>
      </c>
      <c r="AJ81" s="51">
        <f t="shared" si="30"/>
        <v>-1.2114790787190941</v>
      </c>
      <c r="AK81" s="48">
        <f t="shared" si="30"/>
        <v>-9.2630470787198647</v>
      </c>
      <c r="AL81" s="48">
        <f t="shared" si="30"/>
        <v>-2.3707990787197559</v>
      </c>
    </row>
    <row r="82" spans="5:38" x14ac:dyDescent="0.25">
      <c r="E82">
        <v>0</v>
      </c>
      <c r="F82">
        <v>334</v>
      </c>
      <c r="I82">
        <v>0</v>
      </c>
      <c r="L82">
        <v>0</v>
      </c>
      <c r="M82">
        <v>334</v>
      </c>
      <c r="P82">
        <v>0</v>
      </c>
      <c r="T82" t="s">
        <v>73</v>
      </c>
      <c r="U82">
        <f t="shared" ref="U82:AC82" si="31">SUM(U81/U80)*100</f>
        <v>-0.16881161417243945</v>
      </c>
      <c r="V82">
        <f t="shared" si="31"/>
        <v>-0.29516860211548068</v>
      </c>
      <c r="W82">
        <f t="shared" si="31"/>
        <v>0.45929758532574727</v>
      </c>
      <c r="X82">
        <f t="shared" si="31"/>
        <v>2.2432028963398919E-2</v>
      </c>
      <c r="Y82">
        <f t="shared" si="31"/>
        <v>-0.4926729614615018</v>
      </c>
      <c r="Z82">
        <f t="shared" si="31"/>
        <v>-1.0189463227908913</v>
      </c>
      <c r="AA82">
        <f t="shared" si="31"/>
        <v>0.11915391617558871</v>
      </c>
      <c r="AB82">
        <f t="shared" si="31"/>
        <v>-0.44153552808963681</v>
      </c>
      <c r="AC82">
        <f t="shared" si="31"/>
        <v>-10.611566355684658</v>
      </c>
      <c r="AD82">
        <v>0</v>
      </c>
      <c r="AE82">
        <f t="shared" ref="AE82:AL82" si="32">SUM(AE81/AE80)*100</f>
        <v>2.586384147462657</v>
      </c>
      <c r="AF82">
        <f t="shared" si="32"/>
        <v>-1.3745203697430615</v>
      </c>
      <c r="AG82">
        <f t="shared" si="32"/>
        <v>0.82241422210045712</v>
      </c>
      <c r="AH82">
        <f t="shared" si="32"/>
        <v>0.85144763543208957</v>
      </c>
      <c r="AI82">
        <f t="shared" si="32"/>
        <v>-0.32740074128365887</v>
      </c>
      <c r="AJ82">
        <f t="shared" si="32"/>
        <v>-4.7231153166436418E-2</v>
      </c>
      <c r="AK82">
        <f t="shared" si="32"/>
        <v>-0.33248553764249333</v>
      </c>
      <c r="AL82">
        <f t="shared" si="32"/>
        <v>-8.3685106908568868E-2</v>
      </c>
    </row>
    <row r="83" spans="5:38" x14ac:dyDescent="0.25">
      <c r="E83">
        <v>3.5336925977436158E-2</v>
      </c>
      <c r="F83">
        <v>360</v>
      </c>
      <c r="G83" s="49">
        <v>4.8339155103738829</v>
      </c>
      <c r="I83">
        <v>2.3686186000832024</v>
      </c>
      <c r="L83">
        <v>3.5336925977436158E-2</v>
      </c>
      <c r="M83">
        <v>360</v>
      </c>
      <c r="N83" s="49">
        <v>2.6463032950302048</v>
      </c>
      <c r="P83">
        <v>1.2966886145648004</v>
      </c>
    </row>
    <row r="84" spans="5:38" x14ac:dyDescent="0.25">
      <c r="E84">
        <v>0.28194351119976102</v>
      </c>
      <c r="F84">
        <v>400</v>
      </c>
      <c r="H84" s="48">
        <v>1.0110582021435599</v>
      </c>
      <c r="I84">
        <v>-3.0635063524949828</v>
      </c>
      <c r="L84">
        <v>0.28194351119976102</v>
      </c>
      <c r="M84">
        <v>400</v>
      </c>
      <c r="O84" s="48">
        <v>1.36483047459188</v>
      </c>
      <c r="P84">
        <v>-4.1354363380133918</v>
      </c>
      <c r="T84" t="s">
        <v>130</v>
      </c>
    </row>
    <row r="85" spans="5:38" x14ac:dyDescent="0.25">
      <c r="E85">
        <v>0.72475257467619825</v>
      </c>
      <c r="F85">
        <v>440</v>
      </c>
      <c r="G85" s="49">
        <v>0.96451620504581848</v>
      </c>
      <c r="I85">
        <v>7.4750005891050932</v>
      </c>
      <c r="L85">
        <v>0.72475257467619825</v>
      </c>
      <c r="M85">
        <v>440</v>
      </c>
      <c r="N85" s="49">
        <v>0.82620265852731412</v>
      </c>
      <c r="P85">
        <v>6.4030706035866842</v>
      </c>
      <c r="T85" t="s">
        <v>68</v>
      </c>
      <c r="U85">
        <v>1</v>
      </c>
      <c r="V85">
        <v>40</v>
      </c>
      <c r="W85">
        <v>80</v>
      </c>
      <c r="X85">
        <v>120</v>
      </c>
      <c r="Y85">
        <v>160</v>
      </c>
      <c r="Z85">
        <v>200</v>
      </c>
      <c r="AA85">
        <v>240</v>
      </c>
      <c r="AB85">
        <v>280</v>
      </c>
      <c r="AC85">
        <v>320</v>
      </c>
      <c r="AD85">
        <v>334</v>
      </c>
      <c r="AE85">
        <v>360</v>
      </c>
      <c r="AF85">
        <v>400</v>
      </c>
      <c r="AG85">
        <v>440</v>
      </c>
      <c r="AH85">
        <v>480</v>
      </c>
      <c r="AI85">
        <v>520</v>
      </c>
      <c r="AJ85">
        <v>560</v>
      </c>
      <c r="AK85">
        <v>600</v>
      </c>
      <c r="AL85">
        <v>631</v>
      </c>
    </row>
    <row r="86" spans="5:38" x14ac:dyDescent="0.25">
      <c r="E86">
        <v>1.236701035889145</v>
      </c>
      <c r="F86">
        <v>480</v>
      </c>
      <c r="G86" s="49">
        <v>0.93278370395694554</v>
      </c>
      <c r="I86">
        <v>12.629891351577044</v>
      </c>
      <c r="L86">
        <v>1.236701035889145</v>
      </c>
      <c r="M86">
        <v>480</v>
      </c>
      <c r="N86" s="49">
        <v>0.85361605362323734</v>
      </c>
      <c r="P86">
        <v>11.557961366058635</v>
      </c>
      <c r="T86" t="s">
        <v>69</v>
      </c>
      <c r="U86">
        <v>2649.1985880000002</v>
      </c>
      <c r="V86">
        <v>2405.8133520000101</v>
      </c>
      <c r="W86">
        <v>2281.784924</v>
      </c>
      <c r="X86">
        <v>2076.2695199999998</v>
      </c>
      <c r="Y86">
        <v>1672.9332870000001</v>
      </c>
      <c r="Z86">
        <v>1197.2201660000001</v>
      </c>
      <c r="AA86">
        <v>736.50916200000097</v>
      </c>
      <c r="AB86">
        <v>255.63983200000001</v>
      </c>
      <c r="AC86">
        <v>22.365690000000001</v>
      </c>
      <c r="AD86">
        <v>5.1725000000000003</v>
      </c>
      <c r="AE86">
        <v>46.870619000000097</v>
      </c>
      <c r="AF86">
        <v>313.943511</v>
      </c>
      <c r="AG86">
        <v>784.25752299999897</v>
      </c>
      <c r="AH86">
        <v>1357.01485</v>
      </c>
      <c r="AI86">
        <v>2110.0474129999998</v>
      </c>
      <c r="AJ86">
        <v>2566.946688</v>
      </c>
      <c r="AK86">
        <v>2795.9982559999999</v>
      </c>
      <c r="AL86">
        <v>2836.1060080000002</v>
      </c>
    </row>
    <row r="87" spans="5:38" x14ac:dyDescent="0.25">
      <c r="E87">
        <v>1.9440474129971137</v>
      </c>
      <c r="F87">
        <v>520</v>
      </c>
      <c r="H87" s="48">
        <v>0.27498330350038702</v>
      </c>
      <c r="I87">
        <v>-5.777399206543123</v>
      </c>
      <c r="L87">
        <v>1.9440474129971137</v>
      </c>
      <c r="M87">
        <v>520</v>
      </c>
      <c r="O87" s="48">
        <v>0.32600329329182798</v>
      </c>
      <c r="P87">
        <v>-6.8493291920613046</v>
      </c>
      <c r="T87" t="s">
        <v>70</v>
      </c>
      <c r="U87">
        <f>SUM(U86-$AD$86)</f>
        <v>2644.0260880000001</v>
      </c>
      <c r="V87">
        <f t="shared" ref="V87:AL87" si="33">SUM(V86-$AD$86)</f>
        <v>2400.64085200001</v>
      </c>
      <c r="W87">
        <f t="shared" si="33"/>
        <v>2276.6124239999999</v>
      </c>
      <c r="X87">
        <f t="shared" si="33"/>
        <v>2071.0970199999997</v>
      </c>
      <c r="Y87">
        <f t="shared" si="33"/>
        <v>1667.7607870000002</v>
      </c>
      <c r="Z87">
        <f t="shared" si="33"/>
        <v>1192.0476660000002</v>
      </c>
      <c r="AA87">
        <f t="shared" si="33"/>
        <v>731.33666200000096</v>
      </c>
      <c r="AB87">
        <f t="shared" si="33"/>
        <v>250.467332</v>
      </c>
      <c r="AC87">
        <f t="shared" si="33"/>
        <v>17.193190000000001</v>
      </c>
      <c r="AD87">
        <f t="shared" si="33"/>
        <v>0</v>
      </c>
      <c r="AE87">
        <f t="shared" si="33"/>
        <v>41.698119000000098</v>
      </c>
      <c r="AF87">
        <f t="shared" si="33"/>
        <v>308.77101099999999</v>
      </c>
      <c r="AG87">
        <f t="shared" si="33"/>
        <v>779.08502299999896</v>
      </c>
      <c r="AH87">
        <f t="shared" si="33"/>
        <v>1351.8423500000001</v>
      </c>
      <c r="AI87">
        <f t="shared" si="33"/>
        <v>2104.8749129999997</v>
      </c>
      <c r="AJ87">
        <f t="shared" si="33"/>
        <v>2561.7741879999999</v>
      </c>
      <c r="AK87">
        <f t="shared" si="33"/>
        <v>2790.8257559999997</v>
      </c>
      <c r="AL87">
        <f t="shared" si="33"/>
        <v>2830.9335080000001</v>
      </c>
    </row>
    <row r="88" spans="5:38" x14ac:dyDescent="0.25">
      <c r="E88">
        <v>2.4251986750728776</v>
      </c>
      <c r="F88">
        <v>560</v>
      </c>
      <c r="H88" s="48">
        <v>0.94979242537594899</v>
      </c>
      <c r="I88">
        <v>-24.362175710893098</v>
      </c>
      <c r="L88">
        <f>SUM(2.42519867507288*0.99)</f>
        <v>2.4009466883221511</v>
      </c>
      <c r="M88">
        <v>560</v>
      </c>
      <c r="O88" s="48">
        <v>4.6086498885426097E-2</v>
      </c>
      <c r="P88">
        <v>-1.1821186964111803</v>
      </c>
      <c r="T88" t="s">
        <v>71</v>
      </c>
      <c r="U88">
        <v>2644</v>
      </c>
      <c r="V88">
        <v>2398</v>
      </c>
      <c r="W88">
        <v>2281</v>
      </c>
      <c r="X88">
        <v>2076</v>
      </c>
      <c r="Y88">
        <v>1664</v>
      </c>
      <c r="Z88">
        <v>1191</v>
      </c>
      <c r="AA88">
        <v>727</v>
      </c>
      <c r="AB88">
        <v>246</v>
      </c>
      <c r="AC88">
        <v>15</v>
      </c>
      <c r="AD88">
        <v>0</v>
      </c>
      <c r="AE88">
        <v>49</v>
      </c>
      <c r="AF88">
        <v>303</v>
      </c>
      <c r="AG88">
        <v>775</v>
      </c>
      <c r="AH88">
        <v>1354</v>
      </c>
      <c r="AI88">
        <v>2101</v>
      </c>
      <c r="AJ88">
        <v>2565</v>
      </c>
      <c r="AK88">
        <v>2786</v>
      </c>
      <c r="AL88">
        <v>2833</v>
      </c>
    </row>
    <row r="89" spans="5:38" x14ac:dyDescent="0.25">
      <c r="E89">
        <v>2.6299982557996229</v>
      </c>
      <c r="F89">
        <v>600</v>
      </c>
      <c r="H89" s="48">
        <v>0.292956091561138</v>
      </c>
      <c r="I89">
        <v>-8.1617567108933144</v>
      </c>
      <c r="L89">
        <v>2.6299982557996229</v>
      </c>
      <c r="M89">
        <v>600</v>
      </c>
      <c r="O89" s="48">
        <v>0.33143168328828099</v>
      </c>
      <c r="P89">
        <v>-9.2336866964114961</v>
      </c>
      <c r="T89" t="s">
        <v>90</v>
      </c>
      <c r="U89" s="48">
        <f>SUM(U88-U87)</f>
        <v>-2.6088000000072498E-2</v>
      </c>
      <c r="V89" s="51">
        <f t="shared" ref="V89:AI89" si="34">SUM(V88-V87)</f>
        <v>-2.6408520000099998</v>
      </c>
      <c r="W89" s="49">
        <f t="shared" si="34"/>
        <v>4.387576000000081</v>
      </c>
      <c r="X89" s="49">
        <f t="shared" si="34"/>
        <v>4.9029800000002979</v>
      </c>
      <c r="Y89" s="48">
        <f t="shared" si="34"/>
        <v>-3.760787000000164</v>
      </c>
      <c r="Z89" s="50">
        <f t="shared" si="34"/>
        <v>-1.047666000000163</v>
      </c>
      <c r="AA89" s="50">
        <f t="shared" si="34"/>
        <v>-4.3366620000009561</v>
      </c>
      <c r="AB89" s="50">
        <f t="shared" si="34"/>
        <v>-4.467331999999999</v>
      </c>
      <c r="AC89" s="48">
        <f t="shared" si="34"/>
        <v>-2.1931900000000013</v>
      </c>
      <c r="AD89">
        <f t="shared" si="34"/>
        <v>0</v>
      </c>
      <c r="AE89" s="49">
        <f t="shared" si="34"/>
        <v>7.3018809999999021</v>
      </c>
      <c r="AF89" s="48">
        <f t="shared" si="34"/>
        <v>-5.7710109999999872</v>
      </c>
      <c r="AG89" s="50">
        <f t="shared" si="34"/>
        <v>-4.0850229999989551</v>
      </c>
      <c r="AH89" s="49">
        <f t="shared" si="34"/>
        <v>2.1576499999998759</v>
      </c>
      <c r="AI89" s="48">
        <f t="shared" si="34"/>
        <v>-3.8749129999996512</v>
      </c>
      <c r="AJ89" s="51">
        <f>SUM(AJ88-AJ87)</f>
        <v>3.2258120000001327</v>
      </c>
      <c r="AK89" s="48">
        <f>SUM(AK88-AK87)</f>
        <v>-4.8257559999997284</v>
      </c>
      <c r="AL89" s="48">
        <f>SUM(AL88-AL87)</f>
        <v>2.0664919999999256</v>
      </c>
    </row>
    <row r="90" spans="5:38" x14ac:dyDescent="0.25">
      <c r="E90">
        <v>2.68352362632</v>
      </c>
      <c r="F90">
        <v>631</v>
      </c>
      <c r="H90" s="48">
        <v>0.51843016981620704</v>
      </c>
      <c r="I90">
        <v>-14.687126710893153</v>
      </c>
      <c r="L90">
        <v>2.68352362632</v>
      </c>
      <c r="M90">
        <v>631</v>
      </c>
      <c r="O90" s="48">
        <v>0.55626744427855002</v>
      </c>
      <c r="P90">
        <v>-15.759056696411335</v>
      </c>
      <c r="T90" t="s">
        <v>73</v>
      </c>
      <c r="U90">
        <f>SUM(U89/U88)*100</f>
        <v>-9.8668683812679634E-4</v>
      </c>
      <c r="V90">
        <f>SUM(V89/V88)*100</f>
        <v>-0.11012727272768973</v>
      </c>
      <c r="W90">
        <f t="shared" ref="W90:AC90" si="35">SUM(W89/W88)*100</f>
        <v>0.1923531784305165</v>
      </c>
      <c r="X90">
        <f t="shared" si="35"/>
        <v>0.23617437379577544</v>
      </c>
      <c r="Y90">
        <f t="shared" si="35"/>
        <v>-0.22600883413462525</v>
      </c>
      <c r="Z90">
        <f t="shared" si="35"/>
        <v>-8.796523929472401E-2</v>
      </c>
      <c r="AA90">
        <f t="shared" si="35"/>
        <v>-0.59651471801938871</v>
      </c>
      <c r="AB90">
        <f t="shared" si="35"/>
        <v>-1.8159886178861784</v>
      </c>
      <c r="AC90">
        <f t="shared" si="35"/>
        <v>-14.621266666666674</v>
      </c>
      <c r="AD90">
        <v>0</v>
      </c>
      <c r="AE90">
        <f t="shared" ref="AE90:AL90" si="36">SUM(AE89/AE88)*100</f>
        <v>14.901797959183474</v>
      </c>
      <c r="AF90">
        <f t="shared" si="36"/>
        <v>-1.9046240924092368</v>
      </c>
      <c r="AG90">
        <f t="shared" si="36"/>
        <v>-0.52709974193534903</v>
      </c>
      <c r="AH90">
        <f t="shared" si="36"/>
        <v>0.15935376661742068</v>
      </c>
      <c r="AI90">
        <f t="shared" si="36"/>
        <v>-0.18443184197999291</v>
      </c>
      <c r="AJ90">
        <f t="shared" si="36"/>
        <v>0.12576265107212992</v>
      </c>
      <c r="AK90">
        <f t="shared" si="36"/>
        <v>-0.17321450107680289</v>
      </c>
      <c r="AL90">
        <f t="shared" si="36"/>
        <v>7.2943593363922546E-2</v>
      </c>
    </row>
    <row r="91" spans="5:38" x14ac:dyDescent="0.25">
      <c r="T91" t="s">
        <v>133</v>
      </c>
      <c r="U91">
        <v>2649.1985880000002</v>
      </c>
      <c r="V91">
        <v>2405.8133520000101</v>
      </c>
      <c r="W91">
        <v>2271.2586310000002</v>
      </c>
      <c r="X91">
        <v>2076.2695199999998</v>
      </c>
      <c r="Y91">
        <v>1672.9332870000001</v>
      </c>
      <c r="Z91">
        <v>1133.0756280000001</v>
      </c>
      <c r="AA91">
        <v>736.50916200000097</v>
      </c>
      <c r="AB91">
        <v>293.838888</v>
      </c>
      <c r="AC91">
        <v>32.254908</v>
      </c>
      <c r="AD91">
        <v>5.1725000000000003</v>
      </c>
      <c r="AE91">
        <v>43.336926000000098</v>
      </c>
      <c r="AF91">
        <v>313.943511</v>
      </c>
      <c r="AG91">
        <v>798.75257500000203</v>
      </c>
      <c r="AH91">
        <v>1339.7010359999999</v>
      </c>
      <c r="AI91">
        <v>2110.0474129999998</v>
      </c>
      <c r="AJ91">
        <v>2614.2012814999998</v>
      </c>
      <c r="AK91">
        <v>2795.9982559999999</v>
      </c>
      <c r="AL91">
        <v>2836.1060080000002</v>
      </c>
    </row>
    <row r="92" spans="5:38" x14ac:dyDescent="0.25">
      <c r="E92" t="s">
        <v>93</v>
      </c>
      <c r="F92" t="s">
        <v>77</v>
      </c>
      <c r="G92" s="49" t="s">
        <v>91</v>
      </c>
      <c r="H92" s="48" t="s">
        <v>94</v>
      </c>
      <c r="I92" t="s">
        <v>87</v>
      </c>
      <c r="L92" t="s">
        <v>130</v>
      </c>
      <c r="M92" t="s">
        <v>77</v>
      </c>
      <c r="N92" s="49" t="s">
        <v>91</v>
      </c>
      <c r="O92" s="48" t="s">
        <v>94</v>
      </c>
      <c r="P92" t="s">
        <v>87</v>
      </c>
    </row>
    <row r="93" spans="5:38" x14ac:dyDescent="0.25">
      <c r="E93">
        <f>SUM(2.4956769726*0.995)</f>
        <v>2.4831985877370002</v>
      </c>
      <c r="F93">
        <v>1</v>
      </c>
      <c r="L93">
        <v>2.4831985877370002</v>
      </c>
      <c r="M93">
        <v>1</v>
      </c>
      <c r="O93" s="48">
        <v>9.866868381267959E-4</v>
      </c>
      <c r="P93">
        <v>-2.6088000000072498E-2</v>
      </c>
      <c r="T93" t="s">
        <v>138</v>
      </c>
    </row>
    <row r="94" spans="5:38" x14ac:dyDescent="0.25">
      <c r="E94">
        <f>SUM(2.26243772937441*0.99)</f>
        <v>2.2398133520806658</v>
      </c>
      <c r="F94">
        <v>40</v>
      </c>
      <c r="L94">
        <v>2.2398133520806658</v>
      </c>
      <c r="M94">
        <v>40</v>
      </c>
      <c r="O94" s="48">
        <v>0.11012727272769</v>
      </c>
      <c r="P94">
        <v>-2.6408520000099998</v>
      </c>
      <c r="T94" t="s">
        <v>68</v>
      </c>
      <c r="U94">
        <v>1</v>
      </c>
      <c r="V94">
        <v>40</v>
      </c>
      <c r="W94">
        <v>80</v>
      </c>
      <c r="X94">
        <v>120</v>
      </c>
      <c r="Y94">
        <v>160</v>
      </c>
      <c r="Z94">
        <v>200</v>
      </c>
      <c r="AA94">
        <v>240</v>
      </c>
      <c r="AB94">
        <v>280</v>
      </c>
      <c r="AC94">
        <v>320</v>
      </c>
      <c r="AD94">
        <v>334</v>
      </c>
      <c r="AE94">
        <v>360</v>
      </c>
      <c r="AF94">
        <v>400</v>
      </c>
      <c r="AG94">
        <v>440</v>
      </c>
      <c r="AH94">
        <v>480</v>
      </c>
      <c r="AI94">
        <v>520</v>
      </c>
      <c r="AJ94">
        <v>560</v>
      </c>
      <c r="AK94">
        <v>600</v>
      </c>
      <c r="AL94">
        <v>631</v>
      </c>
    </row>
    <row r="95" spans="5:38" x14ac:dyDescent="0.25">
      <c r="E95">
        <v>2.10525863105146</v>
      </c>
      <c r="F95">
        <v>80</v>
      </c>
      <c r="L95">
        <f>SUM(2.10525863105146*1.005)</f>
        <v>2.115784924206717</v>
      </c>
      <c r="M95">
        <v>80</v>
      </c>
      <c r="N95" s="49">
        <v>0.6538302937308188</v>
      </c>
      <c r="P95">
        <v>14.913868999999977</v>
      </c>
      <c r="T95" t="s">
        <v>69</v>
      </c>
      <c r="U95">
        <v>2658.1985880000002</v>
      </c>
      <c r="V95">
        <v>2403.6142850000001</v>
      </c>
      <c r="W95">
        <v>2290.784924</v>
      </c>
      <c r="X95">
        <v>2085.2695199999998</v>
      </c>
      <c r="Y95">
        <v>1667.1412849999999</v>
      </c>
      <c r="Z95">
        <v>1191.1478970000001</v>
      </c>
      <c r="AA95">
        <v>733.58370399999899</v>
      </c>
      <c r="AB95">
        <v>255.63983200000001</v>
      </c>
      <c r="AC95">
        <v>24.365690000000001</v>
      </c>
      <c r="AD95">
        <v>7.7908676470588203</v>
      </c>
      <c r="AE95">
        <v>52.6374649999998</v>
      </c>
      <c r="AF95">
        <v>319.12407599999898</v>
      </c>
      <c r="AG95" s="49">
        <v>776.52484300000003</v>
      </c>
      <c r="AH95">
        <v>1362.232994</v>
      </c>
      <c r="AI95">
        <v>2109.3271760000098</v>
      </c>
      <c r="AJ95">
        <v>2575.946688</v>
      </c>
      <c r="AK95">
        <v>2794.478263</v>
      </c>
      <c r="AL95">
        <v>2845.1060080000002</v>
      </c>
    </row>
    <row r="96" spans="5:38" x14ac:dyDescent="0.25">
      <c r="E96">
        <v>1.91026952033859</v>
      </c>
      <c r="F96">
        <v>120</v>
      </c>
      <c r="L96">
        <v>1.91026952033859</v>
      </c>
      <c r="M96">
        <v>120</v>
      </c>
      <c r="N96" s="49">
        <v>0.23617437379577544</v>
      </c>
      <c r="P96">
        <v>4.9029800000002979</v>
      </c>
      <c r="T96" t="s">
        <v>70</v>
      </c>
      <c r="U96">
        <f>SUM(U95-$AD$95)</f>
        <v>2650.4077203529414</v>
      </c>
      <c r="V96">
        <f t="shared" ref="V96:AL96" si="37">SUM(V95-$AD$95)</f>
        <v>2395.8234173529413</v>
      </c>
      <c r="W96">
        <f t="shared" si="37"/>
        <v>2282.9940563529412</v>
      </c>
      <c r="X96">
        <f t="shared" si="37"/>
        <v>2077.478652352941</v>
      </c>
      <c r="Y96">
        <f t="shared" si="37"/>
        <v>1659.3504173529411</v>
      </c>
      <c r="Z96">
        <f t="shared" si="37"/>
        <v>1183.3570293529413</v>
      </c>
      <c r="AA96">
        <f t="shared" si="37"/>
        <v>725.79283635294018</v>
      </c>
      <c r="AB96">
        <f t="shared" si="37"/>
        <v>247.84896435294118</v>
      </c>
      <c r="AC96">
        <f t="shared" si="37"/>
        <v>16.57482235294118</v>
      </c>
      <c r="AD96">
        <f t="shared" si="37"/>
        <v>0</v>
      </c>
      <c r="AE96">
        <f t="shared" si="37"/>
        <v>44.846597352940982</v>
      </c>
      <c r="AF96">
        <f t="shared" si="37"/>
        <v>311.33320835294018</v>
      </c>
      <c r="AG96">
        <f t="shared" si="37"/>
        <v>768.73397535294123</v>
      </c>
      <c r="AH96">
        <f t="shared" si="37"/>
        <v>1354.4421263529412</v>
      </c>
      <c r="AI96">
        <f t="shared" si="37"/>
        <v>2101.536308352951</v>
      </c>
      <c r="AJ96">
        <f t="shared" si="37"/>
        <v>2568.1558203529412</v>
      </c>
      <c r="AK96">
        <f t="shared" si="37"/>
        <v>2786.6873953529412</v>
      </c>
      <c r="AL96">
        <f t="shared" si="37"/>
        <v>2837.3151403529414</v>
      </c>
    </row>
    <row r="97" spans="5:38" x14ac:dyDescent="0.25">
      <c r="E97">
        <v>1.5069332866053624</v>
      </c>
      <c r="F97">
        <v>160</v>
      </c>
      <c r="L97">
        <v>1.5069332866053624</v>
      </c>
      <c r="M97">
        <v>160</v>
      </c>
      <c r="O97" s="48">
        <v>0.226008834134625</v>
      </c>
      <c r="P97">
        <v>-3.760787000000164</v>
      </c>
      <c r="T97" t="s">
        <v>71</v>
      </c>
      <c r="U97">
        <v>2644</v>
      </c>
      <c r="V97">
        <v>2398</v>
      </c>
      <c r="W97">
        <v>2281</v>
      </c>
      <c r="X97">
        <v>2076</v>
      </c>
      <c r="Y97">
        <v>1664</v>
      </c>
      <c r="Z97">
        <v>1191</v>
      </c>
      <c r="AA97">
        <v>727</v>
      </c>
      <c r="AB97">
        <v>246</v>
      </c>
      <c r="AC97">
        <v>15</v>
      </c>
      <c r="AD97">
        <v>0</v>
      </c>
      <c r="AE97">
        <v>49</v>
      </c>
      <c r="AF97">
        <v>303</v>
      </c>
      <c r="AG97">
        <v>775</v>
      </c>
      <c r="AH97">
        <v>1354</v>
      </c>
      <c r="AI97">
        <v>2101</v>
      </c>
      <c r="AJ97">
        <v>2565</v>
      </c>
      <c r="AK97">
        <v>2786</v>
      </c>
      <c r="AL97">
        <v>2833</v>
      </c>
    </row>
    <row r="98" spans="5:38" x14ac:dyDescent="0.25">
      <c r="E98">
        <v>1.0690756282664964</v>
      </c>
      <c r="F98">
        <v>200</v>
      </c>
      <c r="L98">
        <f>SUM(1.0690756282665*1.06)</f>
        <v>1.1332201659624901</v>
      </c>
      <c r="M98">
        <v>200</v>
      </c>
      <c r="N98" s="49">
        <v>5.2978062132661501</v>
      </c>
      <c r="P98">
        <v>63.096871999999848</v>
      </c>
      <c r="T98" t="s">
        <v>90</v>
      </c>
      <c r="U98" s="48">
        <f>SUM(U97-U96)</f>
        <v>-6.4077203529413964</v>
      </c>
      <c r="V98" s="49">
        <f t="shared" ref="V98:AI98" si="38">SUM(V97-V96)</f>
        <v>2.1765826470586944</v>
      </c>
      <c r="W98" s="50">
        <f t="shared" si="38"/>
        <v>-1.9940563529412429</v>
      </c>
      <c r="X98" s="50">
        <f t="shared" si="38"/>
        <v>-1.478652352941026</v>
      </c>
      <c r="Y98" s="49">
        <f t="shared" si="38"/>
        <v>4.6495826470588781</v>
      </c>
      <c r="Z98" s="49">
        <f t="shared" si="38"/>
        <v>7.6429706470587462</v>
      </c>
      <c r="AA98" s="49">
        <f t="shared" si="38"/>
        <v>1.207163647059815</v>
      </c>
      <c r="AB98" s="50">
        <f t="shared" si="38"/>
        <v>-1.8489643529411808</v>
      </c>
      <c r="AC98" s="48">
        <f>SUM(AC97-AC96)</f>
        <v>-1.5748223529411796</v>
      </c>
      <c r="AD98">
        <f t="shared" si="38"/>
        <v>0</v>
      </c>
      <c r="AE98" s="49">
        <f t="shared" si="38"/>
        <v>4.1534026470590177</v>
      </c>
      <c r="AF98" s="48">
        <f t="shared" si="38"/>
        <v>-8.3332083529401757</v>
      </c>
      <c r="AG98" s="49">
        <f t="shared" si="38"/>
        <v>6.2660246470587708</v>
      </c>
      <c r="AH98" s="50">
        <f t="shared" si="38"/>
        <v>-0.44212635294115898</v>
      </c>
      <c r="AI98" s="48">
        <f t="shared" si="38"/>
        <v>-0.53630835295098223</v>
      </c>
      <c r="AJ98" s="50">
        <f>SUM(AJ97-AJ96)</f>
        <v>-3.1558203529411912</v>
      </c>
      <c r="AK98" s="48">
        <f>SUM(AK97-AK96)</f>
        <v>-0.68739535294116649</v>
      </c>
      <c r="AL98" s="48">
        <f>SUM(AL97-AL96)</f>
        <v>-4.3151403529413983</v>
      </c>
    </row>
    <row r="99" spans="5:38" x14ac:dyDescent="0.25">
      <c r="E99">
        <v>0.69850916206401625</v>
      </c>
      <c r="F99">
        <v>240</v>
      </c>
      <c r="L99">
        <v>0.69850916206401625</v>
      </c>
      <c r="M99">
        <v>240</v>
      </c>
      <c r="O99" s="48">
        <v>0.59651471801938905</v>
      </c>
      <c r="P99">
        <v>-4.3366620000009561</v>
      </c>
      <c r="T99" t="s">
        <v>73</v>
      </c>
      <c r="U99">
        <f>SUM(U98/U97)*100</f>
        <v>-0.24234948384801044</v>
      </c>
      <c r="V99">
        <f>SUM(V98/V97)*100</f>
        <v>9.0766582446150726E-2</v>
      </c>
      <c r="W99">
        <f t="shared" ref="W99:AC99" si="39">SUM(W98/W97)*100</f>
        <v>-8.7420269747533669E-2</v>
      </c>
      <c r="X99">
        <f t="shared" si="39"/>
        <v>-7.1226028561706456E-2</v>
      </c>
      <c r="Y99">
        <f t="shared" si="39"/>
        <v>0.27942203407805755</v>
      </c>
      <c r="Z99">
        <f t="shared" si="39"/>
        <v>0.64172717439620031</v>
      </c>
      <c r="AA99">
        <f t="shared" si="39"/>
        <v>0.16604726919667331</v>
      </c>
      <c r="AB99">
        <f t="shared" si="39"/>
        <v>-0.75161152558584587</v>
      </c>
      <c r="AC99">
        <f t="shared" si="39"/>
        <v>-10.498815686274531</v>
      </c>
      <c r="AD99">
        <v>0</v>
      </c>
      <c r="AE99">
        <f t="shared" ref="AE99:AL99" si="40">SUM(AE98/AE97)*100</f>
        <v>8.4763319327735047</v>
      </c>
      <c r="AF99">
        <f t="shared" si="40"/>
        <v>-2.7502337798482426</v>
      </c>
      <c r="AG99">
        <f t="shared" si="40"/>
        <v>0.80851930929790594</v>
      </c>
      <c r="AH99">
        <f t="shared" si="40"/>
        <v>-3.2653349552522824E-2</v>
      </c>
      <c r="AI99">
        <f t="shared" si="40"/>
        <v>-2.5526337598809241E-2</v>
      </c>
      <c r="AJ99">
        <f t="shared" si="40"/>
        <v>-0.12303393188854547</v>
      </c>
      <c r="AK99">
        <f t="shared" si="40"/>
        <v>-2.4673200033781997E-2</v>
      </c>
      <c r="AL99">
        <f t="shared" si="40"/>
        <v>-0.15231699092627596</v>
      </c>
    </row>
    <row r="100" spans="5:38" x14ac:dyDescent="0.25">
      <c r="E100">
        <v>0.29383888774366496</v>
      </c>
      <c r="F100">
        <v>280</v>
      </c>
      <c r="L100">
        <f>SUM(0.293838887743665*0.87)</f>
        <v>0.25563983233698856</v>
      </c>
      <c r="M100">
        <v>280</v>
      </c>
      <c r="O100" s="48">
        <v>17.3440601626016</v>
      </c>
      <c r="P100">
        <v>-42.666387999999984</v>
      </c>
      <c r="T100" t="s">
        <v>144</v>
      </c>
      <c r="U100">
        <v>2649.1985880000002</v>
      </c>
      <c r="V100">
        <v>2405.8133520000101</v>
      </c>
      <c r="W100">
        <v>2271.2586310000002</v>
      </c>
      <c r="X100">
        <v>2076.2695199999998</v>
      </c>
      <c r="Y100">
        <v>1672.9332870000001</v>
      </c>
      <c r="Z100">
        <v>1133.0756280000001</v>
      </c>
      <c r="AA100">
        <v>736.50916200000097</v>
      </c>
      <c r="AB100">
        <v>293.838888</v>
      </c>
      <c r="AC100">
        <v>32.254908</v>
      </c>
      <c r="AD100">
        <v>5.1725000000000003</v>
      </c>
      <c r="AE100">
        <v>43.336926000000098</v>
      </c>
      <c r="AF100">
        <v>313.943511</v>
      </c>
      <c r="AG100">
        <v>798.75257500000203</v>
      </c>
      <c r="AH100">
        <v>1339.7010359999999</v>
      </c>
      <c r="AI100">
        <v>2110.0474129999998</v>
      </c>
      <c r="AJ100">
        <v>2614.2012814999998</v>
      </c>
      <c r="AK100">
        <v>2795.9982559999999</v>
      </c>
      <c r="AL100">
        <v>2836.1060080000002</v>
      </c>
    </row>
    <row r="101" spans="5:38" x14ac:dyDescent="0.25">
      <c r="E101">
        <f>SUM(0.0313943425803414*0.9)</f>
        <v>2.8254908322307259E-2</v>
      </c>
      <c r="F101">
        <v>320</v>
      </c>
      <c r="L101">
        <f>SUM(0.0282549083223073*0.65)</f>
        <v>1.8365690409499747E-2</v>
      </c>
      <c r="M101">
        <v>320</v>
      </c>
      <c r="O101" s="48">
        <v>80.549386666666706</v>
      </c>
      <c r="P101">
        <v>-12.082408000000001</v>
      </c>
      <c r="T101" t="s">
        <v>142</v>
      </c>
    </row>
    <row r="102" spans="5:38" x14ac:dyDescent="0.25">
      <c r="E102">
        <v>0</v>
      </c>
      <c r="F102">
        <v>334</v>
      </c>
      <c r="L102">
        <v>0</v>
      </c>
      <c r="M102">
        <v>334</v>
      </c>
      <c r="T102" t="s">
        <v>68</v>
      </c>
      <c r="U102">
        <v>1</v>
      </c>
      <c r="V102">
        <v>40</v>
      </c>
      <c r="W102">
        <v>80</v>
      </c>
      <c r="X102">
        <v>120</v>
      </c>
      <c r="Y102">
        <v>160</v>
      </c>
      <c r="Z102">
        <v>200</v>
      </c>
      <c r="AA102">
        <v>240</v>
      </c>
      <c r="AB102">
        <v>280</v>
      </c>
      <c r="AC102">
        <v>320</v>
      </c>
      <c r="AD102">
        <v>334</v>
      </c>
      <c r="AE102">
        <v>360</v>
      </c>
      <c r="AF102">
        <v>400</v>
      </c>
      <c r="AG102">
        <v>440</v>
      </c>
      <c r="AH102">
        <v>480</v>
      </c>
      <c r="AI102">
        <v>520</v>
      </c>
      <c r="AJ102">
        <v>560</v>
      </c>
      <c r="AK102">
        <v>600</v>
      </c>
      <c r="AL102">
        <v>631</v>
      </c>
    </row>
    <row r="103" spans="5:38" x14ac:dyDescent="0.25">
      <c r="E103">
        <v>3.5336925977436158E-2</v>
      </c>
      <c r="F103">
        <v>360</v>
      </c>
      <c r="L103">
        <f>SUM(0.0353369259774362*1.1)</f>
        <v>3.8870618575179823E-2</v>
      </c>
      <c r="M103">
        <v>360</v>
      </c>
      <c r="N103" s="49">
        <v>22.113416326530412</v>
      </c>
      <c r="P103">
        <v>10.835573999999902</v>
      </c>
      <c r="T103" t="s">
        <v>69</v>
      </c>
      <c r="U103">
        <v>2658.1985880000002</v>
      </c>
      <c r="V103">
        <v>2403.6142850000001</v>
      </c>
      <c r="W103">
        <v>2290.784924</v>
      </c>
      <c r="X103">
        <v>2085.2695199999998</v>
      </c>
      <c r="Y103">
        <v>1667.1412849999999</v>
      </c>
      <c r="Z103">
        <v>1191.1478970000001</v>
      </c>
      <c r="AA103">
        <v>733.58370399999899</v>
      </c>
      <c r="AB103">
        <v>255.63983200000001</v>
      </c>
      <c r="AC103">
        <v>24.365690000000001</v>
      </c>
      <c r="AD103">
        <v>7.8071854838709704</v>
      </c>
      <c r="AE103">
        <v>52.6374649999998</v>
      </c>
      <c r="AF103">
        <v>316.124076</v>
      </c>
      <c r="AG103" s="49">
        <v>777.50108500000101</v>
      </c>
      <c r="AH103">
        <v>1358.6584789999999</v>
      </c>
      <c r="AI103">
        <v>2109.3271760000098</v>
      </c>
      <c r="AJ103">
        <v>2575.946688</v>
      </c>
      <c r="AK103">
        <v>2794.478263</v>
      </c>
      <c r="AL103">
        <v>2845.1060080000002</v>
      </c>
    </row>
    <row r="104" spans="5:38" x14ac:dyDescent="0.25">
      <c r="E104">
        <v>0.28194351119976102</v>
      </c>
      <c r="F104">
        <v>400</v>
      </c>
      <c r="L104">
        <v>0.28194351119976102</v>
      </c>
      <c r="M104">
        <v>400</v>
      </c>
      <c r="O104" s="48">
        <v>1.9046240924092399</v>
      </c>
      <c r="P104">
        <v>-5.7710109999999872</v>
      </c>
      <c r="T104" t="s">
        <v>70</v>
      </c>
      <c r="U104">
        <f>SUM(U103-$AD$103)</f>
        <v>2650.3914025161293</v>
      </c>
      <c r="V104">
        <f t="shared" ref="V104:AL104" si="41">SUM(V103-$AD$103)</f>
        <v>2395.8070995161293</v>
      </c>
      <c r="W104">
        <f t="shared" si="41"/>
        <v>2282.9777385161292</v>
      </c>
      <c r="X104">
        <f t="shared" si="41"/>
        <v>2077.462334516129</v>
      </c>
      <c r="Y104">
        <f t="shared" si="41"/>
        <v>1659.3340995161288</v>
      </c>
      <c r="Z104">
        <f t="shared" si="41"/>
        <v>1183.340711516129</v>
      </c>
      <c r="AA104">
        <f t="shared" si="41"/>
        <v>725.77651851612802</v>
      </c>
      <c r="AB104">
        <f t="shared" si="41"/>
        <v>247.83264651612905</v>
      </c>
      <c r="AC104">
        <f t="shared" si="41"/>
        <v>16.55850451612903</v>
      </c>
      <c r="AD104">
        <f>SUM(AD103-$AD$103)</f>
        <v>0</v>
      </c>
      <c r="AE104">
        <f t="shared" si="41"/>
        <v>44.830279516128826</v>
      </c>
      <c r="AF104">
        <f t="shared" si="41"/>
        <v>308.31689051612904</v>
      </c>
      <c r="AG104">
        <f t="shared" si="41"/>
        <v>769.69389951613005</v>
      </c>
      <c r="AH104">
        <f t="shared" si="41"/>
        <v>1350.8512935161289</v>
      </c>
      <c r="AI104">
        <f t="shared" si="41"/>
        <v>2101.5199905161389</v>
      </c>
      <c r="AJ104">
        <f t="shared" si="41"/>
        <v>2568.1395025161291</v>
      </c>
      <c r="AK104">
        <f t="shared" si="41"/>
        <v>2786.6710775161291</v>
      </c>
      <c r="AL104">
        <f t="shared" si="41"/>
        <v>2837.2988225161293</v>
      </c>
    </row>
    <row r="105" spans="5:38" x14ac:dyDescent="0.25">
      <c r="E105">
        <v>0.72475257467619825</v>
      </c>
      <c r="F105">
        <v>440</v>
      </c>
      <c r="L105">
        <f>SUM(0.724752574676198*0.98)</f>
        <v>0.7102575231826741</v>
      </c>
      <c r="M105">
        <v>440</v>
      </c>
      <c r="O105" s="48">
        <v>2.3974290322583198</v>
      </c>
      <c r="P105">
        <v>-18.580075000002012</v>
      </c>
      <c r="T105" t="s">
        <v>71</v>
      </c>
      <c r="U105">
        <v>2644</v>
      </c>
      <c r="V105">
        <v>2398</v>
      </c>
      <c r="W105">
        <v>2281</v>
      </c>
      <c r="X105">
        <v>2076</v>
      </c>
      <c r="Y105">
        <v>1664</v>
      </c>
      <c r="Z105">
        <v>1191</v>
      </c>
      <c r="AA105">
        <v>727</v>
      </c>
      <c r="AB105">
        <v>246</v>
      </c>
      <c r="AC105">
        <v>15</v>
      </c>
      <c r="AD105">
        <v>0</v>
      </c>
      <c r="AE105">
        <v>49</v>
      </c>
      <c r="AF105">
        <v>303</v>
      </c>
      <c r="AG105">
        <v>775</v>
      </c>
      <c r="AH105">
        <v>1354</v>
      </c>
      <c r="AI105">
        <v>2101</v>
      </c>
      <c r="AJ105">
        <v>2565</v>
      </c>
      <c r="AK105">
        <v>2786</v>
      </c>
      <c r="AL105">
        <v>2833</v>
      </c>
    </row>
    <row r="106" spans="5:38" x14ac:dyDescent="0.25">
      <c r="E106">
        <v>1.236701035889145</v>
      </c>
      <c r="F106">
        <v>480</v>
      </c>
      <c r="L106">
        <f>SUM(1.23670103588915*1.014)</f>
        <v>1.254014850391598</v>
      </c>
      <c r="M106">
        <v>480</v>
      </c>
      <c r="N106" s="49">
        <v>1.4380697193500716</v>
      </c>
      <c r="P106">
        <v>19.471463999999969</v>
      </c>
      <c r="T106" t="s">
        <v>90</v>
      </c>
      <c r="U106" s="48">
        <f>SUM(U105-U104)</f>
        <v>-6.3914025161293466</v>
      </c>
      <c r="V106" s="49">
        <f t="shared" ref="V106:AB106" si="42">SUM(V105-V104)</f>
        <v>2.1929004838707442</v>
      </c>
      <c r="W106" s="50">
        <f t="shared" si="42"/>
        <v>-1.9777385161291932</v>
      </c>
      <c r="X106" s="50">
        <f t="shared" si="42"/>
        <v>-1.4623345161289762</v>
      </c>
      <c r="Y106" s="49">
        <f t="shared" si="42"/>
        <v>4.6659004838711553</v>
      </c>
      <c r="Z106" s="49">
        <f t="shared" si="42"/>
        <v>7.6592884838710233</v>
      </c>
      <c r="AA106" s="49">
        <f t="shared" si="42"/>
        <v>1.2234814838719785</v>
      </c>
      <c r="AB106" s="50">
        <f t="shared" si="42"/>
        <v>-1.8326465161290457</v>
      </c>
      <c r="AC106" s="48">
        <f>SUM(AC105-AC104)</f>
        <v>-1.5585045161290303</v>
      </c>
      <c r="AD106">
        <f t="shared" ref="AD106:AI106" si="43">SUM(AD105-AD104)</f>
        <v>0</v>
      </c>
      <c r="AE106" s="49">
        <f t="shared" si="43"/>
        <v>4.1697204838711741</v>
      </c>
      <c r="AF106" s="48">
        <f t="shared" si="43"/>
        <v>-5.3168905161290354</v>
      </c>
      <c r="AG106" s="49">
        <f t="shared" si="43"/>
        <v>5.3061004838699546</v>
      </c>
      <c r="AH106" s="49">
        <f t="shared" si="43"/>
        <v>3.1487064838711376</v>
      </c>
      <c r="AI106" s="48">
        <f t="shared" si="43"/>
        <v>-0.51999051613893243</v>
      </c>
      <c r="AJ106" s="50">
        <f>SUM(AJ105-AJ104)</f>
        <v>-3.1395025161291414</v>
      </c>
      <c r="AK106" s="48">
        <f>SUM(AK105-AK104)</f>
        <v>-0.6710775161291167</v>
      </c>
      <c r="AL106" s="48">
        <f>SUM(AL105-AL104)</f>
        <v>-4.2988225161293485</v>
      </c>
    </row>
    <row r="107" spans="5:38" x14ac:dyDescent="0.25">
      <c r="E107">
        <v>1.9440474129971137</v>
      </c>
      <c r="F107">
        <v>520</v>
      </c>
      <c r="L107">
        <v>1.9440474129971137</v>
      </c>
      <c r="M107">
        <v>520</v>
      </c>
      <c r="O107" s="48">
        <v>0.18443184197999299</v>
      </c>
      <c r="P107">
        <v>-3.8749129999996512</v>
      </c>
      <c r="T107" t="s">
        <v>73</v>
      </c>
      <c r="U107">
        <f>SUM(U106/U105)*100</f>
        <v>-0.2417323190669193</v>
      </c>
      <c r="V107">
        <f>SUM(V106/V105)*100</f>
        <v>9.1447059377428863E-2</v>
      </c>
      <c r="W107">
        <f t="shared" ref="W107:AC107" si="44">SUM(W106/W105)*100</f>
        <v>-8.6704888914037395E-2</v>
      </c>
      <c r="X107">
        <f t="shared" si="44"/>
        <v>-7.0440005593881319E-2</v>
      </c>
      <c r="Y107">
        <f t="shared" si="44"/>
        <v>0.28040267330956459</v>
      </c>
      <c r="Z107">
        <f t="shared" si="44"/>
        <v>0.64309726984643345</v>
      </c>
      <c r="AA107">
        <f t="shared" si="44"/>
        <v>0.16829181346244546</v>
      </c>
      <c r="AB107">
        <f t="shared" si="44"/>
        <v>-0.74497825858904299</v>
      </c>
      <c r="AC107">
        <f t="shared" si="44"/>
        <v>-10.390030107526869</v>
      </c>
      <c r="AD107">
        <v>0</v>
      </c>
      <c r="AE107">
        <f t="shared" ref="AE107:AL107" si="45">SUM(AE106/AE105)*100</f>
        <v>8.5096336405534174</v>
      </c>
      <c r="AF107">
        <f t="shared" si="45"/>
        <v>-1.7547493452571075</v>
      </c>
      <c r="AG107">
        <f t="shared" si="45"/>
        <v>0.68465812695096184</v>
      </c>
      <c r="AH107">
        <f t="shared" si="45"/>
        <v>0.23254848477630266</v>
      </c>
      <c r="AI107">
        <f t="shared" si="45"/>
        <v>-2.474966759347608E-2</v>
      </c>
      <c r="AJ107">
        <f t="shared" si="45"/>
        <v>-0.12239775891341681</v>
      </c>
      <c r="AK107">
        <f t="shared" si="45"/>
        <v>-2.4087491605495934E-2</v>
      </c>
      <c r="AL107">
        <f t="shared" si="45"/>
        <v>-0.15174099951039</v>
      </c>
    </row>
    <row r="108" spans="5:38" x14ac:dyDescent="0.25">
      <c r="E108">
        <f>SUM(2.42519867507288*0.99)</f>
        <v>2.4009466883221511</v>
      </c>
      <c r="F108">
        <v>560</v>
      </c>
      <c r="L108">
        <f>SUM(2.40094668832215*1)</f>
        <v>2.4009466883221502</v>
      </c>
      <c r="M108">
        <v>560</v>
      </c>
      <c r="O108" s="48">
        <v>1.71652169590642</v>
      </c>
      <c r="P108">
        <v>-44.028781499999695</v>
      </c>
      <c r="T108" t="s">
        <v>144</v>
      </c>
      <c r="U108">
        <v>2658.1985880000002</v>
      </c>
      <c r="V108">
        <v>2403.6142850000001</v>
      </c>
      <c r="W108">
        <v>2290.784924</v>
      </c>
      <c r="X108">
        <v>2085.2695199999998</v>
      </c>
      <c r="Y108">
        <v>1667.1412849999999</v>
      </c>
      <c r="Z108">
        <v>1191.1478970000001</v>
      </c>
      <c r="AA108">
        <v>733.58370399999899</v>
      </c>
      <c r="AB108">
        <v>255.63983200000001</v>
      </c>
      <c r="AC108">
        <v>24.365690000000001</v>
      </c>
      <c r="AD108">
        <v>7.8071854838709704</v>
      </c>
      <c r="AE108">
        <v>52.6374649999998</v>
      </c>
      <c r="AF108">
        <v>316.124076</v>
      </c>
      <c r="AG108">
        <v>744.52484300000003</v>
      </c>
      <c r="AH108">
        <v>1305.232994</v>
      </c>
      <c r="AI108">
        <v>2109.3271760000098</v>
      </c>
      <c r="AJ108">
        <v>2575.946688</v>
      </c>
      <c r="AK108">
        <v>2794.478263</v>
      </c>
      <c r="AL108">
        <v>2845.1060080000002</v>
      </c>
    </row>
    <row r="109" spans="5:38" x14ac:dyDescent="0.25">
      <c r="E109">
        <v>2.6299982557996229</v>
      </c>
      <c r="F109">
        <v>600</v>
      </c>
      <c r="L109">
        <v>2.6299982557996229</v>
      </c>
      <c r="M109">
        <v>600</v>
      </c>
      <c r="O109" s="48">
        <v>0.173214501076803</v>
      </c>
      <c r="P109">
        <v>-4.8257559999997284</v>
      </c>
    </row>
    <row r="110" spans="5:38" x14ac:dyDescent="0.25">
      <c r="E110">
        <f>SUM(2.68352362632*0.995)</f>
        <v>2.6701060081883998</v>
      </c>
      <c r="F110">
        <v>631</v>
      </c>
      <c r="L110">
        <v>2.6701060081883998</v>
      </c>
      <c r="M110">
        <v>631</v>
      </c>
      <c r="N110" s="49">
        <v>7.2943593363922546E-2</v>
      </c>
      <c r="P110">
        <v>2.0664919999999256</v>
      </c>
      <c r="T110" t="s">
        <v>152</v>
      </c>
    </row>
    <row r="111" spans="5:38" x14ac:dyDescent="0.25">
      <c r="T111" t="s">
        <v>68</v>
      </c>
      <c r="U111">
        <v>1</v>
      </c>
      <c r="V111">
        <v>40</v>
      </c>
      <c r="W111">
        <v>80</v>
      </c>
      <c r="X111">
        <v>120</v>
      </c>
      <c r="Y111">
        <v>160</v>
      </c>
      <c r="Z111">
        <v>200</v>
      </c>
      <c r="AA111">
        <v>240</v>
      </c>
      <c r="AB111">
        <v>280</v>
      </c>
      <c r="AC111">
        <v>320</v>
      </c>
      <c r="AD111">
        <v>336</v>
      </c>
      <c r="AE111">
        <v>360</v>
      </c>
      <c r="AF111">
        <v>400</v>
      </c>
      <c r="AG111">
        <v>440</v>
      </c>
      <c r="AH111">
        <v>480</v>
      </c>
      <c r="AI111">
        <v>520</v>
      </c>
      <c r="AJ111">
        <v>560</v>
      </c>
      <c r="AK111">
        <v>600</v>
      </c>
      <c r="AL111">
        <v>631</v>
      </c>
    </row>
    <row r="112" spans="5:38" x14ac:dyDescent="0.25">
      <c r="E112" t="s">
        <v>138</v>
      </c>
      <c r="F112" t="s">
        <v>77</v>
      </c>
      <c r="G112" s="49" t="s">
        <v>91</v>
      </c>
      <c r="H112" s="48" t="s">
        <v>94</v>
      </c>
      <c r="I112" t="s">
        <v>87</v>
      </c>
      <c r="L112" t="s">
        <v>143</v>
      </c>
      <c r="M112" t="s">
        <v>77</v>
      </c>
      <c r="T112" t="s">
        <v>69</v>
      </c>
      <c r="U112">
        <v>2654.685637</v>
      </c>
      <c r="V112">
        <v>2405.58130295</v>
      </c>
      <c r="W112">
        <v>2283.73843635</v>
      </c>
      <c r="X112">
        <v>2079.4177918999999</v>
      </c>
      <c r="Y112">
        <v>1673.3935984499999</v>
      </c>
      <c r="Z112">
        <v>1193.46714595</v>
      </c>
      <c r="AA112">
        <v>727.04376009999999</v>
      </c>
      <c r="AB112">
        <v>253.91039055400699</v>
      </c>
      <c r="AC112">
        <v>29.56829995</v>
      </c>
      <c r="AD112">
        <v>8.0469677419354806</v>
      </c>
      <c r="AE112">
        <v>58.613991550687899</v>
      </c>
      <c r="AF112">
        <v>307.10556494999997</v>
      </c>
      <c r="AG112">
        <v>788.41325340000003</v>
      </c>
      <c r="AH112">
        <v>1339.6120566</v>
      </c>
      <c r="AI112">
        <v>2106.66020905</v>
      </c>
      <c r="AJ112">
        <v>2572.7740279999998</v>
      </c>
      <c r="AK112">
        <v>2790.2220198</v>
      </c>
      <c r="AL112">
        <v>2850.04976115</v>
      </c>
    </row>
    <row r="113" spans="5:38" x14ac:dyDescent="0.25">
      <c r="E113">
        <v>2.4831985877370002</v>
      </c>
      <c r="F113">
        <v>1</v>
      </c>
      <c r="H113" s="48">
        <v>9.866868381267959E-4</v>
      </c>
      <c r="I113">
        <v>-2.6088000000072498E-2</v>
      </c>
      <c r="L113">
        <v>2.4831985877370002</v>
      </c>
      <c r="M113">
        <v>1</v>
      </c>
      <c r="T113" t="s">
        <v>70</v>
      </c>
      <c r="U113">
        <f>SUM(U112-$AD$112)</f>
        <v>2646.6386692580645</v>
      </c>
      <c r="V113">
        <f t="shared" ref="V113:AL113" si="46">SUM(V112-$AD$112)</f>
        <v>2397.5343352080645</v>
      </c>
      <c r="W113">
        <f t="shared" si="46"/>
        <v>2275.6914686080645</v>
      </c>
      <c r="X113">
        <f t="shared" si="46"/>
        <v>2071.3708241580644</v>
      </c>
      <c r="Y113">
        <f t="shared" si="46"/>
        <v>1665.3466307080644</v>
      </c>
      <c r="Z113">
        <f t="shared" si="46"/>
        <v>1185.4201782080645</v>
      </c>
      <c r="AA113">
        <f t="shared" si="46"/>
        <v>718.99679235806445</v>
      </c>
      <c r="AB113">
        <f t="shared" si="46"/>
        <v>245.86342281207152</v>
      </c>
      <c r="AC113">
        <f t="shared" si="46"/>
        <v>21.521332208064521</v>
      </c>
      <c r="AD113">
        <f t="shared" si="46"/>
        <v>0</v>
      </c>
      <c r="AE113">
        <f t="shared" si="46"/>
        <v>50.567023808752417</v>
      </c>
      <c r="AF113">
        <f t="shared" si="46"/>
        <v>299.0585972080645</v>
      </c>
      <c r="AG113">
        <f t="shared" si="46"/>
        <v>780.3662856580645</v>
      </c>
      <c r="AH113">
        <f t="shared" si="46"/>
        <v>1331.5650888580644</v>
      </c>
      <c r="AI113">
        <f t="shared" si="46"/>
        <v>2098.6132413080645</v>
      </c>
      <c r="AJ113">
        <f t="shared" si="46"/>
        <v>2564.7270602580643</v>
      </c>
      <c r="AK113">
        <f t="shared" si="46"/>
        <v>2782.1750520580645</v>
      </c>
      <c r="AL113">
        <f t="shared" si="46"/>
        <v>2842.0027934080645</v>
      </c>
    </row>
    <row r="114" spans="5:38" x14ac:dyDescent="0.25">
      <c r="E114">
        <f>SUM(2.23981335208067*0.995)</f>
        <v>2.2286142853202664</v>
      </c>
      <c r="F114">
        <v>40</v>
      </c>
      <c r="H114" s="48">
        <v>0.11012727272769</v>
      </c>
      <c r="I114">
        <v>-2.6408520000099998</v>
      </c>
      <c r="L114">
        <v>2.2286142853202664</v>
      </c>
      <c r="M114">
        <v>40</v>
      </c>
      <c r="T114" t="s">
        <v>71</v>
      </c>
      <c r="U114">
        <v>2644</v>
      </c>
      <c r="V114">
        <v>2398</v>
      </c>
      <c r="W114">
        <v>2281</v>
      </c>
      <c r="X114">
        <v>2076</v>
      </c>
      <c r="Y114">
        <v>1664</v>
      </c>
      <c r="Z114">
        <v>1191</v>
      </c>
      <c r="AA114">
        <v>727</v>
      </c>
      <c r="AB114">
        <v>246</v>
      </c>
      <c r="AC114">
        <v>15</v>
      </c>
      <c r="AD114">
        <v>0</v>
      </c>
      <c r="AE114">
        <v>49</v>
      </c>
      <c r="AF114">
        <v>303</v>
      </c>
      <c r="AG114">
        <v>775</v>
      </c>
      <c r="AH114">
        <v>1354</v>
      </c>
      <c r="AI114">
        <v>2101</v>
      </c>
      <c r="AJ114">
        <v>2565</v>
      </c>
      <c r="AK114">
        <v>2786</v>
      </c>
      <c r="AL114">
        <v>2833</v>
      </c>
    </row>
    <row r="115" spans="5:38" x14ac:dyDescent="0.25">
      <c r="E115">
        <f>SUM(2.10525863105146*1.005)</f>
        <v>2.115784924206717</v>
      </c>
      <c r="F115">
        <v>80</v>
      </c>
      <c r="G115" s="49">
        <v>0.6538302937308188</v>
      </c>
      <c r="I115">
        <v>14.913868999999977</v>
      </c>
      <c r="L115">
        <v>2.115784924206717</v>
      </c>
      <c r="M115">
        <v>80</v>
      </c>
      <c r="T115" t="s">
        <v>90</v>
      </c>
      <c r="U115" s="50">
        <f>SUM(U114-U113)</f>
        <v>-2.6386692580645104</v>
      </c>
      <c r="V115" s="49">
        <f t="shared" ref="V115:AB115" si="47">SUM(V114-V113)</f>
        <v>0.46566479193552368</v>
      </c>
      <c r="W115" s="49">
        <f t="shared" si="47"/>
        <v>5.3085313919355031</v>
      </c>
      <c r="X115" s="49">
        <f t="shared" si="47"/>
        <v>4.6291758419356484</v>
      </c>
      <c r="Y115" s="50">
        <f t="shared" si="47"/>
        <v>-1.3466307080643674</v>
      </c>
      <c r="Z115" s="49">
        <f t="shared" si="47"/>
        <v>5.5798217919355011</v>
      </c>
      <c r="AA115" s="49">
        <f t="shared" si="47"/>
        <v>8.0032076419355462</v>
      </c>
      <c r="AB115" s="49">
        <f t="shared" si="47"/>
        <v>0.13657718792848073</v>
      </c>
      <c r="AC115" s="48">
        <f>SUM(AC114-AC113)</f>
        <v>-6.5213322080645213</v>
      </c>
      <c r="AD115">
        <f t="shared" ref="AD115:AI115" si="48">SUM(AD114-AD113)</f>
        <v>0</v>
      </c>
      <c r="AE115" s="50">
        <f t="shared" si="48"/>
        <v>-1.5670238087524169</v>
      </c>
      <c r="AF115" s="49">
        <f t="shared" si="48"/>
        <v>3.9414027919355021</v>
      </c>
      <c r="AG115" s="50">
        <f t="shared" si="48"/>
        <v>-5.3662856580644984</v>
      </c>
      <c r="AH115" s="49">
        <f t="shared" si="48"/>
        <v>22.434911141935572</v>
      </c>
      <c r="AI115" s="49">
        <f t="shared" si="48"/>
        <v>2.3867586919354835</v>
      </c>
      <c r="AJ115" s="49">
        <f>SUM(AJ114-AJ113)</f>
        <v>0.27293974193571557</v>
      </c>
      <c r="AK115" s="49">
        <f>SUM(AK114-AK113)</f>
        <v>3.8249479419355339</v>
      </c>
      <c r="AL115" s="50">
        <f>SUM(AL114-AL113)</f>
        <v>-9.0027934080644627</v>
      </c>
    </row>
    <row r="116" spans="5:38" x14ac:dyDescent="0.25">
      <c r="E116">
        <v>1.91026952033859</v>
      </c>
      <c r="F116">
        <v>120</v>
      </c>
      <c r="G116" s="49">
        <v>0.23617437379577544</v>
      </c>
      <c r="I116">
        <v>4.9029800000002979</v>
      </c>
      <c r="L116">
        <v>1.91026952033859</v>
      </c>
      <c r="M116">
        <v>120</v>
      </c>
      <c r="T116" t="s">
        <v>73</v>
      </c>
      <c r="U116">
        <f>SUM(U115/U114)*100</f>
        <v>-9.97983834366305E-2</v>
      </c>
      <c r="V116">
        <f>SUM(V115/V114)*100</f>
        <v>1.9418882065701571E-2</v>
      </c>
      <c r="W116">
        <f t="shared" ref="W116:AC116" si="49">SUM(W115/W114)*100</f>
        <v>0.23272825041365641</v>
      </c>
      <c r="X116">
        <f t="shared" si="49"/>
        <v>0.22298534884083085</v>
      </c>
      <c r="Y116">
        <f t="shared" si="49"/>
        <v>-8.0927326205791308E-2</v>
      </c>
      <c r="Z116">
        <f t="shared" si="49"/>
        <v>0.46849889101053749</v>
      </c>
      <c r="AA116">
        <f t="shared" si="49"/>
        <v>1.1008538709677507</v>
      </c>
      <c r="AB116">
        <f t="shared" si="49"/>
        <v>5.5519182084748264E-2</v>
      </c>
      <c r="AC116">
        <f t="shared" si="49"/>
        <v>-43.475548053763475</v>
      </c>
      <c r="AD116">
        <v>0</v>
      </c>
      <c r="AE116">
        <f t="shared" ref="AE116:AL116" si="50">SUM(AE115/AE114)*100</f>
        <v>-3.1980077729641163</v>
      </c>
      <c r="AF116">
        <f t="shared" si="50"/>
        <v>1.3007930006387796</v>
      </c>
      <c r="AG116">
        <f t="shared" si="50"/>
        <v>-0.69242395587929018</v>
      </c>
      <c r="AH116">
        <f t="shared" si="50"/>
        <v>1.6569358302758914</v>
      </c>
      <c r="AI116">
        <f t="shared" si="50"/>
        <v>0.1136010800540449</v>
      </c>
      <c r="AJ116">
        <f t="shared" si="50"/>
        <v>1.0640925611528872E-2</v>
      </c>
      <c r="AK116">
        <f t="shared" si="50"/>
        <v>0.13729174235231636</v>
      </c>
      <c r="AL116">
        <f t="shared" si="50"/>
        <v>-0.31778303593591467</v>
      </c>
    </row>
    <row r="117" spans="5:38" x14ac:dyDescent="0.25">
      <c r="E117">
        <f>SUM(1.50693328660536*1.03)</f>
        <v>1.5521412852035208</v>
      </c>
      <c r="F117">
        <v>160</v>
      </c>
      <c r="H117" s="48">
        <v>0.226008834134625</v>
      </c>
      <c r="I117">
        <v>-3.760787000000164</v>
      </c>
      <c r="L117">
        <v>1.5521412852035208</v>
      </c>
      <c r="M117">
        <v>160</v>
      </c>
      <c r="T117" t="s">
        <v>144</v>
      </c>
      <c r="U117">
        <v>2285.3707546999999</v>
      </c>
      <c r="V117">
        <v>2119.1929379449002</v>
      </c>
      <c r="W117">
        <v>1985.07591130742</v>
      </c>
      <c r="X117">
        <v>1816.73947568059</v>
      </c>
      <c r="Y117">
        <v>1482.0119283618101</v>
      </c>
      <c r="Z117">
        <v>1049.5366485345201</v>
      </c>
      <c r="AA117">
        <v>648.89318078211397</v>
      </c>
      <c r="AB117">
        <v>253.91039055400699</v>
      </c>
      <c r="AC117">
        <v>35.460374604841597</v>
      </c>
      <c r="AD117">
        <v>8.0469677419354806</v>
      </c>
      <c r="AE117">
        <v>58.613991550687899</v>
      </c>
      <c r="AF117">
        <v>276.03147350532299</v>
      </c>
      <c r="AG117">
        <v>647.73060250175104</v>
      </c>
      <c r="AH117">
        <v>1157.6698351495399</v>
      </c>
      <c r="AI117">
        <v>1812.00017725096</v>
      </c>
      <c r="AJ117">
        <v>2224.3795112645998</v>
      </c>
      <c r="AK117">
        <v>2400.7208678603101</v>
      </c>
      <c r="AL117">
        <v>2446.8044680500002</v>
      </c>
    </row>
    <row r="118" spans="5:38" x14ac:dyDescent="0.25">
      <c r="E118">
        <f>SUM(1.0690756282665*1.03)</f>
        <v>1.101147897114495</v>
      </c>
      <c r="F118">
        <v>200</v>
      </c>
      <c r="G118" s="49">
        <v>5.2978062132661501</v>
      </c>
      <c r="I118">
        <v>63.096871999999848</v>
      </c>
      <c r="L118">
        <v>1.101147897114495</v>
      </c>
      <c r="M118">
        <v>200</v>
      </c>
    </row>
    <row r="119" spans="5:38" x14ac:dyDescent="0.25">
      <c r="E119">
        <f>SUM(0.698509162064016*0.95)</f>
        <v>0.66358370396081523</v>
      </c>
      <c r="F119">
        <v>240</v>
      </c>
      <c r="H119" s="48">
        <v>0.59651471801938905</v>
      </c>
      <c r="I119">
        <v>-4.3366620000009561</v>
      </c>
      <c r="L119">
        <v>0.66358370396081523</v>
      </c>
      <c r="M119">
        <v>240</v>
      </c>
      <c r="T119" t="s">
        <v>176</v>
      </c>
    </row>
    <row r="120" spans="5:38" x14ac:dyDescent="0.25">
      <c r="E120">
        <f>SUM(0.293838887743665*0.87)</f>
        <v>0.25563983233698856</v>
      </c>
      <c r="F120">
        <v>280</v>
      </c>
      <c r="H120" s="48">
        <v>17.3440601626016</v>
      </c>
      <c r="I120">
        <v>-42.666387999999984</v>
      </c>
      <c r="L120">
        <v>0.25563983233698856</v>
      </c>
      <c r="M120">
        <v>280</v>
      </c>
      <c r="T120" t="s">
        <v>68</v>
      </c>
      <c r="U120">
        <v>1</v>
      </c>
      <c r="V120">
        <v>40</v>
      </c>
      <c r="W120">
        <v>80</v>
      </c>
      <c r="X120">
        <v>120</v>
      </c>
      <c r="Y120">
        <v>160</v>
      </c>
      <c r="Z120">
        <v>200</v>
      </c>
      <c r="AA120">
        <v>240</v>
      </c>
      <c r="AB120">
        <v>280</v>
      </c>
      <c r="AC120">
        <v>320</v>
      </c>
      <c r="AD120">
        <v>338</v>
      </c>
      <c r="AE120">
        <v>360</v>
      </c>
      <c r="AF120">
        <v>400</v>
      </c>
      <c r="AG120">
        <v>440</v>
      </c>
      <c r="AH120">
        <v>480</v>
      </c>
      <c r="AI120">
        <v>520</v>
      </c>
      <c r="AJ120">
        <v>560</v>
      </c>
      <c r="AK120">
        <v>600</v>
      </c>
      <c r="AL120">
        <v>631</v>
      </c>
    </row>
    <row r="121" spans="5:38" x14ac:dyDescent="0.25">
      <c r="E121">
        <f>SUM(0.0282549083223073*0.65)</f>
        <v>1.8365690409499747E-2</v>
      </c>
      <c r="F121">
        <v>320</v>
      </c>
      <c r="H121" s="48">
        <v>80.549386666666706</v>
      </c>
      <c r="I121">
        <v>-12.082408000000001</v>
      </c>
      <c r="L121">
        <v>1.8365690409499747E-2</v>
      </c>
      <c r="M121">
        <v>320</v>
      </c>
      <c r="T121" t="s">
        <v>69</v>
      </c>
      <c r="U121">
        <v>2656.1259303299998</v>
      </c>
      <c r="V121">
        <v>2415.0836110149999</v>
      </c>
      <c r="W121">
        <v>2301.3015012850101</v>
      </c>
      <c r="X121">
        <v>2098.06316169</v>
      </c>
      <c r="Y121">
        <v>1678.2516054099999</v>
      </c>
      <c r="Z121">
        <v>1208.043640095</v>
      </c>
      <c r="AA121">
        <v>742.28527204499903</v>
      </c>
      <c r="AB121">
        <v>250.01578046</v>
      </c>
      <c r="AC121">
        <v>29.773684143949598</v>
      </c>
      <c r="AD121">
        <v>11.621615093998701</v>
      </c>
      <c r="AE121">
        <v>54.974118885000102</v>
      </c>
      <c r="AF121">
        <v>321.96196006999998</v>
      </c>
      <c r="AG121">
        <v>781.23505493499999</v>
      </c>
      <c r="AH121">
        <v>1370.35483311283</v>
      </c>
      <c r="AI121">
        <v>2110.8064432599999</v>
      </c>
      <c r="AJ121">
        <v>2578.8390977549998</v>
      </c>
      <c r="AK121">
        <v>2791.6440430550001</v>
      </c>
      <c r="AL121">
        <v>2842.2676851450001</v>
      </c>
    </row>
    <row r="122" spans="5:38" x14ac:dyDescent="0.25">
      <c r="E122">
        <v>0</v>
      </c>
      <c r="F122">
        <v>334</v>
      </c>
      <c r="L122">
        <v>0</v>
      </c>
      <c r="M122">
        <v>334</v>
      </c>
      <c r="T122" t="s">
        <v>70</v>
      </c>
      <c r="U122">
        <f>SUM(U121-$AD$121)</f>
        <v>2644.5043152360013</v>
      </c>
      <c r="V122">
        <f t="shared" ref="V122:AL122" si="51">SUM(V121-$AD$121)</f>
        <v>2403.4619959210013</v>
      </c>
      <c r="W122">
        <f t="shared" si="51"/>
        <v>2289.6798861910115</v>
      </c>
      <c r="X122">
        <f t="shared" si="51"/>
        <v>2086.4415465960014</v>
      </c>
      <c r="Y122">
        <f t="shared" si="51"/>
        <v>1666.6299903160011</v>
      </c>
      <c r="Z122">
        <f t="shared" si="51"/>
        <v>1196.4220250010012</v>
      </c>
      <c r="AA122">
        <f t="shared" si="51"/>
        <v>730.66365695100035</v>
      </c>
      <c r="AB122">
        <f t="shared" si="51"/>
        <v>238.39416536600129</v>
      </c>
      <c r="AC122">
        <f t="shared" si="51"/>
        <v>18.152069049950896</v>
      </c>
      <c r="AD122">
        <f t="shared" si="51"/>
        <v>0</v>
      </c>
      <c r="AE122">
        <f t="shared" si="51"/>
        <v>43.352503791001403</v>
      </c>
      <c r="AF122">
        <f t="shared" si="51"/>
        <v>310.34034497600129</v>
      </c>
      <c r="AG122">
        <f t="shared" si="51"/>
        <v>769.61343984100131</v>
      </c>
      <c r="AH122">
        <f t="shared" si="51"/>
        <v>1358.7332180188312</v>
      </c>
      <c r="AI122">
        <f t="shared" si="51"/>
        <v>2099.1848281660014</v>
      </c>
      <c r="AJ122">
        <f t="shared" si="51"/>
        <v>2567.2174826610012</v>
      </c>
      <c r="AK122">
        <f t="shared" si="51"/>
        <v>2780.0224279610015</v>
      </c>
      <c r="AL122">
        <f t="shared" si="51"/>
        <v>2830.6460700510015</v>
      </c>
    </row>
    <row r="123" spans="5:38" x14ac:dyDescent="0.25">
      <c r="E123">
        <f>SUM(0.0353369259774362*1.15)</f>
        <v>4.0637464874051628E-2</v>
      </c>
      <c r="F123">
        <v>360</v>
      </c>
      <c r="G123" s="49">
        <v>22.113416326530412</v>
      </c>
      <c r="I123">
        <v>10.835573999999902</v>
      </c>
      <c r="L123">
        <v>4.0637464874051628E-2</v>
      </c>
      <c r="M123">
        <v>360</v>
      </c>
      <c r="T123" t="s">
        <v>71</v>
      </c>
      <c r="U123">
        <v>2644</v>
      </c>
      <c r="V123">
        <v>2398</v>
      </c>
      <c r="W123">
        <v>2281</v>
      </c>
      <c r="X123">
        <v>2076</v>
      </c>
      <c r="Y123">
        <v>1664</v>
      </c>
      <c r="Z123">
        <v>1191</v>
      </c>
      <c r="AA123">
        <v>727</v>
      </c>
      <c r="AB123">
        <v>246</v>
      </c>
      <c r="AC123">
        <v>15</v>
      </c>
      <c r="AD123">
        <v>0</v>
      </c>
      <c r="AE123">
        <v>49</v>
      </c>
      <c r="AF123">
        <v>303</v>
      </c>
      <c r="AG123">
        <v>775</v>
      </c>
      <c r="AH123">
        <v>1354</v>
      </c>
      <c r="AI123">
        <v>2101</v>
      </c>
      <c r="AJ123">
        <v>2565</v>
      </c>
      <c r="AK123">
        <v>2786</v>
      </c>
      <c r="AL123">
        <v>2833</v>
      </c>
    </row>
    <row r="124" spans="5:38" x14ac:dyDescent="0.25">
      <c r="E124">
        <f>SUM(0.281943511199761*0.99)</f>
        <v>0.27912407608776341</v>
      </c>
      <c r="F124">
        <v>400</v>
      </c>
      <c r="H124" s="48">
        <v>1.9046240924092399</v>
      </c>
      <c r="I124">
        <v>-5.7710109999999872</v>
      </c>
      <c r="L124">
        <v>0.27912407608776341</v>
      </c>
      <c r="M124">
        <v>400</v>
      </c>
      <c r="T124" t="s">
        <v>90</v>
      </c>
      <c r="U124" s="50">
        <f>SUM(U123-U122)</f>
        <v>-0.50431523600127548</v>
      </c>
      <c r="V124" s="50">
        <f t="shared" ref="V124:AB124" si="52">SUM(V123-V122)</f>
        <v>-5.4619959210012894</v>
      </c>
      <c r="W124" s="50">
        <f t="shared" si="52"/>
        <v>-8.6798861910115193</v>
      </c>
      <c r="X124" s="50">
        <f t="shared" si="52"/>
        <v>-10.441546596001444</v>
      </c>
      <c r="Y124" s="50">
        <f t="shared" si="52"/>
        <v>-2.6299903160011127</v>
      </c>
      <c r="Z124" s="50">
        <f t="shared" si="52"/>
        <v>-5.4220250010012023</v>
      </c>
      <c r="AA124" s="50">
        <f t="shared" si="52"/>
        <v>-3.6636569510003483</v>
      </c>
      <c r="AB124" s="49">
        <f t="shared" si="52"/>
        <v>7.6058346339987111</v>
      </c>
      <c r="AC124" s="48">
        <f t="shared" ref="AC124:AL124" si="53">SUM(AC123-AC122)</f>
        <v>-3.1520690499508959</v>
      </c>
      <c r="AD124">
        <f t="shared" si="53"/>
        <v>0</v>
      </c>
      <c r="AE124" s="49">
        <f t="shared" si="53"/>
        <v>5.6474962089985965</v>
      </c>
      <c r="AF124" s="50">
        <f t="shared" si="53"/>
        <v>-7.3403449760012904</v>
      </c>
      <c r="AG124" s="49">
        <f t="shared" si="53"/>
        <v>5.3865601589986909</v>
      </c>
      <c r="AH124" s="50">
        <f t="shared" si="53"/>
        <v>-4.7332180188311668</v>
      </c>
      <c r="AI124" s="49">
        <f t="shared" si="53"/>
        <v>1.8151718339986473</v>
      </c>
      <c r="AJ124" s="50">
        <f t="shared" si="53"/>
        <v>-2.2174826610012133</v>
      </c>
      <c r="AK124" s="49">
        <f t="shared" si="53"/>
        <v>5.9775720389984599</v>
      </c>
      <c r="AL124" s="49">
        <f t="shared" si="53"/>
        <v>2.3539299489984842</v>
      </c>
    </row>
    <row r="125" spans="5:38" x14ac:dyDescent="0.25">
      <c r="E125">
        <f>SUM(0.724752574676198*0.91)</f>
        <v>0.6595248429553402</v>
      </c>
      <c r="F125">
        <v>440</v>
      </c>
      <c r="H125" s="48">
        <v>2.3974290322583198</v>
      </c>
      <c r="I125">
        <v>-18.580075000002012</v>
      </c>
      <c r="L125">
        <f>SUM(0.65952484295534*1.05)</f>
        <v>0.69250108510310704</v>
      </c>
      <c r="M125">
        <v>440</v>
      </c>
      <c r="T125" t="s">
        <v>73</v>
      </c>
      <c r="U125">
        <f>SUM(U124/U123)*100</f>
        <v>-1.9073949924405274E-2</v>
      </c>
      <c r="V125">
        <f>SUM(V124/V123)*100</f>
        <v>-0.22777297418687614</v>
      </c>
      <c r="W125">
        <f t="shared" ref="W125:AC125" si="54">SUM(W124/W123)*100</f>
        <v>-0.38052986370063652</v>
      </c>
      <c r="X125">
        <f t="shared" si="54"/>
        <v>-0.50296467225440489</v>
      </c>
      <c r="Y125">
        <f t="shared" si="54"/>
        <v>-0.15805230264429765</v>
      </c>
      <c r="Z125">
        <f t="shared" si="54"/>
        <v>-0.45524979017642336</v>
      </c>
      <c r="AA125">
        <f t="shared" si="54"/>
        <v>-0.50394180894090079</v>
      </c>
      <c r="AB125">
        <f t="shared" si="54"/>
        <v>3.0918026967474437</v>
      </c>
      <c r="AC125">
        <f t="shared" si="54"/>
        <v>-21.013793666339307</v>
      </c>
      <c r="AD125">
        <v>0</v>
      </c>
      <c r="AE125">
        <f t="shared" ref="AE125:AL125" si="55">SUM(AE124/AE123)*100</f>
        <v>11.525502467344074</v>
      </c>
      <c r="AF125">
        <f t="shared" si="55"/>
        <v>-2.4225560976901948</v>
      </c>
      <c r="AG125">
        <f t="shared" si="55"/>
        <v>0.69504002051596014</v>
      </c>
      <c r="AH125">
        <f t="shared" si="55"/>
        <v>-0.34957297037157803</v>
      </c>
      <c r="AI125">
        <f t="shared" si="55"/>
        <v>8.6395613231730006E-2</v>
      </c>
      <c r="AJ125">
        <f t="shared" si="55"/>
        <v>-8.6451565731041444E-2</v>
      </c>
      <c r="AK125">
        <f t="shared" si="55"/>
        <v>0.21455750319448888</v>
      </c>
      <c r="AL125">
        <f t="shared" si="55"/>
        <v>8.3089655806511981E-2</v>
      </c>
    </row>
    <row r="126" spans="5:38" x14ac:dyDescent="0.25">
      <c r="E126">
        <f>SUM(1.23670103588915*0.96)</f>
        <v>1.187232994453584</v>
      </c>
      <c r="F126">
        <v>480</v>
      </c>
      <c r="G126" s="49">
        <v>1.4380697193500716</v>
      </c>
      <c r="I126">
        <v>19.471463999999969</v>
      </c>
      <c r="L126">
        <f>SUM(1.18723299445358*1.045)</f>
        <v>1.240658479203991</v>
      </c>
      <c r="M126">
        <v>480</v>
      </c>
      <c r="T126" t="s">
        <v>144</v>
      </c>
      <c r="U126">
        <v>2583.8601270150002</v>
      </c>
      <c r="V126">
        <v>2258.7987074150001</v>
      </c>
      <c r="W126">
        <v>2219.5206742399901</v>
      </c>
      <c r="X126">
        <v>2006.488725405</v>
      </c>
      <c r="Y126">
        <v>1480.2852447299999</v>
      </c>
      <c r="Z126">
        <v>1070.740034725</v>
      </c>
      <c r="AA126">
        <v>675.66240748999905</v>
      </c>
      <c r="AB126">
        <v>277.7953114</v>
      </c>
      <c r="AC126">
        <v>82.921639500764002</v>
      </c>
      <c r="AD126">
        <v>23.041068362330599</v>
      </c>
      <c r="AE126">
        <v>40.649412824999899</v>
      </c>
      <c r="AF126">
        <v>321.96196006999998</v>
      </c>
      <c r="AG126">
        <v>811.19275040500099</v>
      </c>
      <c r="AH126">
        <v>1398.125763175</v>
      </c>
      <c r="AI126">
        <v>2054.4237315550099</v>
      </c>
      <c r="AJ126">
        <v>2590.9186908400002</v>
      </c>
      <c r="AK126">
        <v>2740.3372973850001</v>
      </c>
      <c r="AL126">
        <v>2789.9683190999999</v>
      </c>
    </row>
    <row r="127" spans="5:38" x14ac:dyDescent="0.25">
      <c r="E127">
        <f>SUM(1.94404741299711*0.995)</f>
        <v>1.9343271759321243</v>
      </c>
      <c r="F127">
        <v>520</v>
      </c>
      <c r="H127" s="48">
        <v>0.18443184197999299</v>
      </c>
      <c r="I127">
        <v>-3.8749129999996512</v>
      </c>
      <c r="L127">
        <v>1.9343271759321243</v>
      </c>
      <c r="M127">
        <v>520</v>
      </c>
    </row>
    <row r="128" spans="5:38" x14ac:dyDescent="0.25">
      <c r="E128">
        <f>SUM(2.40094668832215*1)</f>
        <v>2.4009466883221502</v>
      </c>
      <c r="F128">
        <v>560</v>
      </c>
      <c r="H128" s="48">
        <v>1.71652169590642</v>
      </c>
      <c r="I128">
        <v>-44.028781499999695</v>
      </c>
      <c r="L128">
        <v>2.4009466883221502</v>
      </c>
      <c r="M128">
        <v>560</v>
      </c>
      <c r="T128" t="s">
        <v>182</v>
      </c>
    </row>
    <row r="129" spans="5:38" x14ac:dyDescent="0.25">
      <c r="E129">
        <f>SUM(2.62999825579962*0.996)</f>
        <v>2.6194782627764219</v>
      </c>
      <c r="F129">
        <v>600</v>
      </c>
      <c r="H129" s="48">
        <v>0.173214501076803</v>
      </c>
      <c r="I129">
        <v>-4.8257559999997284</v>
      </c>
      <c r="L129">
        <v>2.6194782627764219</v>
      </c>
      <c r="M129">
        <v>600</v>
      </c>
      <c r="T129" t="s">
        <v>68</v>
      </c>
      <c r="U129">
        <v>1</v>
      </c>
      <c r="V129">
        <v>40</v>
      </c>
      <c r="W129">
        <v>80</v>
      </c>
      <c r="X129">
        <v>120</v>
      </c>
      <c r="Y129">
        <v>160</v>
      </c>
      <c r="Z129">
        <v>200</v>
      </c>
      <c r="AA129">
        <v>240</v>
      </c>
      <c r="AB129">
        <v>280</v>
      </c>
      <c r="AC129">
        <v>320</v>
      </c>
      <c r="AD129">
        <v>338</v>
      </c>
      <c r="AE129">
        <v>360</v>
      </c>
      <c r="AF129">
        <v>400</v>
      </c>
      <c r="AG129">
        <v>440</v>
      </c>
      <c r="AH129">
        <v>480</v>
      </c>
      <c r="AI129">
        <v>520</v>
      </c>
      <c r="AJ129">
        <v>560</v>
      </c>
      <c r="AK129">
        <v>600</v>
      </c>
      <c r="AL129">
        <v>631</v>
      </c>
    </row>
    <row r="130" spans="5:38" x14ac:dyDescent="0.25">
      <c r="E130">
        <v>2.6701060081883998</v>
      </c>
      <c r="F130">
        <v>631</v>
      </c>
      <c r="G130" s="49">
        <v>7.2943593363922546E-2</v>
      </c>
      <c r="I130">
        <v>2.0664919999999256</v>
      </c>
      <c r="L130">
        <v>2.6701060081883998</v>
      </c>
      <c r="M130">
        <v>631</v>
      </c>
      <c r="T130" t="s">
        <v>69</v>
      </c>
      <c r="U130">
        <v>2656.1259303299998</v>
      </c>
      <c r="V130">
        <v>2415.0836110149999</v>
      </c>
      <c r="W130">
        <v>2301.3015012850101</v>
      </c>
      <c r="X130">
        <v>2095.10188763</v>
      </c>
      <c r="Y130">
        <v>1685.12881649</v>
      </c>
      <c r="Z130">
        <v>1212.7402712149999</v>
      </c>
      <c r="AA130">
        <v>742.28527204499903</v>
      </c>
      <c r="AB130">
        <v>250.01578046</v>
      </c>
      <c r="AC130">
        <v>29.773684143949598</v>
      </c>
      <c r="AD130">
        <v>11.621615093998701</v>
      </c>
      <c r="AE130">
        <v>54.974118885000102</v>
      </c>
      <c r="AF130">
        <v>323.07799017500002</v>
      </c>
      <c r="AG130">
        <v>783.82491004999895</v>
      </c>
      <c r="AH130">
        <v>1362.320695975</v>
      </c>
      <c r="AI130">
        <v>2110.8064432599999</v>
      </c>
      <c r="AJ130">
        <v>2578.8390977549998</v>
      </c>
      <c r="AK130">
        <v>2791.6440430550001</v>
      </c>
      <c r="AL130">
        <v>2842.2676851450001</v>
      </c>
    </row>
    <row r="131" spans="5:38" x14ac:dyDescent="0.25">
      <c r="T131" t="s">
        <v>70</v>
      </c>
      <c r="U131">
        <f t="shared" ref="U131:AL131" si="56">SUM(U130-$AD$121)</f>
        <v>2644.5043152360013</v>
      </c>
      <c r="V131">
        <f t="shared" si="56"/>
        <v>2403.4619959210013</v>
      </c>
      <c r="W131">
        <f t="shared" si="56"/>
        <v>2289.6798861910115</v>
      </c>
      <c r="X131">
        <f t="shared" si="56"/>
        <v>2083.4802725360014</v>
      </c>
      <c r="Y131">
        <f t="shared" si="56"/>
        <v>1673.5072013960012</v>
      </c>
      <c r="Z131">
        <f t="shared" si="56"/>
        <v>1201.1186561210011</v>
      </c>
      <c r="AA131">
        <f t="shared" si="56"/>
        <v>730.66365695100035</v>
      </c>
      <c r="AB131">
        <f t="shared" si="56"/>
        <v>238.39416536600129</v>
      </c>
      <c r="AC131">
        <f t="shared" si="56"/>
        <v>18.152069049950896</v>
      </c>
      <c r="AD131">
        <f t="shared" si="56"/>
        <v>0</v>
      </c>
      <c r="AE131">
        <f t="shared" si="56"/>
        <v>43.352503791001403</v>
      </c>
      <c r="AF131">
        <f t="shared" si="56"/>
        <v>311.45637508100134</v>
      </c>
      <c r="AG131">
        <f t="shared" si="56"/>
        <v>772.20329495600026</v>
      </c>
      <c r="AH131">
        <f t="shared" si="56"/>
        <v>1350.6990808810012</v>
      </c>
      <c r="AI131">
        <f t="shared" si="56"/>
        <v>2099.1848281660014</v>
      </c>
      <c r="AJ131">
        <f t="shared" si="56"/>
        <v>2567.2174826610012</v>
      </c>
      <c r="AK131">
        <f t="shared" si="56"/>
        <v>2780.0224279610015</v>
      </c>
      <c r="AL131">
        <f t="shared" si="56"/>
        <v>2830.6460700510015</v>
      </c>
    </row>
    <row r="132" spans="5:38" x14ac:dyDescent="0.25">
      <c r="T132" t="s">
        <v>71</v>
      </c>
      <c r="U132">
        <v>2644</v>
      </c>
      <c r="V132">
        <v>2398</v>
      </c>
      <c r="W132">
        <v>2281</v>
      </c>
      <c r="X132">
        <v>2076</v>
      </c>
      <c r="Y132">
        <v>1664</v>
      </c>
      <c r="Z132">
        <v>1191</v>
      </c>
      <c r="AA132">
        <v>727</v>
      </c>
      <c r="AB132">
        <v>246</v>
      </c>
      <c r="AC132">
        <v>15</v>
      </c>
      <c r="AD132">
        <v>0</v>
      </c>
      <c r="AE132">
        <v>49</v>
      </c>
      <c r="AF132">
        <v>303</v>
      </c>
      <c r="AG132">
        <v>775</v>
      </c>
      <c r="AH132">
        <v>1354</v>
      </c>
      <c r="AI132">
        <v>2101</v>
      </c>
      <c r="AJ132">
        <v>2565</v>
      </c>
      <c r="AK132">
        <v>2786</v>
      </c>
      <c r="AL132">
        <v>2833</v>
      </c>
    </row>
    <row r="133" spans="5:38" x14ac:dyDescent="0.25">
      <c r="K133" t="s">
        <v>180</v>
      </c>
      <c r="L133" t="s">
        <v>177</v>
      </c>
      <c r="M133" t="s">
        <v>77</v>
      </c>
      <c r="O133" t="s">
        <v>180</v>
      </c>
      <c r="P133" t="s">
        <v>179</v>
      </c>
      <c r="Q133" t="s">
        <v>77</v>
      </c>
      <c r="T133" t="s">
        <v>90</v>
      </c>
      <c r="U133" s="50">
        <f>SUM(U132-U131)</f>
        <v>-0.50431523600127548</v>
      </c>
      <c r="V133" s="50">
        <f t="shared" ref="V133:AB133" si="57">SUM(V132-V131)</f>
        <v>-5.4619959210012894</v>
      </c>
      <c r="W133" s="50">
        <f t="shared" si="57"/>
        <v>-8.6798861910115193</v>
      </c>
      <c r="X133" s="50">
        <f t="shared" si="57"/>
        <v>-7.4802725360013937</v>
      </c>
      <c r="Y133" s="50">
        <f t="shared" si="57"/>
        <v>-9.5072013960011645</v>
      </c>
      <c r="Z133" s="50">
        <f t="shared" si="57"/>
        <v>-10.118656121001095</v>
      </c>
      <c r="AA133" s="50">
        <f t="shared" si="57"/>
        <v>-3.6636569510003483</v>
      </c>
      <c r="AB133" s="49">
        <f t="shared" si="57"/>
        <v>7.6058346339987111</v>
      </c>
      <c r="AC133" s="48">
        <f t="shared" ref="AC133:AL133" si="58">SUM(AC132-AC131)</f>
        <v>-3.1520690499508959</v>
      </c>
      <c r="AD133">
        <f t="shared" si="58"/>
        <v>0</v>
      </c>
      <c r="AE133" s="49">
        <f t="shared" si="58"/>
        <v>5.6474962089985965</v>
      </c>
      <c r="AF133" s="50">
        <f t="shared" si="58"/>
        <v>-8.4563750810013403</v>
      </c>
      <c r="AG133" s="49">
        <f t="shared" si="58"/>
        <v>2.7967050439997365</v>
      </c>
      <c r="AH133" s="50">
        <f t="shared" si="58"/>
        <v>3.3009191189987632</v>
      </c>
      <c r="AI133" s="49">
        <f t="shared" si="58"/>
        <v>1.8151718339986473</v>
      </c>
      <c r="AJ133" s="50">
        <f t="shared" si="58"/>
        <v>-2.2174826610012133</v>
      </c>
      <c r="AK133" s="49">
        <f t="shared" si="58"/>
        <v>5.9775720389984599</v>
      </c>
      <c r="AL133" s="49">
        <f t="shared" si="58"/>
        <v>2.3539299489984842</v>
      </c>
    </row>
    <row r="134" spans="5:38" x14ac:dyDescent="0.25">
      <c r="E134">
        <v>2.4831985877370002</v>
      </c>
      <c r="G134">
        <v>0.3</v>
      </c>
      <c r="H134">
        <v>1</v>
      </c>
      <c r="T134" t="s">
        <v>73</v>
      </c>
      <c r="U134">
        <f>SUM(U133/U132)*100</f>
        <v>-1.9073949924405274E-2</v>
      </c>
      <c r="V134">
        <f>SUM(V133/V132)*100</f>
        <v>-0.22777297418687614</v>
      </c>
      <c r="W134">
        <f t="shared" ref="W134:AC134" si="59">SUM(W133/W132)*100</f>
        <v>-0.38052986370063652</v>
      </c>
      <c r="X134">
        <f t="shared" si="59"/>
        <v>-0.36032141310218663</v>
      </c>
      <c r="Y134">
        <f t="shared" si="59"/>
        <v>-0.57134623774045457</v>
      </c>
      <c r="Z134">
        <f t="shared" si="59"/>
        <v>-0.84959329311512133</v>
      </c>
      <c r="AA134">
        <f t="shared" si="59"/>
        <v>-0.50394180894090079</v>
      </c>
      <c r="AB134">
        <f t="shared" si="59"/>
        <v>3.0918026967474437</v>
      </c>
      <c r="AC134">
        <f t="shared" si="59"/>
        <v>-21.013793666339307</v>
      </c>
      <c r="AD134">
        <v>0</v>
      </c>
      <c r="AE134">
        <f t="shared" ref="AE134:AL134" si="60">SUM(AE133/AE132)*100</f>
        <v>11.525502467344074</v>
      </c>
      <c r="AF134">
        <f t="shared" si="60"/>
        <v>-2.7908828650169437</v>
      </c>
      <c r="AG134">
        <f t="shared" si="60"/>
        <v>0.36086516696770793</v>
      </c>
      <c r="AH134">
        <f t="shared" si="60"/>
        <v>0.24379018604126762</v>
      </c>
      <c r="AI134">
        <f t="shared" si="60"/>
        <v>8.6395613231730006E-2</v>
      </c>
      <c r="AJ134">
        <f t="shared" si="60"/>
        <v>-8.6451565731041444E-2</v>
      </c>
      <c r="AK134">
        <f t="shared" si="60"/>
        <v>0.21455750319448888</v>
      </c>
      <c r="AL134">
        <f t="shared" si="60"/>
        <v>8.3089655806511981E-2</v>
      </c>
    </row>
    <row r="135" spans="5:38" x14ac:dyDescent="0.25">
      <c r="E135">
        <f>SUM(2.23981335208067*0.995)</f>
        <v>2.2286142853202664</v>
      </c>
      <c r="H135" t="s">
        <v>153</v>
      </c>
      <c r="I135" t="s">
        <v>77</v>
      </c>
      <c r="K135" s="85">
        <v>2.2312038050491014</v>
      </c>
      <c r="L135" s="85">
        <f>SUM(2.2312038050491*1.031)</f>
        <v>2.3003711230056219</v>
      </c>
      <c r="M135" s="85">
        <v>1</v>
      </c>
      <c r="O135" s="85">
        <v>2.4831985877370002</v>
      </c>
      <c r="P135" s="85">
        <f>SUM(2.483198587737*1.03)</f>
        <v>2.5576945453691105</v>
      </c>
      <c r="Q135" s="85">
        <v>1</v>
      </c>
      <c r="T135" t="s">
        <v>144</v>
      </c>
      <c r="U135">
        <v>2583.8601270150002</v>
      </c>
      <c r="V135">
        <v>2258.7987074150001</v>
      </c>
      <c r="W135">
        <v>2219.5206742399901</v>
      </c>
      <c r="X135">
        <v>2006.488725405</v>
      </c>
      <c r="Y135">
        <v>1480.2852447299999</v>
      </c>
      <c r="Z135">
        <v>1070.740034725</v>
      </c>
      <c r="AA135">
        <v>675.66240748999905</v>
      </c>
      <c r="AB135">
        <v>277.7953114</v>
      </c>
      <c r="AC135">
        <v>82.921639500764002</v>
      </c>
      <c r="AD135">
        <v>23.041068362330599</v>
      </c>
      <c r="AE135">
        <v>40.649412824999899</v>
      </c>
      <c r="AF135">
        <v>321.96196006999998</v>
      </c>
      <c r="AG135">
        <v>811.19275040500099</v>
      </c>
      <c r="AH135">
        <v>1398.125763175</v>
      </c>
      <c r="AI135">
        <v>2054.4237315550099</v>
      </c>
      <c r="AJ135">
        <v>2590.9186908400002</v>
      </c>
      <c r="AK135">
        <v>2740.3372973850001</v>
      </c>
      <c r="AL135">
        <v>2789.9683190999999</v>
      </c>
    </row>
    <row r="136" spans="5:38" x14ac:dyDescent="0.25">
      <c r="E136">
        <f>SUM(2.10525863105146*1.005)</f>
        <v>2.115784924206717</v>
      </c>
      <c r="G136">
        <v>3.2467242380000001</v>
      </c>
      <c r="H136">
        <f>SUM(3.246724238*1.175)</f>
        <v>3.8149009796500004</v>
      </c>
      <c r="I136">
        <v>1</v>
      </c>
      <c r="K136" s="85">
        <v>1.7377140222853007</v>
      </c>
      <c r="L136" s="85">
        <f>SUM(1.7377140222853*1.075)</f>
        <v>1.8680425739566975</v>
      </c>
      <c r="M136" s="85">
        <v>40</v>
      </c>
      <c r="O136" s="85">
        <v>2.2286142853202664</v>
      </c>
      <c r="P136" s="85">
        <f>SUM(2.22861428532027*1.075)</f>
        <v>2.3957603567192902</v>
      </c>
      <c r="Q136" s="85">
        <v>40</v>
      </c>
    </row>
    <row r="137" spans="5:38" x14ac:dyDescent="0.25">
      <c r="E137">
        <v>1.91026952033859</v>
      </c>
      <c r="G137">
        <v>2.9970860635852299</v>
      </c>
      <c r="H137">
        <f>SUM(2.99708606358523*1.145)</f>
        <v>3.4316635428050883</v>
      </c>
      <c r="I137">
        <v>40</v>
      </c>
      <c r="K137" s="85">
        <v>1.8742111962412453</v>
      </c>
      <c r="L137" s="85">
        <f>SUM(1.87421119624125*1.04)</f>
        <v>1.9491796440909002</v>
      </c>
      <c r="M137" s="85">
        <v>80</v>
      </c>
      <c r="O137" s="85">
        <v>2.115784924206717</v>
      </c>
      <c r="P137" s="85">
        <f>SUM(2.11578492420672*1.04)</f>
        <v>2.200416321174989</v>
      </c>
      <c r="Q137" s="85">
        <v>80</v>
      </c>
    </row>
    <row r="138" spans="5:38" x14ac:dyDescent="0.25">
      <c r="E138">
        <f>SUM(1.50693328660536*1.03)</f>
        <v>1.5521412852035208</v>
      </c>
      <c r="G138">
        <v>2.78473217124218</v>
      </c>
      <c r="H138">
        <f>SUM(2.78473217124218*1.165)</f>
        <v>3.2442129794971399</v>
      </c>
      <c r="I138">
        <v>80</v>
      </c>
      <c r="K138" s="85">
        <v>1.6432159787773386</v>
      </c>
      <c r="L138" s="85">
        <f>SUM(1.64321597877734*1.05)</f>
        <v>1.725376777716207</v>
      </c>
      <c r="M138" s="85">
        <v>120</v>
      </c>
      <c r="O138" s="85">
        <v>1.91026952033859</v>
      </c>
      <c r="P138" s="85">
        <f>SUM(1.91026952033859*1.05)</f>
        <v>2.0057829963555194</v>
      </c>
      <c r="Q138" s="85">
        <v>120</v>
      </c>
    </row>
    <row r="139" spans="5:38" x14ac:dyDescent="0.25">
      <c r="E139">
        <f>SUM(1.0690756282665*1.03)</f>
        <v>1.101147897114495</v>
      </c>
      <c r="G139">
        <v>2.5257530395085999</v>
      </c>
      <c r="H139">
        <f>SUM(2.5257530395086*1.16)</f>
        <v>2.9298735258299757</v>
      </c>
      <c r="I139">
        <v>120</v>
      </c>
      <c r="K139" s="85">
        <v>0.91873097854963015</v>
      </c>
      <c r="L139" s="85">
        <f>SUM(0.91873097854963*1.145)</f>
        <v>1.0519469704393265</v>
      </c>
      <c r="M139" s="85">
        <v>160</v>
      </c>
      <c r="O139" s="85">
        <v>1.5521412852035208</v>
      </c>
      <c r="P139" s="85">
        <f>SUM(1.55214128520352*1.145)</f>
        <v>1.7772017715580304</v>
      </c>
      <c r="Q139" s="85">
        <v>160</v>
      </c>
    </row>
    <row r="140" spans="5:38" x14ac:dyDescent="0.25">
      <c r="E140">
        <f>SUM(0.698509162064016*0.95)</f>
        <v>0.66358370396081523</v>
      </c>
      <c r="G140">
        <v>2.1030952744027802</v>
      </c>
      <c r="H140">
        <f>SUM(2.10309527440278*1.14)</f>
        <v>2.3975286128191691</v>
      </c>
      <c r="I140">
        <v>160</v>
      </c>
      <c r="K140" s="85">
        <v>0.69298565239172094</v>
      </c>
      <c r="L140" s="85">
        <f>SUM(0.692985652391721*1.14)</f>
        <v>0.79000364372656195</v>
      </c>
      <c r="M140" s="85">
        <v>200</v>
      </c>
      <c r="O140" s="85">
        <v>1.101147897114495</v>
      </c>
      <c r="P140" s="85">
        <f>SUM(1.1011478971145*1.14)</f>
        <v>1.2553086027105298</v>
      </c>
      <c r="Q140" s="85">
        <v>200</v>
      </c>
    </row>
    <row r="141" spans="5:38" x14ac:dyDescent="0.25">
      <c r="E141">
        <f>SUM(0.293838887743665*0.87)</f>
        <v>0.25563983233698856</v>
      </c>
      <c r="G141">
        <v>1.4762102285146501</v>
      </c>
      <c r="H141">
        <f>SUM(1.47621022851465*1.15)</f>
        <v>1.6976417627918472</v>
      </c>
      <c r="I141">
        <v>200</v>
      </c>
      <c r="K141" s="85">
        <v>0.46724032623381195</v>
      </c>
      <c r="L141" s="85">
        <f>SUM(0.467240326233812*1.115)</f>
        <v>0.52097296375070035</v>
      </c>
      <c r="M141" s="85">
        <v>240</v>
      </c>
      <c r="O141" s="85">
        <v>0.66358370396081523</v>
      </c>
      <c r="P141" s="85">
        <f>SUM(0.663583703960815*1.115)</f>
        <v>0.73989582991630876</v>
      </c>
      <c r="Q141" s="85">
        <v>240</v>
      </c>
    </row>
    <row r="142" spans="5:38" x14ac:dyDescent="0.25">
      <c r="E142">
        <f>SUM(0.0282549083223073*0.65)</f>
        <v>1.8365690409499747E-2</v>
      </c>
      <c r="G142">
        <v>0.89060489351094496</v>
      </c>
      <c r="H142">
        <f>SUM(0.890604893510945*1.1375)</f>
        <v>1.0130630663686999</v>
      </c>
      <c r="I142">
        <v>240</v>
      </c>
      <c r="K142" s="85">
        <v>0.33074315227786688</v>
      </c>
      <c r="L142" s="85">
        <f>SUM(0.330743152277867*0.9)</f>
        <v>0.29766883705008029</v>
      </c>
      <c r="M142" s="85">
        <v>280</v>
      </c>
      <c r="O142" s="85">
        <v>0.25563983233698856</v>
      </c>
      <c r="P142" s="85">
        <f>SUM(0.255639832336989*0.9)</f>
        <v>0.2300758491032901</v>
      </c>
      <c r="Q142" s="85">
        <v>280</v>
      </c>
    </row>
    <row r="143" spans="5:38" x14ac:dyDescent="0.25">
      <c r="E143">
        <v>0</v>
      </c>
      <c r="G143">
        <v>0.39063137008308702</v>
      </c>
      <c r="H143">
        <v>0.39063137008308702</v>
      </c>
      <c r="I143">
        <v>280</v>
      </c>
      <c r="K143" s="85">
        <v>0.16799652179193236</v>
      </c>
      <c r="L143" s="85">
        <f>SUM(0.167996521791932*0.1)</f>
        <v>1.67996521791932E-2</v>
      </c>
      <c r="M143" s="85">
        <v>320</v>
      </c>
      <c r="O143" s="35">
        <v>0</v>
      </c>
      <c r="P143" s="35">
        <v>0</v>
      </c>
      <c r="Q143" s="85">
        <v>337</v>
      </c>
    </row>
    <row r="144" spans="5:38" x14ac:dyDescent="0.25">
      <c r="E144">
        <f>SUM(0.0353369259774362*1.15)</f>
        <v>4.0637464874051628E-2</v>
      </c>
      <c r="G144">
        <v>4.5323653238217798E-2</v>
      </c>
      <c r="H144">
        <f>SUM(0.0453236532382178*0.8)</f>
        <v>3.6258922590574241E-2</v>
      </c>
      <c r="I144">
        <v>320</v>
      </c>
      <c r="K144" s="35">
        <v>0</v>
      </c>
      <c r="L144" s="35">
        <v>0</v>
      </c>
      <c r="M144" s="85">
        <v>360</v>
      </c>
      <c r="O144" s="85">
        <v>4.0637464874051628E-2</v>
      </c>
      <c r="P144" s="85">
        <f>SUM(0.0406374648740516*1.5)</f>
        <v>6.0956197311077404E-2</v>
      </c>
      <c r="Q144" s="85">
        <v>360</v>
      </c>
    </row>
    <row r="145" spans="5:17" x14ac:dyDescent="0.25">
      <c r="E145">
        <f>SUM(0.281943511199761*0.99)</f>
        <v>0.27912407608776341</v>
      </c>
      <c r="G145">
        <v>0</v>
      </c>
      <c r="H145">
        <v>0</v>
      </c>
      <c r="I145">
        <v>336</v>
      </c>
      <c r="K145" s="85">
        <v>0.28874402182988373</v>
      </c>
      <c r="L145" s="85">
        <v>0.28874402182988373</v>
      </c>
      <c r="M145" s="85">
        <v>400</v>
      </c>
      <c r="O145" s="85">
        <v>0.27912407608776341</v>
      </c>
      <c r="P145" s="85">
        <v>0.27912407608776341</v>
      </c>
      <c r="Q145" s="85">
        <v>400</v>
      </c>
    </row>
    <row r="146" spans="5:17" x14ac:dyDescent="0.25">
      <c r="E146">
        <f>SUM(0.724752574676198*0.91)</f>
        <v>0.6595248429553402</v>
      </c>
      <c r="G146">
        <v>7.7172067416658899E-2</v>
      </c>
      <c r="H146">
        <v>7.7172067416658899E-2</v>
      </c>
      <c r="I146">
        <v>360</v>
      </c>
      <c r="K146" s="85">
        <v>0.6982355436977189</v>
      </c>
      <c r="L146" s="85">
        <f>SUM(0.698235543697719*0.99)</f>
        <v>0.69125318826074178</v>
      </c>
      <c r="M146" s="85">
        <v>440</v>
      </c>
      <c r="O146" s="85">
        <f>SUM(0.65952484295534*1.05)</f>
        <v>0.69250108510310704</v>
      </c>
      <c r="P146" s="85">
        <f>SUM(0.65952484295534*0.99)</f>
        <v>0.65292959452578658</v>
      </c>
      <c r="Q146" s="85">
        <v>440</v>
      </c>
    </row>
    <row r="147" spans="5:17" x14ac:dyDescent="0.25">
      <c r="E147">
        <f>SUM(1.23670103588915*0.96)</f>
        <v>1.187232994453584</v>
      </c>
      <c r="G147">
        <v>0.367740728469728</v>
      </c>
      <c r="H147">
        <f>SUM(0.367740728469728*1.13)</f>
        <v>0.41554702317079262</v>
      </c>
      <c r="I147">
        <v>400</v>
      </c>
      <c r="K147" s="85">
        <v>1.1812255438495245</v>
      </c>
      <c r="L147" s="85">
        <f>SUM(1.18122554384952*0.965)</f>
        <v>1.1398826498147867</v>
      </c>
      <c r="M147" s="85">
        <v>480</v>
      </c>
      <c r="O147" s="85">
        <f>SUM(1.18723299445358*1.045)</f>
        <v>1.240658479203991</v>
      </c>
      <c r="P147" s="85">
        <f>SUM(1.24065847920399*0.965)</f>
        <v>1.1972354324318504</v>
      </c>
      <c r="Q147" s="85">
        <v>480</v>
      </c>
    </row>
    <row r="148" spans="5:17" x14ac:dyDescent="0.25">
      <c r="E148">
        <f>SUM(1.94404741299711*0.995)</f>
        <v>1.9343271759321243</v>
      </c>
      <c r="G148">
        <v>0.86573938846423304</v>
      </c>
      <c r="H148">
        <f>SUM(0.865739388464233*1.25)</f>
        <v>1.0821742355802912</v>
      </c>
      <c r="I148">
        <v>440</v>
      </c>
      <c r="K148" s="85">
        <v>1.7482138048972962</v>
      </c>
      <c r="L148" s="85">
        <f>SUM(1.7482138048973*1.03)</f>
        <v>1.8006602190442189</v>
      </c>
      <c r="M148" s="85">
        <v>520</v>
      </c>
      <c r="O148" s="85">
        <v>1.9343271759321243</v>
      </c>
      <c r="P148" s="85">
        <f>SUM(1.93432717593212*1.03)</f>
        <v>1.9923569912100836</v>
      </c>
      <c r="Q148" s="85">
        <v>520</v>
      </c>
    </row>
    <row r="149" spans="5:17" x14ac:dyDescent="0.25">
      <c r="E149">
        <f>SUM(2.40094668832215*1)</f>
        <v>2.4009466883221502</v>
      </c>
      <c r="G149">
        <v>1.5994920540762101</v>
      </c>
      <c r="H149">
        <f>SUM(1.59949205407621*1.175)</f>
        <v>1.879403163539547</v>
      </c>
      <c r="I149">
        <v>480</v>
      </c>
      <c r="K149" s="85">
        <v>2.4516992399010129</v>
      </c>
      <c r="L149" s="85">
        <f>SUM(2.45169923990101*0.995)</f>
        <v>2.4394407437015047</v>
      </c>
      <c r="M149" s="85">
        <v>560</v>
      </c>
      <c r="O149" s="85">
        <v>2.4009466883221502</v>
      </c>
      <c r="P149" s="85">
        <f>SUM(2.40094668832215*0.995)</f>
        <v>2.3889419548805395</v>
      </c>
      <c r="Q149" s="85">
        <v>560</v>
      </c>
    </row>
    <row r="150" spans="5:17" x14ac:dyDescent="0.25">
      <c r="E150">
        <f>SUM(2.62999825579962*0.996)</f>
        <v>2.6194782627764219</v>
      </c>
      <c r="G150">
        <v>2.5184618111553201</v>
      </c>
      <c r="H150">
        <f>SUM(2.51846181115532*1.18)</f>
        <v>2.9717849371632776</v>
      </c>
      <c r="I150">
        <v>520</v>
      </c>
      <c r="K150" s="85">
        <v>2.435949565983019</v>
      </c>
      <c r="L150" s="85">
        <f>SUM(2.43594956598302*1.02)</f>
        <v>2.4846685573026805</v>
      </c>
      <c r="M150" s="85">
        <v>600</v>
      </c>
      <c r="O150" s="85">
        <v>2.6194782627764219</v>
      </c>
      <c r="P150" s="85">
        <f>SUM(2.61947826277642*1.02)</f>
        <v>2.6718678280319486</v>
      </c>
      <c r="Q150" s="85">
        <v>600</v>
      </c>
    </row>
    <row r="151" spans="5:17" x14ac:dyDescent="0.25">
      <c r="E151">
        <v>2.6701060081883998</v>
      </c>
      <c r="G151">
        <v>3.1528915557917001</v>
      </c>
      <c r="H151">
        <f>SUM(3.1528915557917*1.17)</f>
        <v>3.6888831202762891</v>
      </c>
      <c r="I151">
        <v>560</v>
      </c>
      <c r="K151" s="85">
        <v>2.4831985877370002</v>
      </c>
      <c r="L151" s="85">
        <f>SUM(2.483198587737*1.02)</f>
        <v>2.5328625594917402</v>
      </c>
      <c r="M151" s="85">
        <v>631</v>
      </c>
      <c r="O151" s="85">
        <v>2.6701060081883998</v>
      </c>
      <c r="P151" s="85">
        <f>SUM(2.6701060081884*1.02)</f>
        <v>2.7235081283521678</v>
      </c>
      <c r="Q151" s="85">
        <v>631</v>
      </c>
    </row>
    <row r="152" spans="5:17" x14ac:dyDescent="0.25">
      <c r="G152">
        <v>3.4241859505543304</v>
      </c>
      <c r="H152">
        <f>SUM(3.42418595055433*1.175)</f>
        <v>4.0234184919013378</v>
      </c>
      <c r="I152">
        <v>600</v>
      </c>
      <c r="L152" t="s">
        <v>183</v>
      </c>
      <c r="P152" t="s">
        <v>184</v>
      </c>
    </row>
    <row r="153" spans="5:17" x14ac:dyDescent="0.25">
      <c r="G153">
        <v>3.4950837970000004</v>
      </c>
      <c r="H153">
        <f>SUM(3.495083797*1.1775)</f>
        <v>4.1154611709674995</v>
      </c>
      <c r="I153">
        <v>631</v>
      </c>
      <c r="K153" s="85">
        <f>SUM(2.2312038050491*1.031)</f>
        <v>2.3003711230056219</v>
      </c>
      <c r="L153" s="85">
        <f>SUM(2.2312038050491*1.031)</f>
        <v>2.3003711230056219</v>
      </c>
      <c r="M153" s="85">
        <v>1</v>
      </c>
      <c r="O153" s="85">
        <f>SUM(2.483198587737*1.03)</f>
        <v>2.5576945453691105</v>
      </c>
      <c r="P153" s="85">
        <f>SUM(2.483198587737*1.03)</f>
        <v>2.5576945453691105</v>
      </c>
      <c r="Q153" s="85">
        <v>1</v>
      </c>
    </row>
    <row r="154" spans="5:17" x14ac:dyDescent="0.25">
      <c r="K154" s="85">
        <f>SUM(1.7377140222853*1.075)</f>
        <v>1.8680425739566975</v>
      </c>
      <c r="L154" s="85">
        <f>SUM(1.7377140222853*1.075)</f>
        <v>1.8680425739566975</v>
      </c>
      <c r="M154" s="85">
        <v>40</v>
      </c>
      <c r="O154" s="85">
        <f>SUM(2.22861428532027*1.075)</f>
        <v>2.3957603567192902</v>
      </c>
      <c r="P154" s="85">
        <f>SUM(2.22861428532027*1.075)</f>
        <v>2.3957603567192902</v>
      </c>
      <c r="Q154" s="85">
        <v>40</v>
      </c>
    </row>
    <row r="155" spans="5:17" x14ac:dyDescent="0.25">
      <c r="K155" s="85">
        <f>SUM(1.87421119624125*1.04)</f>
        <v>1.9491796440909002</v>
      </c>
      <c r="L155" s="85">
        <f>SUM(1.87421119624125*1.04)</f>
        <v>1.9491796440909002</v>
      </c>
      <c r="M155" s="85">
        <v>80</v>
      </c>
      <c r="O155" s="85">
        <f>SUM(2.11578492420672*1.04)</f>
        <v>2.200416321174989</v>
      </c>
      <c r="P155" s="85">
        <f>SUM(2.11578492420672*1.04)</f>
        <v>2.200416321174989</v>
      </c>
      <c r="Q155" s="85">
        <v>80</v>
      </c>
    </row>
    <row r="156" spans="5:17" x14ac:dyDescent="0.25">
      <c r="K156" s="85">
        <f>SUM(1.64321597877734*1.05)</f>
        <v>1.725376777716207</v>
      </c>
      <c r="L156" s="40">
        <f>SUM(1.64321597877734*1.03)</f>
        <v>1.6925124581406601</v>
      </c>
      <c r="M156" s="40">
        <v>120</v>
      </c>
      <c r="O156" s="85">
        <f>SUM(1.91026952033859*1.05)</f>
        <v>2.0057829963555194</v>
      </c>
      <c r="P156" s="85">
        <f>SUM(1.91026952033859*1.055)</f>
        <v>2.0153343439572122</v>
      </c>
      <c r="Q156" s="85">
        <v>120</v>
      </c>
    </row>
    <row r="157" spans="5:17" x14ac:dyDescent="0.25">
      <c r="K157" s="85">
        <f>SUM(0.91873097854963*1.145)</f>
        <v>1.0519469704393265</v>
      </c>
      <c r="L157" s="40">
        <f>SUM(0.91873097854963*1.13)</f>
        <v>1.0381660057610818</v>
      </c>
      <c r="M157" s="40">
        <v>160</v>
      </c>
      <c r="O157" s="85">
        <f>SUM(1.55214128520352*1.145)</f>
        <v>1.7772017715580304</v>
      </c>
      <c r="P157" s="85">
        <f>SUM(1.55214128520352*1.155)</f>
        <v>1.7927231844100655</v>
      </c>
      <c r="Q157" s="85">
        <v>160</v>
      </c>
    </row>
    <row r="158" spans="5:17" x14ac:dyDescent="0.25">
      <c r="K158" s="85">
        <f>SUM(0.692985652391721*1.14)</f>
        <v>0.79000364372656195</v>
      </c>
      <c r="L158" s="40">
        <f>SUM(0.692985652391721*1.125)</f>
        <v>0.77960885894068621</v>
      </c>
      <c r="M158" s="85">
        <v>200</v>
      </c>
      <c r="O158" s="85">
        <f>SUM(1.1011478971145*1.14)</f>
        <v>1.2553086027105298</v>
      </c>
      <c r="P158" s="85">
        <f>SUM(1.1011478971145*1.15)</f>
        <v>1.2663200816816749</v>
      </c>
      <c r="Q158" s="85">
        <v>200</v>
      </c>
    </row>
    <row r="159" spans="5:17" x14ac:dyDescent="0.25">
      <c r="K159" s="85">
        <f>SUM(0.467240326233812*1.115)</f>
        <v>0.52097296375070035</v>
      </c>
      <c r="L159" s="110">
        <f>SUM(0.467240326233812*1.125)</f>
        <v>0.52564536701303854</v>
      </c>
      <c r="M159" s="85">
        <v>240</v>
      </c>
      <c r="O159" s="85">
        <f>SUM(0.663583703960815*1.115)</f>
        <v>0.73989582991630876</v>
      </c>
      <c r="P159" s="85">
        <f>SUM(0.663583703960815*1.115)</f>
        <v>0.73989582991630876</v>
      </c>
      <c r="Q159" s="85">
        <v>240</v>
      </c>
    </row>
    <row r="160" spans="5:17" x14ac:dyDescent="0.25">
      <c r="K160" s="85">
        <f>SUM(0.330743152277867*0.9)</f>
        <v>0.29766883705008029</v>
      </c>
      <c r="L160" s="85">
        <f>SUM(0.330743152277867*0.9)</f>
        <v>0.29766883705008029</v>
      </c>
      <c r="M160" s="85">
        <v>280</v>
      </c>
      <c r="O160" s="85">
        <f>SUM(0.255639832336989*0.9)</f>
        <v>0.2300758491032901</v>
      </c>
      <c r="P160" s="85">
        <f>SUM(0.255639832336989*0.9)</f>
        <v>0.2300758491032901</v>
      </c>
      <c r="Q160" s="85">
        <v>280</v>
      </c>
    </row>
    <row r="161" spans="11:17" x14ac:dyDescent="0.25">
      <c r="K161" s="85">
        <f>SUM(0.167996521791932*0.1)</f>
        <v>1.67996521791932E-2</v>
      </c>
      <c r="L161" s="85">
        <f>SUM(0.167996521791932*0.1)</f>
        <v>1.67996521791932E-2</v>
      </c>
      <c r="M161" s="85">
        <v>320</v>
      </c>
      <c r="O161" s="35">
        <v>0</v>
      </c>
      <c r="P161" s="35">
        <v>0</v>
      </c>
      <c r="Q161" s="85">
        <v>337</v>
      </c>
    </row>
    <row r="162" spans="11:17" x14ac:dyDescent="0.25">
      <c r="K162" s="35">
        <v>0</v>
      </c>
      <c r="L162" s="35">
        <v>0</v>
      </c>
      <c r="M162" s="85">
        <v>360</v>
      </c>
      <c r="O162" s="85">
        <f>SUM(0.0406374648740516*1.5)</f>
        <v>6.0956197311077404E-2</v>
      </c>
      <c r="P162" s="85">
        <f>SUM(0.0406374648740516*1.5)</f>
        <v>6.0956197311077404E-2</v>
      </c>
      <c r="Q162" s="85">
        <v>360</v>
      </c>
    </row>
    <row r="163" spans="11:17" x14ac:dyDescent="0.25">
      <c r="K163" s="85">
        <v>0.28874402182988373</v>
      </c>
      <c r="L163" s="40">
        <f>SUM(0.288744021829884*0.99)</f>
        <v>0.28585658161158517</v>
      </c>
      <c r="M163" s="85">
        <v>400</v>
      </c>
      <c r="O163" s="85">
        <v>0.27912407608776341</v>
      </c>
      <c r="P163" s="85">
        <f>SUM(0.279124076087763*1.01)</f>
        <v>0.28191531684864063</v>
      </c>
      <c r="Q163" s="85">
        <v>400</v>
      </c>
    </row>
    <row r="164" spans="11:17" x14ac:dyDescent="0.25">
      <c r="K164" s="85">
        <f>SUM(0.698235543697719*0.99)</f>
        <v>0.69125318826074178</v>
      </c>
      <c r="L164" s="40">
        <f>SUM(0.698235543697719*0.97)</f>
        <v>0.67728847738678744</v>
      </c>
      <c r="M164" s="85">
        <v>440</v>
      </c>
      <c r="O164" s="85">
        <f>SUM(0.65952484295534*0.99)</f>
        <v>0.65292959452578658</v>
      </c>
      <c r="P164" s="85">
        <f>SUM(0.65952484295534*1.005)</f>
        <v>0.66282246717011661</v>
      </c>
      <c r="Q164" s="85">
        <v>440</v>
      </c>
    </row>
    <row r="165" spans="11:17" x14ac:dyDescent="0.25">
      <c r="K165" s="85">
        <f>SUM(1.18122554384952*0.965)</f>
        <v>1.1398826498147867</v>
      </c>
      <c r="L165" s="40">
        <f>SUM(1.18122554384952*0.95)</f>
        <v>1.1221642666570439</v>
      </c>
      <c r="M165" s="85">
        <v>480</v>
      </c>
      <c r="O165" s="85">
        <f>SUM(1.24065847920399*0.965)</f>
        <v>1.1972354324318504</v>
      </c>
      <c r="P165" s="85">
        <f>SUM(1.24065847920399*0.98)</f>
        <v>1.2158453096199102</v>
      </c>
      <c r="Q165" s="85">
        <v>480</v>
      </c>
    </row>
    <row r="166" spans="11:17" x14ac:dyDescent="0.25">
      <c r="K166" s="85">
        <f>SUM(1.7482138048973*1.03)</f>
        <v>1.8006602190442189</v>
      </c>
      <c r="L166" s="85">
        <f>SUM(1.7482138048973*1.03)</f>
        <v>1.8006602190442189</v>
      </c>
      <c r="M166" s="85">
        <v>520</v>
      </c>
      <c r="O166" s="85">
        <f>SUM(1.93432717593212*1.03)</f>
        <v>1.9923569912100836</v>
      </c>
      <c r="P166" s="85">
        <f>SUM(1.93432717593212*1.03)</f>
        <v>1.9923569912100836</v>
      </c>
      <c r="Q166" s="85">
        <v>520</v>
      </c>
    </row>
    <row r="167" spans="11:17" x14ac:dyDescent="0.25">
      <c r="K167" s="85">
        <f>SUM(2.45169923990101*0.995)</f>
        <v>2.4394407437015047</v>
      </c>
      <c r="L167" s="85">
        <f>SUM(2.45169923990101*0.995)</f>
        <v>2.4394407437015047</v>
      </c>
      <c r="M167" s="85">
        <v>560</v>
      </c>
      <c r="O167" s="85">
        <f>SUM(2.40094668832215*0.995)</f>
        <v>2.3889419548805395</v>
      </c>
      <c r="P167" s="85">
        <f>SUM(2.40094668832215*0.995)</f>
        <v>2.3889419548805395</v>
      </c>
      <c r="Q167" s="85">
        <v>560</v>
      </c>
    </row>
    <row r="168" spans="11:17" x14ac:dyDescent="0.25">
      <c r="K168" s="85">
        <f>SUM(2.43594956598302*1.02)</f>
        <v>2.4846685573026805</v>
      </c>
      <c r="L168" s="85">
        <f>SUM(2.43594956598302*1.02)</f>
        <v>2.4846685573026805</v>
      </c>
      <c r="M168" s="85">
        <v>600</v>
      </c>
      <c r="O168" s="85">
        <f>SUM(2.61947826277642*1.02)</f>
        <v>2.6718678280319486</v>
      </c>
      <c r="P168" s="85">
        <f>SUM(2.61947826277642*1.02)</f>
        <v>2.6718678280319486</v>
      </c>
      <c r="Q168" s="85">
        <v>600</v>
      </c>
    </row>
    <row r="169" spans="11:17" x14ac:dyDescent="0.25">
      <c r="K169" s="85">
        <f>SUM(2.483198587737*1.02)</f>
        <v>2.5328625594917402</v>
      </c>
      <c r="L169" s="85">
        <f>SUM(2.483198587737*1.02)</f>
        <v>2.5328625594917402</v>
      </c>
      <c r="M169" s="85">
        <v>631</v>
      </c>
      <c r="O169" s="85">
        <f>SUM(2.6701060081884*1.02)</f>
        <v>2.7235081283521678</v>
      </c>
      <c r="P169" s="85">
        <f>SUM(2.6701060081884*1.02)</f>
        <v>2.7235081283521678</v>
      </c>
      <c r="Q169" s="85">
        <v>631</v>
      </c>
    </row>
  </sheetData>
  <mergeCells count="2">
    <mergeCell ref="E70:P71"/>
    <mergeCell ref="T41:AL42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tabSelected="1" topLeftCell="A10" zoomScale="95" zoomScaleNormal="95" workbookViewId="0">
      <selection activeCell="M85" sqref="M85"/>
    </sheetView>
  </sheetViews>
  <sheetFormatPr defaultRowHeight="15" x14ac:dyDescent="0.25"/>
  <cols>
    <col min="1" max="1" width="28.42578125" customWidth="1"/>
    <col min="14" max="14" width="19.140625" customWidth="1"/>
    <col min="15" max="15" width="14" customWidth="1"/>
    <col min="16" max="16" width="31.42578125" customWidth="1"/>
  </cols>
  <sheetData>
    <row r="1" spans="1:16" x14ac:dyDescent="0.25">
      <c r="A1" t="s">
        <v>134</v>
      </c>
    </row>
    <row r="2" spans="1:16" x14ac:dyDescent="0.25">
      <c r="A2" s="53" t="s">
        <v>98</v>
      </c>
      <c r="B2" s="64">
        <v>0</v>
      </c>
      <c r="C2" s="64">
        <v>2000</v>
      </c>
      <c r="D2" s="64">
        <v>4000</v>
      </c>
      <c r="E2" s="64">
        <v>6000</v>
      </c>
      <c r="F2" s="64">
        <v>8000</v>
      </c>
      <c r="G2" s="64">
        <v>10000</v>
      </c>
      <c r="H2" s="64">
        <v>12000</v>
      </c>
      <c r="I2" s="64">
        <v>14000</v>
      </c>
      <c r="J2" s="64">
        <v>15500</v>
      </c>
      <c r="L2" s="61" t="s">
        <v>44</v>
      </c>
      <c r="M2" s="60" t="s">
        <v>45</v>
      </c>
      <c r="N2" s="52" t="s">
        <v>126</v>
      </c>
    </row>
    <row r="3" spans="1:16" x14ac:dyDescent="0.25">
      <c r="A3" s="65" t="s">
        <v>100</v>
      </c>
      <c r="B3" s="67">
        <v>1</v>
      </c>
      <c r="C3" s="57">
        <v>80</v>
      </c>
      <c r="D3" s="57">
        <v>160</v>
      </c>
      <c r="E3" s="57">
        <v>240</v>
      </c>
      <c r="F3" s="57">
        <v>320</v>
      </c>
      <c r="G3" s="57">
        <v>400</v>
      </c>
      <c r="H3" s="57">
        <v>480</v>
      </c>
      <c r="I3" s="57">
        <v>560</v>
      </c>
      <c r="J3" s="67">
        <v>631</v>
      </c>
      <c r="L3" s="59">
        <v>25</v>
      </c>
      <c r="M3" s="60" t="s">
        <v>128</v>
      </c>
      <c r="N3" s="48" t="s">
        <v>105</v>
      </c>
    </row>
    <row r="4" spans="1:16" x14ac:dyDescent="0.25">
      <c r="A4" s="65" t="s">
        <v>95</v>
      </c>
      <c r="B4" s="54">
        <v>210</v>
      </c>
      <c r="C4" s="54">
        <v>270</v>
      </c>
      <c r="D4" s="54">
        <v>460</v>
      </c>
      <c r="E4" s="54">
        <v>546</v>
      </c>
      <c r="F4" s="54">
        <v>603</v>
      </c>
      <c r="G4" s="54">
        <v>580</v>
      </c>
      <c r="H4" s="54">
        <v>410</v>
      </c>
      <c r="I4" s="54">
        <v>168</v>
      </c>
      <c r="J4" s="54">
        <v>162</v>
      </c>
      <c r="L4" s="68">
        <v>50</v>
      </c>
      <c r="M4" s="71">
        <v>50</v>
      </c>
    </row>
    <row r="5" spans="1:16" x14ac:dyDescent="0.25">
      <c r="A5" s="65" t="s">
        <v>116</v>
      </c>
      <c r="B5" s="54">
        <v>110</v>
      </c>
      <c r="C5" s="54">
        <v>161</v>
      </c>
      <c r="D5" s="54">
        <v>247</v>
      </c>
      <c r="E5" s="54">
        <v>484</v>
      </c>
      <c r="F5" s="54">
        <v>615</v>
      </c>
      <c r="G5" s="54">
        <v>549</v>
      </c>
      <c r="H5" s="54">
        <v>295</v>
      </c>
      <c r="I5" s="54">
        <v>123</v>
      </c>
      <c r="J5" s="54">
        <v>86</v>
      </c>
      <c r="L5" s="69">
        <v>75</v>
      </c>
      <c r="M5" s="72">
        <v>75</v>
      </c>
      <c r="O5" t="s">
        <v>113</v>
      </c>
      <c r="P5" t="s">
        <v>114</v>
      </c>
    </row>
    <row r="6" spans="1:16" x14ac:dyDescent="0.25">
      <c r="A6" s="65" t="s">
        <v>115</v>
      </c>
      <c r="B6" s="54">
        <f>SUM(B5+$P$6)</f>
        <v>142.80799999999999</v>
      </c>
      <c r="C6" s="54">
        <f t="shared" ref="C6:J6" si="0">SUM(C5+$P$6)</f>
        <v>193.80799999999999</v>
      </c>
      <c r="D6" s="54">
        <f t="shared" si="0"/>
        <v>279.80799999999999</v>
      </c>
      <c r="E6" s="54">
        <f t="shared" si="0"/>
        <v>516.80799999999999</v>
      </c>
      <c r="F6" s="54">
        <f t="shared" si="0"/>
        <v>647.80799999999999</v>
      </c>
      <c r="G6" s="54">
        <f t="shared" si="0"/>
        <v>581.80799999999999</v>
      </c>
      <c r="H6" s="54">
        <f t="shared" si="0"/>
        <v>327.80799999999999</v>
      </c>
      <c r="I6" s="54">
        <f t="shared" si="0"/>
        <v>155.80799999999999</v>
      </c>
      <c r="J6" s="54">
        <f t="shared" si="0"/>
        <v>118.80799999999999</v>
      </c>
      <c r="L6" s="70" t="s">
        <v>129</v>
      </c>
      <c r="M6" s="73" t="s">
        <v>129</v>
      </c>
      <c r="N6" t="s">
        <v>107</v>
      </c>
      <c r="O6">
        <v>1</v>
      </c>
      <c r="P6">
        <f>SUM(3.2808*10)</f>
        <v>32.808</v>
      </c>
    </row>
    <row r="7" spans="1:16" x14ac:dyDescent="0.25">
      <c r="A7" s="65" t="s">
        <v>96</v>
      </c>
      <c r="B7" s="62">
        <f>SUM(B4-B6)</f>
        <v>67.192000000000007</v>
      </c>
      <c r="C7" s="75">
        <f t="shared" ref="C7:J7" si="1">SUM(C4-C6)</f>
        <v>76.192000000000007</v>
      </c>
      <c r="D7" s="76">
        <f t="shared" si="1"/>
        <v>180.19200000000001</v>
      </c>
      <c r="E7" s="78">
        <f t="shared" si="1"/>
        <v>29.192000000000007</v>
      </c>
      <c r="F7" s="77">
        <f t="shared" si="1"/>
        <v>-44.807999999999993</v>
      </c>
      <c r="G7" s="78">
        <f t="shared" si="1"/>
        <v>-1.8079999999999927</v>
      </c>
      <c r="H7" s="62">
        <f t="shared" si="1"/>
        <v>82.192000000000007</v>
      </c>
      <c r="I7" s="74">
        <f t="shared" si="1"/>
        <v>12.192000000000007</v>
      </c>
      <c r="J7" s="63">
        <f t="shared" si="1"/>
        <v>43.192000000000007</v>
      </c>
      <c r="N7" t="s">
        <v>108</v>
      </c>
      <c r="O7">
        <v>32</v>
      </c>
      <c r="P7">
        <f>SUM(3.2808*10)</f>
        <v>32.808</v>
      </c>
    </row>
    <row r="8" spans="1:16" x14ac:dyDescent="0.25">
      <c r="A8" s="65" t="s">
        <v>117</v>
      </c>
      <c r="B8" s="54">
        <f>SUM(B6/B4)*100</f>
        <v>68.003809523809522</v>
      </c>
      <c r="C8" s="54">
        <f t="shared" ref="C8:J8" si="2">SUM(C6/C4)*100</f>
        <v>71.78074074074074</v>
      </c>
      <c r="D8" s="54">
        <f t="shared" si="2"/>
        <v>60.827826086956513</v>
      </c>
      <c r="E8" s="54">
        <f t="shared" si="2"/>
        <v>94.653479853479851</v>
      </c>
      <c r="F8" s="54">
        <f t="shared" si="2"/>
        <v>107.43084577114428</v>
      </c>
      <c r="G8" s="54">
        <f t="shared" si="2"/>
        <v>100.31172413793104</v>
      </c>
      <c r="H8" s="54">
        <f t="shared" si="2"/>
        <v>79.953170731707317</v>
      </c>
      <c r="I8" s="54">
        <f t="shared" si="2"/>
        <v>92.742857142857133</v>
      </c>
      <c r="J8" s="54">
        <f t="shared" si="2"/>
        <v>73.338271604938271</v>
      </c>
      <c r="N8" t="s">
        <v>109</v>
      </c>
      <c r="O8">
        <v>39</v>
      </c>
      <c r="P8">
        <f>SUM(3.2808*17)</f>
        <v>55.773600000000002</v>
      </c>
    </row>
    <row r="9" spans="1:16" x14ac:dyDescent="0.25">
      <c r="A9" s="39" t="s">
        <v>135</v>
      </c>
      <c r="B9" s="54"/>
      <c r="C9" s="54"/>
      <c r="D9" s="54"/>
      <c r="E9" s="54"/>
      <c r="F9" s="54"/>
      <c r="G9" s="54"/>
      <c r="H9" s="54"/>
      <c r="I9" s="54"/>
      <c r="J9" s="54"/>
      <c r="N9" t="s">
        <v>110</v>
      </c>
      <c r="O9">
        <v>56</v>
      </c>
      <c r="P9">
        <f>+SUM(3.2808*20)</f>
        <v>65.616</v>
      </c>
    </row>
    <row r="10" spans="1:16" x14ac:dyDescent="0.25">
      <c r="A10" s="65" t="s">
        <v>100</v>
      </c>
      <c r="B10" s="67">
        <v>1</v>
      </c>
      <c r="C10" s="57">
        <v>80</v>
      </c>
      <c r="D10" s="57">
        <v>160</v>
      </c>
      <c r="E10" s="57">
        <v>240</v>
      </c>
      <c r="F10" s="57">
        <v>320</v>
      </c>
      <c r="G10" s="57">
        <v>400</v>
      </c>
      <c r="H10" s="57">
        <v>480</v>
      </c>
      <c r="I10" s="57">
        <v>560</v>
      </c>
      <c r="J10" s="67">
        <v>631</v>
      </c>
      <c r="N10" t="s">
        <v>111</v>
      </c>
      <c r="O10">
        <v>76</v>
      </c>
      <c r="P10">
        <f>SUM(3.2808*15)</f>
        <v>49.212000000000003</v>
      </c>
    </row>
    <row r="11" spans="1:16" x14ac:dyDescent="0.25">
      <c r="A11" s="65" t="s">
        <v>95</v>
      </c>
      <c r="B11" s="54">
        <v>200</v>
      </c>
      <c r="C11" s="54">
        <v>270</v>
      </c>
      <c r="D11" s="54">
        <v>460</v>
      </c>
      <c r="E11" s="54">
        <v>546</v>
      </c>
      <c r="F11" s="54">
        <v>603</v>
      </c>
      <c r="G11" s="54">
        <v>580</v>
      </c>
      <c r="H11" s="54">
        <v>410</v>
      </c>
      <c r="I11" s="54">
        <v>168</v>
      </c>
      <c r="J11" s="54">
        <v>162</v>
      </c>
      <c r="N11" t="s">
        <v>112</v>
      </c>
      <c r="O11">
        <v>91</v>
      </c>
      <c r="P11">
        <f>SUM(3.2808*9)</f>
        <v>29.527200000000001</v>
      </c>
    </row>
    <row r="12" spans="1:16" x14ac:dyDescent="0.25">
      <c r="A12" s="65" t="s">
        <v>116</v>
      </c>
      <c r="B12" s="54">
        <v>87</v>
      </c>
      <c r="C12" s="54">
        <v>117</v>
      </c>
      <c r="D12" s="54">
        <v>147</v>
      </c>
      <c r="E12" s="54">
        <v>386</v>
      </c>
      <c r="F12" s="54">
        <v>489</v>
      </c>
      <c r="G12" s="54">
        <v>437</v>
      </c>
      <c r="H12" s="54">
        <v>269</v>
      </c>
      <c r="I12" s="54">
        <v>90</v>
      </c>
      <c r="J12" s="54">
        <v>64</v>
      </c>
    </row>
    <row r="13" spans="1:16" x14ac:dyDescent="0.25">
      <c r="A13" s="66" t="s">
        <v>122</v>
      </c>
      <c r="B13" s="54">
        <f t="shared" ref="B13:J13" si="3">SUM(B12+$P$6)</f>
        <v>119.80799999999999</v>
      </c>
      <c r="C13" s="54">
        <f t="shared" si="3"/>
        <v>149.80799999999999</v>
      </c>
      <c r="D13" s="54">
        <f t="shared" si="3"/>
        <v>179.80799999999999</v>
      </c>
      <c r="E13" s="54">
        <f t="shared" si="3"/>
        <v>418.80799999999999</v>
      </c>
      <c r="F13" s="54">
        <f t="shared" si="3"/>
        <v>521.80799999999999</v>
      </c>
      <c r="G13" s="54">
        <f t="shared" si="3"/>
        <v>469.80799999999999</v>
      </c>
      <c r="H13" s="54">
        <f t="shared" si="3"/>
        <v>301.80799999999999</v>
      </c>
      <c r="I13" s="54">
        <f t="shared" si="3"/>
        <v>122.80799999999999</v>
      </c>
      <c r="J13" s="54">
        <f t="shared" si="3"/>
        <v>96.807999999999993</v>
      </c>
    </row>
    <row r="14" spans="1:16" x14ac:dyDescent="0.25">
      <c r="A14" s="65" t="s">
        <v>96</v>
      </c>
      <c r="B14" s="75">
        <f t="shared" ref="B14:J14" si="4">SUM(B11-B13)</f>
        <v>80.192000000000007</v>
      </c>
      <c r="C14" s="79">
        <f t="shared" si="4"/>
        <v>120.19200000000001</v>
      </c>
      <c r="D14" s="76">
        <f t="shared" si="4"/>
        <v>280.19200000000001</v>
      </c>
      <c r="E14" s="62">
        <f t="shared" si="4"/>
        <v>127.19200000000001</v>
      </c>
      <c r="F14" s="62">
        <f t="shared" si="4"/>
        <v>81.192000000000007</v>
      </c>
      <c r="G14" s="79">
        <f t="shared" si="4"/>
        <v>110.19200000000001</v>
      </c>
      <c r="H14" s="75">
        <f t="shared" si="4"/>
        <v>108.19200000000001</v>
      </c>
      <c r="I14" s="63">
        <f t="shared" si="4"/>
        <v>45.192000000000007</v>
      </c>
      <c r="J14" s="62">
        <f t="shared" si="4"/>
        <v>65.192000000000007</v>
      </c>
    </row>
    <row r="15" spans="1:16" x14ac:dyDescent="0.25">
      <c r="A15" s="65" t="s">
        <v>97</v>
      </c>
      <c r="B15" s="54">
        <f>SUM(B13/B11)*100</f>
        <v>59.904000000000003</v>
      </c>
      <c r="C15" s="54">
        <f t="shared" ref="C15:J15" si="5">SUM(C13/C11)*100</f>
        <v>55.484444444444435</v>
      </c>
      <c r="D15" s="54">
        <f t="shared" si="5"/>
        <v>39.088695652173911</v>
      </c>
      <c r="E15" s="54">
        <f t="shared" si="5"/>
        <v>76.704761904761909</v>
      </c>
      <c r="F15" s="54">
        <f t="shared" si="5"/>
        <v>86.535323383084574</v>
      </c>
      <c r="G15" s="54">
        <f t="shared" si="5"/>
        <v>81.001379310344817</v>
      </c>
      <c r="H15" s="54">
        <f t="shared" si="5"/>
        <v>73.611707317073169</v>
      </c>
      <c r="I15" s="54">
        <f t="shared" si="5"/>
        <v>73.099999999999994</v>
      </c>
      <c r="J15" s="54">
        <f t="shared" si="5"/>
        <v>59.758024691358024</v>
      </c>
    </row>
    <row r="16" spans="1:16" x14ac:dyDescent="0.25">
      <c r="A16" s="39" t="s">
        <v>136</v>
      </c>
      <c r="B16" s="54"/>
      <c r="C16" s="54"/>
      <c r="D16" s="54"/>
      <c r="E16" s="54"/>
      <c r="F16" s="54"/>
      <c r="G16" s="54"/>
      <c r="H16" s="54"/>
      <c r="I16" s="54"/>
      <c r="J16" s="54"/>
    </row>
    <row r="17" spans="1:10" x14ac:dyDescent="0.25">
      <c r="A17" s="65" t="s">
        <v>100</v>
      </c>
      <c r="B17" s="67">
        <v>1</v>
      </c>
      <c r="C17" s="57">
        <v>80</v>
      </c>
      <c r="D17" s="57">
        <v>160</v>
      </c>
      <c r="E17" s="57">
        <v>240</v>
      </c>
      <c r="F17" s="57">
        <v>320</v>
      </c>
      <c r="G17" s="57">
        <v>400</v>
      </c>
      <c r="H17" s="57">
        <v>480</v>
      </c>
      <c r="I17" s="57">
        <v>560</v>
      </c>
      <c r="J17" s="67">
        <v>631</v>
      </c>
    </row>
    <row r="18" spans="1:10" x14ac:dyDescent="0.25">
      <c r="A18" s="65" t="s">
        <v>95</v>
      </c>
      <c r="B18" s="54">
        <v>200</v>
      </c>
      <c r="C18" s="54">
        <v>270</v>
      </c>
      <c r="D18" s="54">
        <v>460</v>
      </c>
      <c r="E18" s="54">
        <v>546</v>
      </c>
      <c r="F18" s="54">
        <v>603</v>
      </c>
      <c r="G18" s="54">
        <v>580</v>
      </c>
      <c r="H18" s="54">
        <v>410</v>
      </c>
      <c r="I18" s="54">
        <v>168</v>
      </c>
      <c r="J18" s="54">
        <v>162</v>
      </c>
    </row>
    <row r="19" spans="1:10" x14ac:dyDescent="0.25">
      <c r="A19" s="65" t="s">
        <v>116</v>
      </c>
      <c r="B19" s="54">
        <v>177</v>
      </c>
      <c r="C19" s="54">
        <v>213</v>
      </c>
      <c r="D19" s="54">
        <v>272</v>
      </c>
      <c r="E19" s="54">
        <v>480</v>
      </c>
      <c r="F19" s="54">
        <v>583</v>
      </c>
      <c r="G19" s="54">
        <v>526</v>
      </c>
      <c r="H19" s="54">
        <v>362</v>
      </c>
      <c r="I19" s="54">
        <v>182</v>
      </c>
      <c r="J19" s="54">
        <v>156</v>
      </c>
    </row>
    <row r="20" spans="1:10" x14ac:dyDescent="0.25">
      <c r="A20" s="65" t="s">
        <v>115</v>
      </c>
      <c r="B20" s="54">
        <f t="shared" ref="B20:J20" si="6">SUM(B19+$P$6)</f>
        <v>209.80799999999999</v>
      </c>
      <c r="C20" s="54">
        <f t="shared" si="6"/>
        <v>245.80799999999999</v>
      </c>
      <c r="D20" s="54">
        <f t="shared" si="6"/>
        <v>304.80799999999999</v>
      </c>
      <c r="E20" s="54">
        <f t="shared" si="6"/>
        <v>512.80799999999999</v>
      </c>
      <c r="F20" s="54">
        <f t="shared" si="6"/>
        <v>615.80799999999999</v>
      </c>
      <c r="G20" s="54">
        <f t="shared" si="6"/>
        <v>558.80799999999999</v>
      </c>
      <c r="H20" s="54">
        <f t="shared" si="6"/>
        <v>394.80799999999999</v>
      </c>
      <c r="I20" s="54">
        <f t="shared" si="6"/>
        <v>214.80799999999999</v>
      </c>
      <c r="J20" s="54">
        <f t="shared" si="6"/>
        <v>188.80799999999999</v>
      </c>
    </row>
    <row r="21" spans="1:10" x14ac:dyDescent="0.25">
      <c r="A21" s="65" t="s">
        <v>96</v>
      </c>
      <c r="B21" s="78">
        <f t="shared" ref="B21:J21" si="7">SUM(B18-B20)</f>
        <v>-9.8079999999999927</v>
      </c>
      <c r="C21" s="74">
        <f t="shared" si="7"/>
        <v>24.192000000000007</v>
      </c>
      <c r="D21" s="76">
        <f t="shared" si="7"/>
        <v>155.19200000000001</v>
      </c>
      <c r="E21" s="78">
        <f t="shared" si="7"/>
        <v>33.192000000000007</v>
      </c>
      <c r="F21" s="77">
        <f t="shared" si="7"/>
        <v>-12.807999999999993</v>
      </c>
      <c r="G21" s="78">
        <f t="shared" si="7"/>
        <v>21.192000000000007</v>
      </c>
      <c r="H21" s="74">
        <f t="shared" si="7"/>
        <v>15.192000000000007</v>
      </c>
      <c r="I21" s="77">
        <f t="shared" si="7"/>
        <v>-46.807999999999993</v>
      </c>
      <c r="J21" s="78">
        <f t="shared" si="7"/>
        <v>-26.807999999999993</v>
      </c>
    </row>
    <row r="22" spans="1:10" x14ac:dyDescent="0.25">
      <c r="A22" s="65" t="s">
        <v>97</v>
      </c>
      <c r="B22" s="54">
        <f>SUM(B20/B18)*100</f>
        <v>104.904</v>
      </c>
      <c r="C22" s="54">
        <f t="shared" ref="C22:J22" si="8">SUM(C20/C18)*100</f>
        <v>91.039999999999992</v>
      </c>
      <c r="D22" s="54">
        <f t="shared" si="8"/>
        <v>66.262608695652176</v>
      </c>
      <c r="E22" s="54">
        <f t="shared" si="8"/>
        <v>93.920879120879121</v>
      </c>
      <c r="F22" s="54">
        <f t="shared" si="8"/>
        <v>102.1240464344942</v>
      </c>
      <c r="G22" s="54">
        <f t="shared" si="8"/>
        <v>96.34620689655172</v>
      </c>
      <c r="H22" s="54">
        <f t="shared" si="8"/>
        <v>96.294634146341465</v>
      </c>
      <c r="I22" s="54">
        <f t="shared" si="8"/>
        <v>127.86190476190475</v>
      </c>
      <c r="J22" s="54">
        <f t="shared" si="8"/>
        <v>116.54814814814813</v>
      </c>
    </row>
    <row r="23" spans="1:10" x14ac:dyDescent="0.25">
      <c r="A23" s="39" t="s">
        <v>137</v>
      </c>
      <c r="B23" s="54"/>
      <c r="C23" s="54"/>
      <c r="D23" s="54"/>
      <c r="E23" s="54"/>
      <c r="F23" s="54"/>
      <c r="G23" s="54"/>
      <c r="H23" s="54"/>
      <c r="I23" s="54"/>
      <c r="J23" s="54"/>
    </row>
    <row r="24" spans="1:10" x14ac:dyDescent="0.25">
      <c r="A24" s="65" t="s">
        <v>100</v>
      </c>
      <c r="B24" s="67">
        <v>1</v>
      </c>
      <c r="C24" s="57">
        <v>80</v>
      </c>
      <c r="D24" s="57">
        <v>160</v>
      </c>
      <c r="E24" s="57">
        <v>240</v>
      </c>
      <c r="F24" s="57">
        <v>320</v>
      </c>
      <c r="G24" s="57">
        <v>400</v>
      </c>
      <c r="H24" s="57">
        <v>480</v>
      </c>
      <c r="I24" s="57">
        <v>560</v>
      </c>
      <c r="J24" s="67">
        <v>631</v>
      </c>
    </row>
    <row r="25" spans="1:10" x14ac:dyDescent="0.25">
      <c r="A25" s="65" t="s">
        <v>95</v>
      </c>
      <c r="B25" s="54">
        <v>200</v>
      </c>
      <c r="C25" s="54">
        <v>270</v>
      </c>
      <c r="D25" s="54">
        <v>460</v>
      </c>
      <c r="E25" s="54">
        <v>546</v>
      </c>
      <c r="F25" s="54">
        <v>603</v>
      </c>
      <c r="G25" s="54">
        <v>580</v>
      </c>
      <c r="H25" s="54">
        <v>410</v>
      </c>
      <c r="I25" s="54">
        <v>168</v>
      </c>
      <c r="J25" s="54">
        <v>162</v>
      </c>
    </row>
    <row r="26" spans="1:10" x14ac:dyDescent="0.25">
      <c r="A26" s="65" t="s">
        <v>116</v>
      </c>
      <c r="B26" s="54">
        <v>173</v>
      </c>
      <c r="C26" s="54">
        <v>193</v>
      </c>
      <c r="D26" s="54">
        <v>228</v>
      </c>
      <c r="E26" s="54">
        <v>480</v>
      </c>
      <c r="F26" s="54">
        <v>583</v>
      </c>
      <c r="G26" s="54">
        <v>526</v>
      </c>
      <c r="H26" s="54">
        <v>362</v>
      </c>
      <c r="I26" s="54">
        <v>182</v>
      </c>
      <c r="J26" s="54">
        <v>156</v>
      </c>
    </row>
    <row r="27" spans="1:10" x14ac:dyDescent="0.25">
      <c r="A27" s="65" t="s">
        <v>115</v>
      </c>
      <c r="B27" s="54">
        <f t="shared" ref="B27:J27" si="9">SUM(B26+$P$6)</f>
        <v>205.80799999999999</v>
      </c>
      <c r="C27" s="54">
        <f t="shared" si="9"/>
        <v>225.80799999999999</v>
      </c>
      <c r="D27" s="54">
        <f t="shared" si="9"/>
        <v>260.80799999999999</v>
      </c>
      <c r="E27" s="54">
        <f t="shared" si="9"/>
        <v>512.80799999999999</v>
      </c>
      <c r="F27" s="54">
        <f t="shared" si="9"/>
        <v>615.80799999999999</v>
      </c>
      <c r="G27" s="54">
        <f t="shared" si="9"/>
        <v>558.80799999999999</v>
      </c>
      <c r="H27" s="54">
        <f t="shared" si="9"/>
        <v>394.80799999999999</v>
      </c>
      <c r="I27" s="54">
        <f t="shared" si="9"/>
        <v>214.80799999999999</v>
      </c>
      <c r="J27" s="54">
        <f t="shared" si="9"/>
        <v>188.80799999999999</v>
      </c>
    </row>
    <row r="28" spans="1:10" x14ac:dyDescent="0.25">
      <c r="A28" s="65" t="s">
        <v>96</v>
      </c>
      <c r="B28" s="78">
        <f t="shared" ref="B28:J28" si="10">SUM(B25-B27)</f>
        <v>-5.8079999999999927</v>
      </c>
      <c r="C28" s="74">
        <f t="shared" si="10"/>
        <v>44.192000000000007</v>
      </c>
      <c r="D28" s="76">
        <f t="shared" si="10"/>
        <v>199.19200000000001</v>
      </c>
      <c r="E28" s="78">
        <f t="shared" si="10"/>
        <v>33.192000000000007</v>
      </c>
      <c r="F28" s="77">
        <f t="shared" si="10"/>
        <v>-12.807999999999993</v>
      </c>
      <c r="G28" s="78">
        <f t="shared" si="10"/>
        <v>21.192000000000007</v>
      </c>
      <c r="H28" s="74">
        <f t="shared" si="10"/>
        <v>15.192000000000007</v>
      </c>
      <c r="I28" s="77">
        <f t="shared" si="10"/>
        <v>-46.807999999999993</v>
      </c>
      <c r="J28" s="78">
        <f t="shared" si="10"/>
        <v>-26.807999999999993</v>
      </c>
    </row>
    <row r="29" spans="1:10" x14ac:dyDescent="0.25">
      <c r="A29" s="65" t="s">
        <v>97</v>
      </c>
      <c r="B29" s="54">
        <f>SUM(B27/B25)*100</f>
        <v>102.904</v>
      </c>
      <c r="C29" s="54">
        <f t="shared" ref="C29:J29" si="11">SUM(C27/C25)*100</f>
        <v>83.632592592592587</v>
      </c>
      <c r="D29" s="54">
        <f t="shared" si="11"/>
        <v>56.697391304347825</v>
      </c>
      <c r="E29" s="54">
        <f t="shared" si="11"/>
        <v>93.920879120879121</v>
      </c>
      <c r="F29" s="54">
        <f t="shared" si="11"/>
        <v>102.1240464344942</v>
      </c>
      <c r="G29" s="54">
        <f t="shared" si="11"/>
        <v>96.34620689655172</v>
      </c>
      <c r="H29" s="54">
        <f t="shared" si="11"/>
        <v>96.294634146341465</v>
      </c>
      <c r="I29" s="54">
        <f t="shared" si="11"/>
        <v>127.86190476190475</v>
      </c>
      <c r="J29" s="54">
        <f t="shared" si="11"/>
        <v>116.54814814814813</v>
      </c>
    </row>
    <row r="30" spans="1:10" x14ac:dyDescent="0.25">
      <c r="A30" s="39" t="s">
        <v>139</v>
      </c>
      <c r="B30" s="54"/>
      <c r="C30" s="54"/>
      <c r="D30" s="54"/>
      <c r="E30" s="54"/>
      <c r="F30" s="54"/>
      <c r="G30" s="54"/>
      <c r="H30" s="54"/>
      <c r="I30" s="54"/>
      <c r="J30" s="54"/>
    </row>
    <row r="31" spans="1:10" x14ac:dyDescent="0.25">
      <c r="A31" s="65" t="s">
        <v>100</v>
      </c>
      <c r="B31" s="67">
        <v>1</v>
      </c>
      <c r="C31" s="57">
        <v>80</v>
      </c>
      <c r="D31" s="57">
        <v>160</v>
      </c>
      <c r="E31" s="57">
        <v>240</v>
      </c>
      <c r="F31" s="57">
        <v>320</v>
      </c>
      <c r="G31" s="57">
        <v>400</v>
      </c>
      <c r="H31" s="57">
        <v>480</v>
      </c>
      <c r="I31" s="57">
        <v>560</v>
      </c>
      <c r="J31" s="67">
        <v>631</v>
      </c>
    </row>
    <row r="32" spans="1:10" x14ac:dyDescent="0.25">
      <c r="A32" s="65" t="s">
        <v>95</v>
      </c>
      <c r="B32" s="54">
        <v>200</v>
      </c>
      <c r="C32" s="54">
        <v>270</v>
      </c>
      <c r="D32" s="54">
        <v>460</v>
      </c>
      <c r="E32" s="54">
        <v>546</v>
      </c>
      <c r="F32" s="54">
        <v>603</v>
      </c>
      <c r="G32" s="54">
        <v>580</v>
      </c>
      <c r="H32" s="54">
        <v>410</v>
      </c>
      <c r="I32" s="54">
        <v>168</v>
      </c>
      <c r="J32" s="54">
        <v>162</v>
      </c>
    </row>
    <row r="33" spans="1:17" x14ac:dyDescent="0.25">
      <c r="A33" s="65" t="s">
        <v>116</v>
      </c>
      <c r="B33" s="54">
        <v>0</v>
      </c>
      <c r="C33" s="54">
        <v>0</v>
      </c>
      <c r="D33" s="54">
        <v>121</v>
      </c>
      <c r="E33" s="54">
        <v>360</v>
      </c>
      <c r="F33" s="54">
        <v>582</v>
      </c>
      <c r="G33" s="54">
        <v>487</v>
      </c>
      <c r="H33" s="54">
        <v>146</v>
      </c>
      <c r="I33" s="54">
        <v>0</v>
      </c>
      <c r="J33" s="54">
        <v>0</v>
      </c>
    </row>
    <row r="34" spans="1:17" x14ac:dyDescent="0.25">
      <c r="A34" s="65" t="s">
        <v>115</v>
      </c>
      <c r="B34" s="54">
        <f t="shared" ref="B34:J34" si="12">SUM(B33+$P$6)</f>
        <v>32.808</v>
      </c>
      <c r="C34" s="54">
        <f t="shared" si="12"/>
        <v>32.808</v>
      </c>
      <c r="D34" s="54">
        <f t="shared" si="12"/>
        <v>153.80799999999999</v>
      </c>
      <c r="E34" s="54">
        <f t="shared" si="12"/>
        <v>392.80799999999999</v>
      </c>
      <c r="F34" s="54">
        <f t="shared" si="12"/>
        <v>614.80799999999999</v>
      </c>
      <c r="G34" s="54">
        <f t="shared" si="12"/>
        <v>519.80799999999999</v>
      </c>
      <c r="H34" s="54">
        <f t="shared" si="12"/>
        <v>178.80799999999999</v>
      </c>
      <c r="I34" s="54">
        <f t="shared" si="12"/>
        <v>32.808</v>
      </c>
      <c r="J34" s="54">
        <f t="shared" si="12"/>
        <v>32.808</v>
      </c>
    </row>
    <row r="35" spans="1:17" x14ac:dyDescent="0.25">
      <c r="A35" s="65" t="s">
        <v>96</v>
      </c>
      <c r="B35" s="76">
        <f t="shared" ref="B35:J35" si="13">SUM(B32-B34)</f>
        <v>167.19200000000001</v>
      </c>
      <c r="C35" s="76">
        <f t="shared" si="13"/>
        <v>237.19200000000001</v>
      </c>
      <c r="D35" s="76">
        <f t="shared" si="13"/>
        <v>306.19200000000001</v>
      </c>
      <c r="E35" s="79">
        <f t="shared" si="13"/>
        <v>153.19200000000001</v>
      </c>
      <c r="F35" s="78">
        <f t="shared" si="13"/>
        <v>-11.807999999999993</v>
      </c>
      <c r="G35" s="62">
        <f t="shared" si="13"/>
        <v>60.192000000000007</v>
      </c>
      <c r="H35" s="76">
        <f t="shared" si="13"/>
        <v>231.19200000000001</v>
      </c>
      <c r="I35" s="76">
        <f t="shared" si="13"/>
        <v>135.19200000000001</v>
      </c>
      <c r="J35" s="79">
        <f t="shared" si="13"/>
        <v>129.19200000000001</v>
      </c>
    </row>
    <row r="36" spans="1:17" x14ac:dyDescent="0.25">
      <c r="A36" s="65" t="s">
        <v>97</v>
      </c>
      <c r="B36" s="54">
        <f>SUM(B34/B32)*100</f>
        <v>16.404</v>
      </c>
      <c r="C36" s="54">
        <f t="shared" ref="C36:J36" si="14">SUM(C34/C32)*100</f>
        <v>12.151111111111112</v>
      </c>
      <c r="D36" s="54">
        <f t="shared" si="14"/>
        <v>33.436521739130434</v>
      </c>
      <c r="E36" s="54">
        <f t="shared" si="14"/>
        <v>71.942857142857136</v>
      </c>
      <c r="F36" s="54">
        <f t="shared" si="14"/>
        <v>101.95820895522387</v>
      </c>
      <c r="G36" s="54">
        <f t="shared" si="14"/>
        <v>89.622068965517244</v>
      </c>
      <c r="H36" s="54">
        <f t="shared" si="14"/>
        <v>43.611707317073169</v>
      </c>
      <c r="I36" s="54">
        <f t="shared" si="14"/>
        <v>19.528571428571428</v>
      </c>
      <c r="J36" s="54">
        <f t="shared" si="14"/>
        <v>20.25185185185185</v>
      </c>
    </row>
    <row r="37" spans="1:17" x14ac:dyDescent="0.25">
      <c r="A37" s="39" t="s">
        <v>140</v>
      </c>
      <c r="B37" s="54"/>
      <c r="C37" s="54"/>
      <c r="D37" s="54"/>
      <c r="E37" s="54"/>
      <c r="F37" s="54"/>
      <c r="G37" s="54"/>
      <c r="H37" s="54"/>
      <c r="I37" s="54"/>
      <c r="J37" s="54"/>
    </row>
    <row r="38" spans="1:17" x14ac:dyDescent="0.25">
      <c r="A38" s="65" t="s">
        <v>100</v>
      </c>
      <c r="B38" s="67">
        <v>1</v>
      </c>
      <c r="C38" s="57">
        <v>80</v>
      </c>
      <c r="D38" s="57">
        <v>160</v>
      </c>
      <c r="E38" s="57">
        <v>240</v>
      </c>
      <c r="F38" s="57">
        <v>320</v>
      </c>
      <c r="G38" s="57">
        <v>400</v>
      </c>
      <c r="H38" s="57">
        <v>480</v>
      </c>
      <c r="I38" s="57">
        <v>560</v>
      </c>
      <c r="J38" s="67">
        <v>631</v>
      </c>
    </row>
    <row r="39" spans="1:17" x14ac:dyDescent="0.25">
      <c r="A39" s="65" t="s">
        <v>95</v>
      </c>
      <c r="B39" s="54">
        <v>210</v>
      </c>
      <c r="C39" s="54">
        <v>270</v>
      </c>
      <c r="D39" s="54">
        <v>460</v>
      </c>
      <c r="E39" s="54">
        <v>546</v>
      </c>
      <c r="F39" s="54">
        <v>603</v>
      </c>
      <c r="G39" s="54">
        <v>580</v>
      </c>
      <c r="H39" s="54">
        <v>410</v>
      </c>
      <c r="I39" s="54">
        <v>168</v>
      </c>
      <c r="J39" s="54">
        <v>162</v>
      </c>
    </row>
    <row r="40" spans="1:17" x14ac:dyDescent="0.25">
      <c r="A40" s="65" t="s">
        <v>116</v>
      </c>
      <c r="B40" s="54">
        <v>323</v>
      </c>
      <c r="C40" s="54">
        <v>153</v>
      </c>
      <c r="D40" s="54">
        <v>451</v>
      </c>
      <c r="E40" s="54">
        <v>462</v>
      </c>
      <c r="F40" s="54">
        <v>641</v>
      </c>
      <c r="G40" s="54">
        <v>542</v>
      </c>
      <c r="H40" s="54">
        <v>281</v>
      </c>
      <c r="I40" s="54">
        <v>112</v>
      </c>
      <c r="J40" s="54">
        <v>76</v>
      </c>
    </row>
    <row r="41" spans="1:17" x14ac:dyDescent="0.25">
      <c r="A41" s="65" t="s">
        <v>115</v>
      </c>
      <c r="B41" s="54">
        <f t="shared" ref="B41:J41" si="15">SUM(B40+$P$6)</f>
        <v>355.80799999999999</v>
      </c>
      <c r="C41" s="54">
        <f t="shared" si="15"/>
        <v>185.80799999999999</v>
      </c>
      <c r="D41" s="54">
        <f t="shared" si="15"/>
        <v>483.80799999999999</v>
      </c>
      <c r="E41" s="54">
        <f t="shared" si="15"/>
        <v>494.80799999999999</v>
      </c>
      <c r="F41" s="54">
        <f t="shared" si="15"/>
        <v>673.80799999999999</v>
      </c>
      <c r="G41" s="54">
        <f t="shared" si="15"/>
        <v>574.80799999999999</v>
      </c>
      <c r="H41" s="54">
        <f t="shared" si="15"/>
        <v>313.80799999999999</v>
      </c>
      <c r="I41" s="54">
        <f t="shared" si="15"/>
        <v>144.80799999999999</v>
      </c>
      <c r="J41" s="54">
        <f t="shared" si="15"/>
        <v>108.80799999999999</v>
      </c>
    </row>
    <row r="42" spans="1:17" x14ac:dyDescent="0.25">
      <c r="A42" s="65" t="s">
        <v>96</v>
      </c>
      <c r="B42" s="77">
        <f t="shared" ref="B42:J42" si="16">SUM(B39-B41)</f>
        <v>-145.80799999999999</v>
      </c>
      <c r="C42" s="75">
        <f t="shared" si="16"/>
        <v>84.192000000000007</v>
      </c>
      <c r="D42" s="76">
        <f t="shared" si="16"/>
        <v>-23.807999999999993</v>
      </c>
      <c r="E42" s="63">
        <f t="shared" si="16"/>
        <v>51.192000000000007</v>
      </c>
      <c r="F42" s="77">
        <f t="shared" si="16"/>
        <v>-70.807999999999993</v>
      </c>
      <c r="G42" s="74">
        <f t="shared" si="16"/>
        <v>5.1920000000000073</v>
      </c>
      <c r="H42" s="75">
        <f t="shared" si="16"/>
        <v>96.192000000000007</v>
      </c>
      <c r="I42" s="74">
        <f t="shared" si="16"/>
        <v>23.192000000000007</v>
      </c>
      <c r="J42" s="63">
        <f t="shared" si="16"/>
        <v>53.192000000000007</v>
      </c>
    </row>
    <row r="43" spans="1:17" x14ac:dyDescent="0.25">
      <c r="A43" s="65" t="s">
        <v>97</v>
      </c>
      <c r="B43" s="54">
        <f>SUM(B41/B39)*100</f>
        <v>169.43238095238095</v>
      </c>
      <c r="C43" s="54">
        <f t="shared" ref="C43:J43" si="17">SUM(C41/C39)*100</f>
        <v>68.817777777777778</v>
      </c>
      <c r="D43" s="54">
        <f t="shared" si="17"/>
        <v>105.17565217391305</v>
      </c>
      <c r="E43" s="54">
        <f t="shared" si="17"/>
        <v>90.624175824175822</v>
      </c>
      <c r="F43" s="54">
        <f t="shared" si="17"/>
        <v>111.74262023217247</v>
      </c>
      <c r="G43" s="54">
        <f t="shared" si="17"/>
        <v>99.104827586206895</v>
      </c>
      <c r="H43" s="54">
        <f t="shared" si="17"/>
        <v>76.538536585365861</v>
      </c>
      <c r="I43" s="54">
        <f t="shared" si="17"/>
        <v>86.195238095238096</v>
      </c>
      <c r="J43" s="54">
        <f t="shared" si="17"/>
        <v>67.165432098765436</v>
      </c>
    </row>
    <row r="44" spans="1:17" x14ac:dyDescent="0.25">
      <c r="M44" t="s">
        <v>118</v>
      </c>
      <c r="N44" s="58"/>
      <c r="O44" s="58"/>
      <c r="P44" s="58"/>
      <c r="Q44" s="58"/>
    </row>
    <row r="45" spans="1:17" x14ac:dyDescent="0.25">
      <c r="A45" s="39" t="s">
        <v>141</v>
      </c>
      <c r="B45" s="54"/>
      <c r="C45" s="54"/>
      <c r="D45" s="54"/>
      <c r="E45" s="54"/>
      <c r="F45" s="54"/>
      <c r="G45" s="54"/>
      <c r="H45" s="54"/>
      <c r="I45" s="54"/>
      <c r="J45" s="54"/>
      <c r="M45" t="s">
        <v>119</v>
      </c>
      <c r="N45" s="58"/>
      <c r="O45" s="58"/>
      <c r="P45" s="58"/>
      <c r="Q45" s="58"/>
    </row>
    <row r="46" spans="1:17" x14ac:dyDescent="0.25">
      <c r="A46" s="65" t="s">
        <v>100</v>
      </c>
      <c r="B46" s="67">
        <v>1</v>
      </c>
      <c r="C46" s="57">
        <v>80</v>
      </c>
      <c r="D46" s="57">
        <v>160</v>
      </c>
      <c r="E46" s="57">
        <v>240</v>
      </c>
      <c r="F46" s="57">
        <v>320</v>
      </c>
      <c r="G46" s="57">
        <v>400</v>
      </c>
      <c r="H46" s="57">
        <v>480</v>
      </c>
      <c r="I46" s="57">
        <v>560</v>
      </c>
      <c r="J46" s="67">
        <v>631</v>
      </c>
      <c r="M46" t="s">
        <v>121</v>
      </c>
      <c r="N46" s="58"/>
      <c r="O46" s="58"/>
      <c r="P46" s="58"/>
      <c r="Q46" s="58"/>
    </row>
    <row r="47" spans="1:17" x14ac:dyDescent="0.25">
      <c r="A47" s="65" t="s">
        <v>95</v>
      </c>
      <c r="B47" s="54">
        <v>200</v>
      </c>
      <c r="C47" s="54">
        <v>260</v>
      </c>
      <c r="D47" s="54">
        <v>460</v>
      </c>
      <c r="E47" s="54">
        <v>546</v>
      </c>
      <c r="F47" s="54">
        <v>603</v>
      </c>
      <c r="G47" s="54">
        <v>580</v>
      </c>
      <c r="H47" s="54">
        <v>410</v>
      </c>
      <c r="I47" s="54">
        <v>168</v>
      </c>
      <c r="J47" s="54">
        <v>162</v>
      </c>
      <c r="M47" t="s">
        <v>120</v>
      </c>
    </row>
    <row r="48" spans="1:17" x14ac:dyDescent="0.25">
      <c r="A48" s="65" t="s">
        <v>116</v>
      </c>
      <c r="B48" s="54">
        <v>68</v>
      </c>
      <c r="C48" s="54">
        <v>75</v>
      </c>
      <c r="D48" s="54">
        <v>222</v>
      </c>
      <c r="E48" s="54">
        <v>323</v>
      </c>
      <c r="F48" s="54">
        <v>483</v>
      </c>
      <c r="G48" s="54">
        <v>390</v>
      </c>
      <c r="H48" s="54">
        <v>165</v>
      </c>
      <c r="I48" s="54">
        <v>44</v>
      </c>
      <c r="J48" s="54">
        <v>17</v>
      </c>
    </row>
    <row r="49" spans="1:17" x14ac:dyDescent="0.25">
      <c r="A49" s="65" t="s">
        <v>115</v>
      </c>
      <c r="B49" s="54">
        <f t="shared" ref="B49:J49" si="18">SUM(B48+$P$6)</f>
        <v>100.80799999999999</v>
      </c>
      <c r="C49" s="54">
        <f t="shared" si="18"/>
        <v>107.80799999999999</v>
      </c>
      <c r="D49" s="54">
        <f t="shared" si="18"/>
        <v>254.80799999999999</v>
      </c>
      <c r="E49" s="54">
        <f t="shared" si="18"/>
        <v>355.80799999999999</v>
      </c>
      <c r="F49" s="54">
        <f t="shared" si="18"/>
        <v>515.80799999999999</v>
      </c>
      <c r="G49" s="54">
        <f t="shared" si="18"/>
        <v>422.80799999999999</v>
      </c>
      <c r="H49" s="54">
        <f t="shared" si="18"/>
        <v>197.80799999999999</v>
      </c>
      <c r="I49" s="54">
        <f t="shared" si="18"/>
        <v>76.807999999999993</v>
      </c>
      <c r="J49" s="54">
        <f t="shared" si="18"/>
        <v>49.808</v>
      </c>
    </row>
    <row r="50" spans="1:17" ht="19.5" customHeight="1" x14ac:dyDescent="0.25">
      <c r="A50" s="65" t="s">
        <v>96</v>
      </c>
      <c r="B50" s="79">
        <f t="shared" ref="B50:J50" si="19">SUM(B47-B49)</f>
        <v>99.192000000000007</v>
      </c>
      <c r="C50" s="76">
        <f t="shared" si="19"/>
        <v>152.19200000000001</v>
      </c>
      <c r="D50" s="76">
        <f t="shared" si="19"/>
        <v>205.19200000000001</v>
      </c>
      <c r="E50" s="76">
        <f t="shared" si="19"/>
        <v>190.19200000000001</v>
      </c>
      <c r="F50" s="75">
        <f t="shared" si="19"/>
        <v>87.192000000000007</v>
      </c>
      <c r="G50" s="79">
        <f t="shared" si="19"/>
        <v>157.19200000000001</v>
      </c>
      <c r="H50" s="76">
        <f t="shared" si="19"/>
        <v>212.19200000000001</v>
      </c>
      <c r="I50" s="75">
        <f t="shared" si="19"/>
        <v>91.192000000000007</v>
      </c>
      <c r="J50" s="75">
        <f t="shared" si="19"/>
        <v>112.19200000000001</v>
      </c>
      <c r="M50" s="147" t="s">
        <v>123</v>
      </c>
      <c r="N50" s="148"/>
      <c r="O50" s="138" t="s">
        <v>127</v>
      </c>
      <c r="P50" s="139"/>
      <c r="Q50" s="140"/>
    </row>
    <row r="51" spans="1:17" ht="15.75" customHeight="1" x14ac:dyDescent="0.25">
      <c r="A51" s="65" t="s">
        <v>97</v>
      </c>
      <c r="B51" s="54">
        <f>SUM(B49/B47)*100</f>
        <v>50.403999999999996</v>
      </c>
      <c r="C51" s="54">
        <f t="shared" ref="C51:J51" si="20">SUM(C49/C47)*100</f>
        <v>41.464615384615385</v>
      </c>
      <c r="D51" s="54">
        <f t="shared" si="20"/>
        <v>55.393043478260871</v>
      </c>
      <c r="E51" s="54">
        <f t="shared" si="20"/>
        <v>65.166300366300362</v>
      </c>
      <c r="F51" s="54">
        <f t="shared" si="20"/>
        <v>85.54029850746268</v>
      </c>
      <c r="G51" s="54">
        <f t="shared" si="20"/>
        <v>72.897931034482752</v>
      </c>
      <c r="H51" s="54">
        <f t="shared" si="20"/>
        <v>48.245853658536589</v>
      </c>
      <c r="I51" s="54">
        <f t="shared" si="20"/>
        <v>45.719047619047615</v>
      </c>
      <c r="J51" s="54">
        <f t="shared" si="20"/>
        <v>30.745679012345679</v>
      </c>
      <c r="M51" s="147"/>
      <c r="N51" s="148"/>
      <c r="O51" s="141"/>
      <c r="P51" s="142"/>
      <c r="Q51" s="143"/>
    </row>
    <row r="52" spans="1:17" ht="15.75" customHeight="1" x14ac:dyDescent="0.25">
      <c r="A52" s="89"/>
      <c r="B52" s="58">
        <f>SUM(B48+175)</f>
        <v>243</v>
      </c>
      <c r="C52" s="58">
        <f t="shared" ref="C52:J52" si="21">SUM(C48+175)</f>
        <v>250</v>
      </c>
      <c r="D52" s="58">
        <f t="shared" si="21"/>
        <v>397</v>
      </c>
      <c r="E52" s="58">
        <f t="shared" si="21"/>
        <v>498</v>
      </c>
      <c r="F52" s="58">
        <f t="shared" si="21"/>
        <v>658</v>
      </c>
      <c r="G52" s="58">
        <f t="shared" si="21"/>
        <v>565</v>
      </c>
      <c r="H52" s="58">
        <f t="shared" si="21"/>
        <v>340</v>
      </c>
      <c r="I52" s="58">
        <f t="shared" si="21"/>
        <v>219</v>
      </c>
      <c r="J52" s="58">
        <f t="shared" si="21"/>
        <v>192</v>
      </c>
      <c r="M52" s="147"/>
      <c r="N52" s="148"/>
      <c r="O52" s="141"/>
      <c r="P52" s="142"/>
      <c r="Q52" s="143"/>
    </row>
    <row r="53" spans="1:17" ht="15.75" customHeight="1" x14ac:dyDescent="0.25">
      <c r="A53" s="89" t="s">
        <v>146</v>
      </c>
      <c r="B53" s="58"/>
      <c r="C53" s="58"/>
      <c r="D53" s="58"/>
      <c r="E53" s="58"/>
      <c r="F53" s="58"/>
      <c r="G53" s="58"/>
      <c r="H53" s="58"/>
      <c r="I53" s="58"/>
      <c r="J53" s="58"/>
      <c r="M53" s="83"/>
      <c r="N53" s="84"/>
      <c r="O53" s="141"/>
      <c r="P53" s="142"/>
      <c r="Q53" s="143"/>
    </row>
    <row r="54" spans="1:17" ht="15" customHeight="1" x14ac:dyDescent="0.25">
      <c r="A54" s="65" t="s">
        <v>100</v>
      </c>
      <c r="B54" s="67">
        <v>1</v>
      </c>
      <c r="C54" s="57">
        <v>80</v>
      </c>
      <c r="D54" s="57">
        <v>160</v>
      </c>
      <c r="E54" s="57">
        <v>240</v>
      </c>
      <c r="F54" s="57">
        <v>320</v>
      </c>
      <c r="G54" s="57">
        <v>400</v>
      </c>
      <c r="H54" s="57">
        <v>480</v>
      </c>
      <c r="I54" s="57">
        <v>560</v>
      </c>
      <c r="J54" s="67">
        <v>631</v>
      </c>
      <c r="M54" s="147" t="s">
        <v>124</v>
      </c>
      <c r="N54" s="149"/>
      <c r="O54" s="144"/>
      <c r="P54" s="145"/>
      <c r="Q54" s="146"/>
    </row>
    <row r="55" spans="1:17" ht="15" customHeight="1" x14ac:dyDescent="0.25">
      <c r="A55" s="65" t="s">
        <v>95</v>
      </c>
      <c r="B55" s="54">
        <v>210</v>
      </c>
      <c r="C55" s="54">
        <v>278</v>
      </c>
      <c r="D55" s="54">
        <v>460</v>
      </c>
      <c r="E55" s="54">
        <v>546</v>
      </c>
      <c r="F55" s="54">
        <v>603</v>
      </c>
      <c r="G55" s="54">
        <v>580</v>
      </c>
      <c r="H55" s="54">
        <v>410</v>
      </c>
      <c r="I55" s="54">
        <v>168</v>
      </c>
      <c r="J55" s="54">
        <v>162</v>
      </c>
      <c r="M55" s="147"/>
      <c r="N55" s="149"/>
    </row>
    <row r="56" spans="1:17" ht="15" customHeight="1" x14ac:dyDescent="0.25">
      <c r="A56" s="65" t="s">
        <v>116</v>
      </c>
      <c r="B56" s="58">
        <v>243</v>
      </c>
      <c r="C56" s="58">
        <v>278</v>
      </c>
      <c r="D56" s="58">
        <v>388</v>
      </c>
      <c r="E56" s="58">
        <v>515</v>
      </c>
      <c r="F56" s="58">
        <v>634</v>
      </c>
      <c r="G56" s="58">
        <v>579</v>
      </c>
      <c r="H56" s="58">
        <v>413</v>
      </c>
      <c r="I56" s="58">
        <v>252</v>
      </c>
      <c r="J56" s="58">
        <v>226</v>
      </c>
      <c r="M56" s="147"/>
      <c r="N56" s="149"/>
    </row>
    <row r="57" spans="1:17" ht="15" customHeight="1" x14ac:dyDescent="0.25">
      <c r="A57" s="65" t="s">
        <v>115</v>
      </c>
      <c r="B57" s="54">
        <f t="shared" ref="B57:J57" si="22">SUM(B56+$P$6)</f>
        <v>275.80799999999999</v>
      </c>
      <c r="C57" s="54">
        <f t="shared" si="22"/>
        <v>310.80799999999999</v>
      </c>
      <c r="D57" s="54">
        <f t="shared" si="22"/>
        <v>420.80799999999999</v>
      </c>
      <c r="E57" s="54">
        <f t="shared" si="22"/>
        <v>547.80799999999999</v>
      </c>
      <c r="F57" s="54">
        <f t="shared" si="22"/>
        <v>666.80799999999999</v>
      </c>
      <c r="G57" s="54">
        <f t="shared" si="22"/>
        <v>611.80799999999999</v>
      </c>
      <c r="H57" s="54">
        <f t="shared" si="22"/>
        <v>445.80799999999999</v>
      </c>
      <c r="I57" s="54">
        <f t="shared" si="22"/>
        <v>284.80799999999999</v>
      </c>
      <c r="J57" s="54">
        <f t="shared" si="22"/>
        <v>258.80799999999999</v>
      </c>
      <c r="M57" s="147"/>
      <c r="N57" s="149"/>
    </row>
    <row r="58" spans="1:17" ht="15" customHeight="1" x14ac:dyDescent="0.25">
      <c r="A58" s="65" t="s">
        <v>96</v>
      </c>
      <c r="B58" s="77">
        <f t="shared" ref="B58:J58" si="23">SUM(B55-B57)</f>
        <v>-65.807999999999993</v>
      </c>
      <c r="C58" s="77">
        <f t="shared" si="23"/>
        <v>-32.807999999999993</v>
      </c>
      <c r="D58" s="75">
        <f t="shared" si="23"/>
        <v>39.192000000000007</v>
      </c>
      <c r="E58" s="78">
        <f t="shared" si="23"/>
        <v>-1.8079999999999927</v>
      </c>
      <c r="F58" s="77">
        <f t="shared" si="23"/>
        <v>-63.807999999999993</v>
      </c>
      <c r="G58" s="77">
        <f t="shared" si="23"/>
        <v>-31.807999999999993</v>
      </c>
      <c r="H58" s="77">
        <f t="shared" si="23"/>
        <v>-35.807999999999993</v>
      </c>
      <c r="I58" s="77">
        <f t="shared" si="23"/>
        <v>-116.80799999999999</v>
      </c>
      <c r="J58" s="77">
        <f t="shared" si="23"/>
        <v>-96.807999999999993</v>
      </c>
      <c r="M58" s="150" t="s">
        <v>125</v>
      </c>
      <c r="N58" s="151"/>
    </row>
    <row r="59" spans="1:17" ht="15" customHeight="1" x14ac:dyDescent="0.25">
      <c r="A59" s="65" t="s">
        <v>97</v>
      </c>
      <c r="B59" s="54">
        <f>SUM(B57/B55)*100</f>
        <v>131.33714285714285</v>
      </c>
      <c r="C59" s="54">
        <f t="shared" ref="C59:J59" si="24">SUM(C57/C55)*100</f>
        <v>111.80143884892087</v>
      </c>
      <c r="D59" s="54">
        <f t="shared" si="24"/>
        <v>91.47999999999999</v>
      </c>
      <c r="E59" s="54">
        <f t="shared" si="24"/>
        <v>100.33113553113553</v>
      </c>
      <c r="F59" s="54">
        <f t="shared" si="24"/>
        <v>110.58175787728027</v>
      </c>
      <c r="G59" s="54">
        <f t="shared" si="24"/>
        <v>105.48413793103448</v>
      </c>
      <c r="H59" s="54">
        <f t="shared" si="24"/>
        <v>108.73365853658537</v>
      </c>
      <c r="I59" s="54">
        <f t="shared" si="24"/>
        <v>169.52857142857144</v>
      </c>
      <c r="J59" s="54">
        <f t="shared" si="24"/>
        <v>159.75802469135803</v>
      </c>
      <c r="M59" s="150"/>
      <c r="N59" s="151"/>
    </row>
    <row r="60" spans="1:17" ht="15" customHeight="1" x14ac:dyDescent="0.25">
      <c r="A60" s="89" t="s">
        <v>154</v>
      </c>
      <c r="B60" s="58"/>
      <c r="C60" s="58"/>
      <c r="D60" s="58"/>
      <c r="E60" s="58"/>
      <c r="F60" s="58"/>
      <c r="G60" s="58"/>
      <c r="H60" s="58"/>
      <c r="I60" s="58"/>
      <c r="J60" s="58"/>
      <c r="M60" s="150"/>
      <c r="N60" s="151"/>
    </row>
    <row r="61" spans="1:17" ht="15" customHeight="1" x14ac:dyDescent="0.25">
      <c r="A61" s="65" t="s">
        <v>100</v>
      </c>
      <c r="B61" s="67">
        <v>1</v>
      </c>
      <c r="C61" s="57">
        <v>80</v>
      </c>
      <c r="D61" s="57">
        <v>160</v>
      </c>
      <c r="E61" s="57">
        <v>240</v>
      </c>
      <c r="F61" s="57">
        <v>320</v>
      </c>
      <c r="G61" s="57">
        <v>400</v>
      </c>
      <c r="H61" s="57">
        <v>480</v>
      </c>
      <c r="I61" s="57">
        <v>560</v>
      </c>
      <c r="J61" s="67">
        <v>631</v>
      </c>
      <c r="M61" s="150"/>
      <c r="N61" s="151"/>
    </row>
    <row r="62" spans="1:17" x14ac:dyDescent="0.25">
      <c r="A62" s="65" t="s">
        <v>95</v>
      </c>
      <c r="B62" s="54">
        <v>210</v>
      </c>
      <c r="C62" s="54">
        <v>278</v>
      </c>
      <c r="D62" s="54">
        <v>460</v>
      </c>
      <c r="E62" s="54">
        <v>546</v>
      </c>
      <c r="F62" s="54">
        <v>603</v>
      </c>
      <c r="G62" s="54">
        <v>580</v>
      </c>
      <c r="H62" s="54">
        <v>410</v>
      </c>
      <c r="I62" s="54">
        <v>168</v>
      </c>
      <c r="J62" s="54">
        <v>162</v>
      </c>
    </row>
    <row r="63" spans="1:17" x14ac:dyDescent="0.25">
      <c r="A63" s="65" t="s">
        <v>116</v>
      </c>
      <c r="B63" s="58">
        <v>356</v>
      </c>
      <c r="C63" s="58">
        <v>371</v>
      </c>
      <c r="D63" s="58">
        <v>457</v>
      </c>
      <c r="E63" s="58">
        <v>543</v>
      </c>
      <c r="F63" s="58">
        <v>636</v>
      </c>
      <c r="G63" s="58">
        <v>594</v>
      </c>
      <c r="H63" s="58">
        <v>469</v>
      </c>
      <c r="I63" s="58">
        <v>358</v>
      </c>
      <c r="J63" s="58">
        <v>347</v>
      </c>
    </row>
    <row r="64" spans="1:17" x14ac:dyDescent="0.25">
      <c r="A64" s="65" t="s">
        <v>115</v>
      </c>
      <c r="B64" s="54">
        <f>SUM(B63+$P$6)</f>
        <v>388.80799999999999</v>
      </c>
      <c r="C64" s="54">
        <f t="shared" ref="C64:J64" si="25">SUM(C63+$P$6)</f>
        <v>403.80799999999999</v>
      </c>
      <c r="D64" s="54">
        <f t="shared" si="25"/>
        <v>489.80799999999999</v>
      </c>
      <c r="E64" s="54">
        <f t="shared" si="25"/>
        <v>575.80799999999999</v>
      </c>
      <c r="F64" s="54">
        <f t="shared" si="25"/>
        <v>668.80799999999999</v>
      </c>
      <c r="G64" s="54">
        <f t="shared" si="25"/>
        <v>626.80799999999999</v>
      </c>
      <c r="H64" s="54">
        <f t="shared" si="25"/>
        <v>501.80799999999999</v>
      </c>
      <c r="I64" s="54">
        <f t="shared" si="25"/>
        <v>390.80799999999999</v>
      </c>
      <c r="J64" s="54">
        <f t="shared" si="25"/>
        <v>379.80799999999999</v>
      </c>
    </row>
    <row r="65" spans="1:13" x14ac:dyDescent="0.25">
      <c r="A65" s="65" t="s">
        <v>96</v>
      </c>
      <c r="B65" s="77">
        <f>SUM(B62-B64)</f>
        <v>-178.80799999999999</v>
      </c>
      <c r="C65" s="78">
        <f t="shared" ref="C65:J65" si="26">SUM(C62-C64)</f>
        <v>-125.80799999999999</v>
      </c>
      <c r="D65" s="63">
        <f t="shared" si="26"/>
        <v>-29.807999999999993</v>
      </c>
      <c r="E65" s="63">
        <f t="shared" si="26"/>
        <v>-29.807999999999993</v>
      </c>
      <c r="F65" s="78">
        <f t="shared" si="26"/>
        <v>-65.807999999999993</v>
      </c>
      <c r="G65" s="63">
        <f t="shared" si="26"/>
        <v>-46.807999999999993</v>
      </c>
      <c r="H65" s="78">
        <f t="shared" si="26"/>
        <v>-91.807999999999993</v>
      </c>
      <c r="I65" s="77">
        <f t="shared" si="26"/>
        <v>-222.80799999999999</v>
      </c>
      <c r="J65" s="77">
        <f t="shared" si="26"/>
        <v>-217.80799999999999</v>
      </c>
    </row>
    <row r="66" spans="1:13" x14ac:dyDescent="0.25">
      <c r="A66" s="65" t="s">
        <v>97</v>
      </c>
      <c r="B66" s="54">
        <f>SUM(B64/B62)*100</f>
        <v>185.14666666666665</v>
      </c>
      <c r="C66" s="54">
        <f t="shared" ref="C66:J66" si="27">SUM(C64/C62)*100</f>
        <v>145.25467625899279</v>
      </c>
      <c r="D66" s="54">
        <f t="shared" si="27"/>
        <v>106.47999999999999</v>
      </c>
      <c r="E66" s="54">
        <f t="shared" si="27"/>
        <v>105.45934065934065</v>
      </c>
      <c r="F66" s="54">
        <f t="shared" si="27"/>
        <v>110.91343283582088</v>
      </c>
      <c r="G66" s="54">
        <f t="shared" si="27"/>
        <v>108.0703448275862</v>
      </c>
      <c r="H66" s="54">
        <f t="shared" si="27"/>
        <v>122.3921951219512</v>
      </c>
      <c r="I66" s="54">
        <f t="shared" si="27"/>
        <v>232.62380952380951</v>
      </c>
      <c r="J66" s="54">
        <f t="shared" si="27"/>
        <v>234.44938271604937</v>
      </c>
    </row>
    <row r="67" spans="1:13" x14ac:dyDescent="0.25">
      <c r="A67" s="89" t="s">
        <v>155</v>
      </c>
      <c r="B67" s="58"/>
      <c r="C67" s="58"/>
      <c r="D67" s="58"/>
      <c r="E67" s="58"/>
      <c r="F67" s="58"/>
      <c r="G67" s="58"/>
      <c r="H67" s="58"/>
      <c r="I67" s="58"/>
      <c r="J67" s="58"/>
    </row>
    <row r="68" spans="1:13" x14ac:dyDescent="0.25">
      <c r="A68" s="65" t="s">
        <v>100</v>
      </c>
      <c r="B68" s="67">
        <v>1</v>
      </c>
      <c r="C68" s="57">
        <v>80</v>
      </c>
      <c r="D68" s="57">
        <v>160</v>
      </c>
      <c r="E68" s="57">
        <v>240</v>
      </c>
      <c r="F68" s="57">
        <v>320</v>
      </c>
      <c r="G68" s="57">
        <v>400</v>
      </c>
      <c r="H68" s="57">
        <v>480</v>
      </c>
      <c r="I68" s="57">
        <v>560</v>
      </c>
      <c r="J68" s="67">
        <v>631</v>
      </c>
      <c r="L68" t="s">
        <v>157</v>
      </c>
    </row>
    <row r="69" spans="1:13" x14ac:dyDescent="0.25">
      <c r="A69" s="65" t="s">
        <v>95</v>
      </c>
      <c r="B69" s="54">
        <v>210</v>
      </c>
      <c r="C69" s="54">
        <v>278</v>
      </c>
      <c r="D69" s="54">
        <v>460</v>
      </c>
      <c r="E69" s="54">
        <v>546</v>
      </c>
      <c r="F69" s="54">
        <v>603</v>
      </c>
      <c r="G69" s="54">
        <v>580</v>
      </c>
      <c r="H69" s="54">
        <v>410</v>
      </c>
      <c r="I69" s="54">
        <v>168</v>
      </c>
      <c r="J69" s="54">
        <v>162</v>
      </c>
      <c r="L69" s="90">
        <v>10</v>
      </c>
      <c r="M69">
        <f>SUM(3.2808*L69)</f>
        <v>32.808</v>
      </c>
    </row>
    <row r="70" spans="1:13" x14ac:dyDescent="0.25">
      <c r="A70" s="65" t="s">
        <v>116</v>
      </c>
      <c r="B70" s="58">
        <v>305</v>
      </c>
      <c r="C70" s="58">
        <v>321</v>
      </c>
      <c r="D70" s="58">
        <v>405</v>
      </c>
      <c r="E70" s="58">
        <v>491</v>
      </c>
      <c r="F70" s="58">
        <v>584</v>
      </c>
      <c r="G70" s="58">
        <v>541</v>
      </c>
      <c r="H70" s="58">
        <v>350</v>
      </c>
      <c r="I70" s="58">
        <v>308</v>
      </c>
      <c r="J70" s="58">
        <v>295</v>
      </c>
    </row>
    <row r="71" spans="1:13" x14ac:dyDescent="0.25">
      <c r="A71" s="65" t="s">
        <v>115</v>
      </c>
      <c r="B71" s="54">
        <f>SUM(B70+$P$6)</f>
        <v>337.80799999999999</v>
      </c>
      <c r="C71" s="54">
        <f t="shared" ref="C71:J71" si="28">SUM(C70+$P$6)</f>
        <v>353.80799999999999</v>
      </c>
      <c r="D71" s="54">
        <f t="shared" si="28"/>
        <v>437.80799999999999</v>
      </c>
      <c r="E71" s="54">
        <f t="shared" si="28"/>
        <v>523.80799999999999</v>
      </c>
      <c r="F71" s="54">
        <f t="shared" si="28"/>
        <v>616.80799999999999</v>
      </c>
      <c r="G71" s="54">
        <f t="shared" si="28"/>
        <v>573.80799999999999</v>
      </c>
      <c r="H71" s="54">
        <f t="shared" si="28"/>
        <v>382.80799999999999</v>
      </c>
      <c r="I71" s="54">
        <f t="shared" si="28"/>
        <v>340.80799999999999</v>
      </c>
      <c r="J71" s="54">
        <f t="shared" si="28"/>
        <v>327.80799999999999</v>
      </c>
    </row>
    <row r="72" spans="1:13" x14ac:dyDescent="0.25">
      <c r="A72" s="65" t="s">
        <v>96</v>
      </c>
      <c r="B72" s="77">
        <f>SUM(B69-B71)</f>
        <v>-127.80799999999999</v>
      </c>
      <c r="C72" s="78">
        <f t="shared" ref="C72:J72" si="29">SUM(C69-C71)</f>
        <v>-75.807999999999993</v>
      </c>
      <c r="D72" s="62">
        <f t="shared" si="29"/>
        <v>22.192000000000007</v>
      </c>
      <c r="E72" s="62">
        <f t="shared" si="29"/>
        <v>22.192000000000007</v>
      </c>
      <c r="F72" s="63">
        <f t="shared" si="29"/>
        <v>-13.807999999999993</v>
      </c>
      <c r="G72" s="62">
        <f t="shared" si="29"/>
        <v>6.1920000000000073</v>
      </c>
      <c r="H72" s="75">
        <f t="shared" si="29"/>
        <v>27.192000000000007</v>
      </c>
      <c r="I72" s="77">
        <f t="shared" si="29"/>
        <v>-172.80799999999999</v>
      </c>
      <c r="J72" s="77">
        <f t="shared" si="29"/>
        <v>-165.80799999999999</v>
      </c>
    </row>
    <row r="73" spans="1:13" x14ac:dyDescent="0.25">
      <c r="A73" s="65" t="s">
        <v>97</v>
      </c>
      <c r="B73" s="54">
        <f>SUM(B71/B69)*100</f>
        <v>160.86095238095237</v>
      </c>
      <c r="C73" s="54">
        <f t="shared" ref="C73:J73" si="30">SUM(C71/C69)*100</f>
        <v>127.26906474820143</v>
      </c>
      <c r="D73" s="54">
        <f t="shared" si="30"/>
        <v>95.175652173913036</v>
      </c>
      <c r="E73" s="54">
        <f t="shared" si="30"/>
        <v>95.935531135531136</v>
      </c>
      <c r="F73" s="54">
        <f t="shared" si="30"/>
        <v>102.2898839137645</v>
      </c>
      <c r="G73" s="54">
        <f t="shared" si="30"/>
        <v>98.93241379310345</v>
      </c>
      <c r="H73" s="54">
        <f t="shared" si="30"/>
        <v>93.367804878048773</v>
      </c>
      <c r="I73" s="54">
        <f t="shared" si="30"/>
        <v>202.86190476190478</v>
      </c>
      <c r="J73" s="54">
        <f t="shared" si="30"/>
        <v>202.35061728395061</v>
      </c>
    </row>
    <row r="75" spans="1:13" x14ac:dyDescent="0.25">
      <c r="A75" s="89" t="s">
        <v>156</v>
      </c>
      <c r="B75" s="58"/>
      <c r="C75" s="58"/>
      <c r="D75" s="58"/>
      <c r="E75" s="58"/>
      <c r="F75" s="58"/>
      <c r="G75" s="58"/>
      <c r="H75" s="58"/>
      <c r="I75" s="58"/>
      <c r="J75" s="58"/>
    </row>
    <row r="76" spans="1:13" x14ac:dyDescent="0.25">
      <c r="A76" s="65" t="s">
        <v>100</v>
      </c>
      <c r="B76" s="67">
        <v>1</v>
      </c>
      <c r="C76" s="57">
        <v>80</v>
      </c>
      <c r="D76" s="57">
        <v>160</v>
      </c>
      <c r="E76" s="57">
        <v>240</v>
      </c>
      <c r="F76" s="57">
        <v>320</v>
      </c>
      <c r="G76" s="57">
        <v>400</v>
      </c>
      <c r="H76" s="57">
        <v>480</v>
      </c>
      <c r="I76" s="57">
        <v>560</v>
      </c>
      <c r="J76" s="67">
        <v>631</v>
      </c>
      <c r="L76" t="s">
        <v>157</v>
      </c>
    </row>
    <row r="77" spans="1:13" x14ac:dyDescent="0.25">
      <c r="A77" s="65" t="s">
        <v>95</v>
      </c>
      <c r="B77" s="54">
        <v>210</v>
      </c>
      <c r="C77" s="54">
        <v>278</v>
      </c>
      <c r="D77" s="54">
        <v>460</v>
      </c>
      <c r="E77" s="54">
        <v>546</v>
      </c>
      <c r="F77" s="54">
        <v>603</v>
      </c>
      <c r="G77" s="54">
        <v>580</v>
      </c>
      <c r="H77" s="54">
        <v>410</v>
      </c>
      <c r="I77" s="54">
        <v>168</v>
      </c>
      <c r="J77" s="54">
        <v>162</v>
      </c>
      <c r="L77" s="90">
        <v>15</v>
      </c>
      <c r="M77">
        <f>SUM(3.2808*L77)</f>
        <v>49.212000000000003</v>
      </c>
    </row>
    <row r="78" spans="1:13" x14ac:dyDescent="0.25">
      <c r="A78" s="65" t="s">
        <v>116</v>
      </c>
      <c r="B78" s="58">
        <v>215</v>
      </c>
      <c r="C78" s="58">
        <v>241</v>
      </c>
      <c r="D78" s="58">
        <v>345</v>
      </c>
      <c r="E78" s="58">
        <v>454</v>
      </c>
      <c r="F78" s="58">
        <v>566</v>
      </c>
      <c r="G78" s="58">
        <v>517</v>
      </c>
      <c r="H78" s="58">
        <v>366</v>
      </c>
      <c r="I78" s="58">
        <v>221</v>
      </c>
      <c r="J78" s="58">
        <v>201</v>
      </c>
    </row>
    <row r="79" spans="1:13" x14ac:dyDescent="0.25">
      <c r="A79" s="65" t="s">
        <v>115</v>
      </c>
      <c r="B79" s="54">
        <f>SUM(B78+$M$77)</f>
        <v>264.21199999999999</v>
      </c>
      <c r="C79" s="54">
        <f>SUM(C78+$M$77)</f>
        <v>290.21199999999999</v>
      </c>
      <c r="D79" s="54">
        <f t="shared" ref="D79:J79" si="31">SUM(D78+$P$6)</f>
        <v>377.80799999999999</v>
      </c>
      <c r="E79" s="54">
        <f t="shared" si="31"/>
        <v>486.80799999999999</v>
      </c>
      <c r="F79" s="54">
        <f t="shared" si="31"/>
        <v>598.80799999999999</v>
      </c>
      <c r="G79" s="54">
        <f t="shared" si="31"/>
        <v>549.80799999999999</v>
      </c>
      <c r="H79" s="54">
        <f t="shared" si="31"/>
        <v>398.80799999999999</v>
      </c>
      <c r="I79" s="54">
        <f t="shared" si="31"/>
        <v>253.80799999999999</v>
      </c>
      <c r="J79" s="54">
        <f t="shared" si="31"/>
        <v>233.80799999999999</v>
      </c>
    </row>
    <row r="80" spans="1:13" x14ac:dyDescent="0.25">
      <c r="A80" s="65" t="s">
        <v>96</v>
      </c>
      <c r="B80" s="74">
        <f>SUM(B77-B79)</f>
        <v>-54.211999999999989</v>
      </c>
      <c r="C80" s="78">
        <f t="shared" ref="C80:J80" si="32">SUM(C77-C79)</f>
        <v>-12.211999999999989</v>
      </c>
      <c r="D80" s="79">
        <f t="shared" si="32"/>
        <v>82.192000000000007</v>
      </c>
      <c r="E80" s="75">
        <f t="shared" si="32"/>
        <v>59.192000000000007</v>
      </c>
      <c r="F80" s="62">
        <f t="shared" si="32"/>
        <v>4.1920000000000073</v>
      </c>
      <c r="G80" s="75">
        <f t="shared" si="32"/>
        <v>30.192000000000007</v>
      </c>
      <c r="H80" s="75">
        <f t="shared" si="32"/>
        <v>11.192000000000007</v>
      </c>
      <c r="I80" s="91">
        <f t="shared" si="32"/>
        <v>-85.807999999999993</v>
      </c>
      <c r="J80" s="77">
        <f t="shared" si="32"/>
        <v>-71.807999999999993</v>
      </c>
    </row>
    <row r="81" spans="1:10" x14ac:dyDescent="0.25">
      <c r="A81" s="65" t="s">
        <v>97</v>
      </c>
      <c r="B81" s="54">
        <f>SUM(B79/B77)*100</f>
        <v>125.81523809523809</v>
      </c>
      <c r="C81" s="54">
        <f t="shared" ref="C81:J81" si="33">SUM(C79/C77)*100</f>
        <v>104.39280575539568</v>
      </c>
      <c r="D81" s="54">
        <f t="shared" si="33"/>
        <v>82.132173913043474</v>
      </c>
      <c r="E81" s="54">
        <f t="shared" si="33"/>
        <v>89.158974358974348</v>
      </c>
      <c r="F81" s="54">
        <f t="shared" si="33"/>
        <v>99.304809286898845</v>
      </c>
      <c r="G81" s="54">
        <f t="shared" si="33"/>
        <v>94.794482758620688</v>
      </c>
      <c r="H81" s="54">
        <f t="shared" si="33"/>
        <v>97.27024390243902</v>
      </c>
      <c r="I81" s="54">
        <f t="shared" si="33"/>
        <v>151.07619047619048</v>
      </c>
      <c r="J81" s="54">
        <f t="shared" si="33"/>
        <v>144.32592592592593</v>
      </c>
    </row>
  </sheetData>
  <mergeCells count="4">
    <mergeCell ref="O50:Q54"/>
    <mergeCell ref="M50:N52"/>
    <mergeCell ref="M54:N57"/>
    <mergeCell ref="M58:N6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topLeftCell="A22" zoomScale="95" zoomScaleNormal="95" workbookViewId="0">
      <selection activeCell="D67" sqref="D67"/>
    </sheetView>
  </sheetViews>
  <sheetFormatPr defaultRowHeight="15" x14ac:dyDescent="0.25"/>
  <cols>
    <col min="1" max="1" width="28.42578125" customWidth="1"/>
    <col min="14" max="14" width="19.140625" customWidth="1"/>
    <col min="15" max="15" width="14" customWidth="1"/>
    <col min="16" max="16" width="31.42578125" customWidth="1"/>
  </cols>
  <sheetData>
    <row r="1" spans="1:16" x14ac:dyDescent="0.25">
      <c r="A1" s="89" t="s">
        <v>154</v>
      </c>
      <c r="B1" s="58"/>
      <c r="C1" s="58"/>
      <c r="D1" s="58"/>
      <c r="E1" s="58"/>
      <c r="F1" s="58"/>
      <c r="G1" s="58"/>
      <c r="H1" s="58"/>
      <c r="I1" s="58"/>
      <c r="J1" s="58"/>
    </row>
    <row r="2" spans="1:16" x14ac:dyDescent="0.25">
      <c r="A2" s="65" t="s">
        <v>100</v>
      </c>
      <c r="B2" s="67">
        <v>1</v>
      </c>
      <c r="C2" s="57">
        <v>80</v>
      </c>
      <c r="D2" s="57">
        <v>160</v>
      </c>
      <c r="E2" s="57">
        <v>240</v>
      </c>
      <c r="F2" s="57">
        <v>320</v>
      </c>
      <c r="G2" s="57">
        <v>400</v>
      </c>
      <c r="H2" s="57">
        <v>480</v>
      </c>
      <c r="I2" s="57">
        <v>560</v>
      </c>
      <c r="J2" s="67">
        <v>631</v>
      </c>
      <c r="L2" s="61" t="s">
        <v>44</v>
      </c>
      <c r="M2" s="60" t="s">
        <v>45</v>
      </c>
      <c r="N2" s="52" t="s">
        <v>126</v>
      </c>
    </row>
    <row r="3" spans="1:16" x14ac:dyDescent="0.25">
      <c r="A3" s="65" t="s">
        <v>95</v>
      </c>
      <c r="B3" s="54">
        <v>210</v>
      </c>
      <c r="C3" s="54">
        <v>281</v>
      </c>
      <c r="D3" s="54">
        <v>460</v>
      </c>
      <c r="E3" s="54">
        <v>478</v>
      </c>
      <c r="F3" s="54">
        <v>611</v>
      </c>
      <c r="G3" s="54">
        <v>587</v>
      </c>
      <c r="H3" s="54">
        <v>410</v>
      </c>
      <c r="I3" s="54">
        <v>168</v>
      </c>
      <c r="J3" s="54">
        <v>162</v>
      </c>
      <c r="L3" s="59">
        <v>25</v>
      </c>
      <c r="M3" s="60" t="s">
        <v>128</v>
      </c>
      <c r="N3" s="48" t="s">
        <v>105</v>
      </c>
    </row>
    <row r="4" spans="1:16" x14ac:dyDescent="0.25">
      <c r="A4" s="65" t="s">
        <v>116</v>
      </c>
      <c r="B4" s="58">
        <v>356</v>
      </c>
      <c r="C4" s="58">
        <v>371</v>
      </c>
      <c r="D4" s="58">
        <v>457</v>
      </c>
      <c r="E4" s="58">
        <v>543</v>
      </c>
      <c r="F4" s="58">
        <v>636</v>
      </c>
      <c r="G4" s="58">
        <v>594</v>
      </c>
      <c r="H4" s="58">
        <v>469</v>
      </c>
      <c r="I4" s="58">
        <v>358</v>
      </c>
      <c r="J4" s="58">
        <v>347</v>
      </c>
      <c r="L4" s="68">
        <v>50</v>
      </c>
      <c r="M4" s="71">
        <v>50</v>
      </c>
    </row>
    <row r="5" spans="1:16" x14ac:dyDescent="0.25">
      <c r="A5" s="65" t="s">
        <v>115</v>
      </c>
      <c r="B5" s="54">
        <f>SUM(B4+$P$6)</f>
        <v>388.80799999999999</v>
      </c>
      <c r="C5" s="54">
        <f t="shared" ref="C5:J5" si="0">SUM(C4+$P$6)</f>
        <v>403.80799999999999</v>
      </c>
      <c r="D5" s="54">
        <f t="shared" si="0"/>
        <v>489.80799999999999</v>
      </c>
      <c r="E5" s="54">
        <f t="shared" si="0"/>
        <v>575.80799999999999</v>
      </c>
      <c r="F5" s="54">
        <f t="shared" si="0"/>
        <v>668.80799999999999</v>
      </c>
      <c r="G5" s="54">
        <f t="shared" si="0"/>
        <v>626.80799999999999</v>
      </c>
      <c r="H5" s="54">
        <f t="shared" si="0"/>
        <v>501.80799999999999</v>
      </c>
      <c r="I5" s="54">
        <f t="shared" si="0"/>
        <v>390.80799999999999</v>
      </c>
      <c r="J5" s="54">
        <f t="shared" si="0"/>
        <v>379.80799999999999</v>
      </c>
      <c r="L5" s="69">
        <v>75</v>
      </c>
      <c r="M5" s="72">
        <v>75</v>
      </c>
      <c r="O5" t="s">
        <v>113</v>
      </c>
      <c r="P5" t="s">
        <v>114</v>
      </c>
    </row>
    <row r="6" spans="1:16" x14ac:dyDescent="0.25">
      <c r="A6" s="65" t="s">
        <v>96</v>
      </c>
      <c r="B6" s="77">
        <f>SUM(B3-B5)</f>
        <v>-178.80799999999999</v>
      </c>
      <c r="C6" s="78">
        <f t="shared" ref="C6:J6" si="1">SUM(C3-C5)</f>
        <v>-122.80799999999999</v>
      </c>
      <c r="D6" s="63">
        <f t="shared" si="1"/>
        <v>-29.807999999999993</v>
      </c>
      <c r="E6" s="63">
        <f t="shared" si="1"/>
        <v>-97.807999999999993</v>
      </c>
      <c r="F6" s="78">
        <f t="shared" si="1"/>
        <v>-57.807999999999993</v>
      </c>
      <c r="G6" s="63">
        <f t="shared" si="1"/>
        <v>-39.807999999999993</v>
      </c>
      <c r="H6" s="78">
        <f t="shared" si="1"/>
        <v>-91.807999999999993</v>
      </c>
      <c r="I6" s="77">
        <f t="shared" si="1"/>
        <v>-222.80799999999999</v>
      </c>
      <c r="J6" s="77">
        <f t="shared" si="1"/>
        <v>-217.80799999999999</v>
      </c>
      <c r="L6" s="70" t="s">
        <v>129</v>
      </c>
      <c r="M6" s="73" t="s">
        <v>129</v>
      </c>
      <c r="N6" t="s">
        <v>107</v>
      </c>
      <c r="O6">
        <v>1</v>
      </c>
      <c r="P6">
        <f>SUM(3.2808*10)</f>
        <v>32.808</v>
      </c>
    </row>
    <row r="7" spans="1:16" x14ac:dyDescent="0.25">
      <c r="A7" s="65" t="s">
        <v>97</v>
      </c>
      <c r="B7" s="54">
        <f>SUM(B5/B3)*100</f>
        <v>185.14666666666665</v>
      </c>
      <c r="C7" s="54">
        <f t="shared" ref="C7:J7" si="2">SUM(C5/C3)*100</f>
        <v>143.70391459074733</v>
      </c>
      <c r="D7" s="54">
        <f t="shared" si="2"/>
        <v>106.47999999999999</v>
      </c>
      <c r="E7" s="54">
        <f t="shared" si="2"/>
        <v>120.46192468619246</v>
      </c>
      <c r="F7" s="54">
        <f t="shared" si="2"/>
        <v>109.46121112929623</v>
      </c>
      <c r="G7" s="54">
        <f t="shared" si="2"/>
        <v>106.78160136286201</v>
      </c>
      <c r="H7" s="54">
        <f t="shared" si="2"/>
        <v>122.3921951219512</v>
      </c>
      <c r="I7" s="54">
        <f t="shared" si="2"/>
        <v>232.62380952380951</v>
      </c>
      <c r="J7" s="54">
        <f t="shared" si="2"/>
        <v>234.44938271604937</v>
      </c>
      <c r="N7" t="s">
        <v>108</v>
      </c>
      <c r="O7">
        <v>32</v>
      </c>
      <c r="P7">
        <f>SUM(3.2808*10)</f>
        <v>32.808</v>
      </c>
    </row>
    <row r="8" spans="1:16" x14ac:dyDescent="0.25">
      <c r="A8" s="89" t="s">
        <v>155</v>
      </c>
      <c r="B8" s="58"/>
      <c r="C8" s="58"/>
      <c r="D8" s="58"/>
      <c r="E8" s="58"/>
      <c r="F8" s="58"/>
      <c r="G8" s="58"/>
      <c r="H8" s="58"/>
      <c r="I8" s="58"/>
      <c r="J8" s="58"/>
      <c r="N8" t="s">
        <v>109</v>
      </c>
      <c r="O8">
        <v>39</v>
      </c>
      <c r="P8">
        <f>SUM(3.2808*17)</f>
        <v>55.773600000000002</v>
      </c>
    </row>
    <row r="9" spans="1:16" x14ac:dyDescent="0.25">
      <c r="A9" s="65" t="s">
        <v>100</v>
      </c>
      <c r="B9" s="67">
        <v>1</v>
      </c>
      <c r="C9" s="57">
        <v>80</v>
      </c>
      <c r="D9" s="57">
        <v>160</v>
      </c>
      <c r="E9" s="57">
        <v>240</v>
      </c>
      <c r="F9" s="57">
        <v>320</v>
      </c>
      <c r="G9" s="57">
        <v>400</v>
      </c>
      <c r="H9" s="57">
        <v>480</v>
      </c>
      <c r="I9" s="57">
        <v>560</v>
      </c>
      <c r="J9" s="67">
        <v>631</v>
      </c>
      <c r="L9" t="s">
        <v>157</v>
      </c>
      <c r="N9" t="s">
        <v>110</v>
      </c>
      <c r="O9">
        <v>56</v>
      </c>
      <c r="P9">
        <f>+SUM(3.2808*20)</f>
        <v>65.616</v>
      </c>
    </row>
    <row r="10" spans="1:16" x14ac:dyDescent="0.25">
      <c r="A10" s="65" t="s">
        <v>95</v>
      </c>
      <c r="B10" s="54">
        <v>210</v>
      </c>
      <c r="C10" s="54">
        <v>281</v>
      </c>
      <c r="D10" s="54">
        <v>460</v>
      </c>
      <c r="E10" s="54">
        <v>478</v>
      </c>
      <c r="F10" s="54">
        <v>611</v>
      </c>
      <c r="G10" s="54">
        <v>587</v>
      </c>
      <c r="H10" s="54">
        <v>410</v>
      </c>
      <c r="I10" s="54">
        <v>168</v>
      </c>
      <c r="J10" s="54">
        <v>162</v>
      </c>
      <c r="L10" s="90">
        <v>10</v>
      </c>
      <c r="M10">
        <f>SUM(3.2808*L10)</f>
        <v>32.808</v>
      </c>
      <c r="N10" t="s">
        <v>111</v>
      </c>
      <c r="O10">
        <v>76</v>
      </c>
      <c r="P10">
        <f>SUM(3.2808*15)</f>
        <v>49.212000000000003</v>
      </c>
    </row>
    <row r="11" spans="1:16" x14ac:dyDescent="0.25">
      <c r="A11" s="65" t="s">
        <v>116</v>
      </c>
      <c r="B11" s="58">
        <v>305</v>
      </c>
      <c r="C11" s="58">
        <v>321</v>
      </c>
      <c r="D11" s="58">
        <v>405</v>
      </c>
      <c r="E11" s="58">
        <v>491</v>
      </c>
      <c r="F11" s="58">
        <v>584</v>
      </c>
      <c r="G11" s="58">
        <v>541</v>
      </c>
      <c r="H11" s="58">
        <v>350</v>
      </c>
      <c r="I11" s="58">
        <v>308</v>
      </c>
      <c r="J11" s="58">
        <v>295</v>
      </c>
      <c r="N11" t="s">
        <v>112</v>
      </c>
      <c r="O11">
        <v>91</v>
      </c>
      <c r="P11">
        <f>SUM(3.2808*9)</f>
        <v>29.527200000000001</v>
      </c>
    </row>
    <row r="12" spans="1:16" x14ac:dyDescent="0.25">
      <c r="A12" s="65" t="s">
        <v>115</v>
      </c>
      <c r="B12" s="54">
        <f>SUM(B11+$P$6)</f>
        <v>337.80799999999999</v>
      </c>
      <c r="C12" s="54">
        <f t="shared" ref="C12:J12" si="3">SUM(C11+$P$6)</f>
        <v>353.80799999999999</v>
      </c>
      <c r="D12" s="54">
        <f t="shared" si="3"/>
        <v>437.80799999999999</v>
      </c>
      <c r="E12" s="54">
        <f t="shared" si="3"/>
        <v>523.80799999999999</v>
      </c>
      <c r="F12" s="54">
        <f t="shared" si="3"/>
        <v>616.80799999999999</v>
      </c>
      <c r="G12" s="54">
        <f t="shared" si="3"/>
        <v>573.80799999999999</v>
      </c>
      <c r="H12" s="54">
        <f t="shared" si="3"/>
        <v>382.80799999999999</v>
      </c>
      <c r="I12" s="54">
        <f t="shared" si="3"/>
        <v>340.80799999999999</v>
      </c>
      <c r="J12" s="54">
        <f t="shared" si="3"/>
        <v>327.80799999999999</v>
      </c>
    </row>
    <row r="13" spans="1:16" x14ac:dyDescent="0.25">
      <c r="A13" s="65" t="s">
        <v>96</v>
      </c>
      <c r="B13" s="77">
        <f>SUM(B10-B12)</f>
        <v>-127.80799999999999</v>
      </c>
      <c r="C13" s="78">
        <f t="shared" ref="C13:J13" si="4">SUM(C10-C12)</f>
        <v>-72.807999999999993</v>
      </c>
      <c r="D13" s="62">
        <f t="shared" si="4"/>
        <v>22.192000000000007</v>
      </c>
      <c r="E13" s="62">
        <f t="shared" si="4"/>
        <v>-45.807999999999993</v>
      </c>
      <c r="F13" s="63">
        <f t="shared" si="4"/>
        <v>-5.8079999999999927</v>
      </c>
      <c r="G13" s="62">
        <f t="shared" si="4"/>
        <v>13.192000000000007</v>
      </c>
      <c r="H13" s="75">
        <f t="shared" si="4"/>
        <v>27.192000000000007</v>
      </c>
      <c r="I13" s="77">
        <f t="shared" si="4"/>
        <v>-172.80799999999999</v>
      </c>
      <c r="J13" s="77">
        <f t="shared" si="4"/>
        <v>-165.80799999999999</v>
      </c>
    </row>
    <row r="14" spans="1:16" x14ac:dyDescent="0.25">
      <c r="A14" s="65" t="s">
        <v>97</v>
      </c>
      <c r="B14" s="54">
        <f>SUM(B12/B10)*100</f>
        <v>160.86095238095237</v>
      </c>
      <c r="C14" s="54">
        <f t="shared" ref="C14:J14" si="5">SUM(C12/C10)*100</f>
        <v>125.91032028469751</v>
      </c>
      <c r="D14" s="54">
        <f t="shared" si="5"/>
        <v>95.175652173913036</v>
      </c>
      <c r="E14" s="54">
        <f t="shared" si="5"/>
        <v>109.58326359832635</v>
      </c>
      <c r="F14" s="54">
        <f t="shared" si="5"/>
        <v>100.9505728314239</v>
      </c>
      <c r="G14" s="54">
        <f t="shared" si="5"/>
        <v>97.7526405451448</v>
      </c>
      <c r="H14" s="54">
        <f t="shared" si="5"/>
        <v>93.367804878048773</v>
      </c>
      <c r="I14" s="54">
        <f t="shared" si="5"/>
        <v>202.86190476190478</v>
      </c>
      <c r="J14" s="54">
        <f t="shared" si="5"/>
        <v>202.35061728395061</v>
      </c>
    </row>
    <row r="16" spans="1:16" x14ac:dyDescent="0.25">
      <c r="A16" s="89" t="s">
        <v>156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3" x14ac:dyDescent="0.25">
      <c r="A17" s="65" t="s">
        <v>100</v>
      </c>
      <c r="B17" s="67">
        <v>1</v>
      </c>
      <c r="C17" s="57">
        <v>80</v>
      </c>
      <c r="D17" s="57">
        <v>160</v>
      </c>
      <c r="E17" s="57">
        <v>240</v>
      </c>
      <c r="F17" s="57">
        <v>320</v>
      </c>
      <c r="G17" s="57">
        <v>400</v>
      </c>
      <c r="H17" s="57">
        <v>480</v>
      </c>
      <c r="I17" s="57">
        <v>560</v>
      </c>
      <c r="J17" s="67">
        <v>631</v>
      </c>
      <c r="L17" t="s">
        <v>157</v>
      </c>
    </row>
    <row r="18" spans="1:13" x14ac:dyDescent="0.25">
      <c r="A18" s="65" t="s">
        <v>95</v>
      </c>
      <c r="B18" s="54">
        <v>210</v>
      </c>
      <c r="C18" s="54">
        <v>281</v>
      </c>
      <c r="D18" s="54">
        <v>460</v>
      </c>
      <c r="E18" s="54">
        <v>478</v>
      </c>
      <c r="F18" s="54">
        <v>603</v>
      </c>
      <c r="G18" s="54">
        <v>587</v>
      </c>
      <c r="H18" s="54">
        <v>410</v>
      </c>
      <c r="I18" s="54">
        <v>168</v>
      </c>
      <c r="J18" s="54">
        <v>162</v>
      </c>
      <c r="L18" s="90">
        <v>15</v>
      </c>
      <c r="M18">
        <f>SUM(3.2808*L18)</f>
        <v>49.212000000000003</v>
      </c>
    </row>
    <row r="19" spans="1:13" x14ac:dyDescent="0.25">
      <c r="A19" s="65" t="s">
        <v>116</v>
      </c>
      <c r="B19" s="58">
        <v>215</v>
      </c>
      <c r="C19" s="58">
        <v>241</v>
      </c>
      <c r="D19" s="58">
        <v>345</v>
      </c>
      <c r="E19" s="58">
        <v>454</v>
      </c>
      <c r="F19" s="58">
        <v>566</v>
      </c>
      <c r="G19" s="58">
        <v>517</v>
      </c>
      <c r="H19" s="58">
        <v>366</v>
      </c>
      <c r="I19" s="58">
        <v>221</v>
      </c>
      <c r="J19" s="58">
        <v>201</v>
      </c>
    </row>
    <row r="20" spans="1:13" x14ac:dyDescent="0.25">
      <c r="A20" s="65" t="s">
        <v>115</v>
      </c>
      <c r="B20" s="54">
        <f>SUM(B19+$M$18)</f>
        <v>264.21199999999999</v>
      </c>
      <c r="C20" s="54">
        <f t="shared" ref="C20:J20" si="6">SUM(C19+$M$18)</f>
        <v>290.21199999999999</v>
      </c>
      <c r="D20" s="54">
        <f t="shared" si="6"/>
        <v>394.21199999999999</v>
      </c>
      <c r="E20" s="54">
        <f t="shared" si="6"/>
        <v>503.21199999999999</v>
      </c>
      <c r="F20" s="54">
        <f t="shared" si="6"/>
        <v>615.21199999999999</v>
      </c>
      <c r="G20" s="54">
        <f t="shared" si="6"/>
        <v>566.21199999999999</v>
      </c>
      <c r="H20" s="54">
        <f t="shared" si="6"/>
        <v>415.21199999999999</v>
      </c>
      <c r="I20" s="54">
        <f t="shared" si="6"/>
        <v>270.21199999999999</v>
      </c>
      <c r="J20" s="54">
        <f t="shared" si="6"/>
        <v>250.21199999999999</v>
      </c>
    </row>
    <row r="21" spans="1:13" x14ac:dyDescent="0.25">
      <c r="A21" s="65" t="s">
        <v>96</v>
      </c>
      <c r="B21" s="74">
        <f>SUM(B18-B20)</f>
        <v>-54.211999999999989</v>
      </c>
      <c r="C21" s="78">
        <f t="shared" ref="C21:J21" si="7">SUM(C18-C20)</f>
        <v>-9.2119999999999891</v>
      </c>
      <c r="D21" s="79">
        <f t="shared" si="7"/>
        <v>65.788000000000011</v>
      </c>
      <c r="E21" s="75">
        <f t="shared" si="7"/>
        <v>-25.211999999999989</v>
      </c>
      <c r="F21" s="63">
        <f t="shared" si="7"/>
        <v>-12.211999999999989</v>
      </c>
      <c r="G21" s="75">
        <f t="shared" si="7"/>
        <v>20.788000000000011</v>
      </c>
      <c r="H21" s="75">
        <f t="shared" si="7"/>
        <v>-5.2119999999999891</v>
      </c>
      <c r="I21" s="91">
        <f t="shared" si="7"/>
        <v>-102.21199999999999</v>
      </c>
      <c r="J21" s="77">
        <f t="shared" si="7"/>
        <v>-88.211999999999989</v>
      </c>
    </row>
    <row r="22" spans="1:13" x14ac:dyDescent="0.25">
      <c r="A22" s="65" t="s">
        <v>97</v>
      </c>
      <c r="B22" s="54">
        <f>SUM(B20/B18)*100</f>
        <v>125.81523809523809</v>
      </c>
      <c r="C22" s="54">
        <f t="shared" ref="C22:J22" si="8">SUM(C20/C18)*100</f>
        <v>103.27829181494661</v>
      </c>
      <c r="D22" s="54">
        <f t="shared" si="8"/>
        <v>85.698260869565217</v>
      </c>
      <c r="E22" s="54">
        <f t="shared" si="8"/>
        <v>105.2744769874477</v>
      </c>
      <c r="F22" s="54">
        <f t="shared" si="8"/>
        <v>102.02520729684909</v>
      </c>
      <c r="G22" s="54">
        <f t="shared" si="8"/>
        <v>96.458603066439522</v>
      </c>
      <c r="H22" s="54">
        <f t="shared" si="8"/>
        <v>101.2712195121951</v>
      </c>
      <c r="I22" s="54">
        <f t="shared" si="8"/>
        <v>160.84047619047618</v>
      </c>
      <c r="J22" s="54">
        <f t="shared" si="8"/>
        <v>154.45185185185184</v>
      </c>
    </row>
    <row r="24" spans="1:13" x14ac:dyDescent="0.25">
      <c r="A24" s="93" t="s">
        <v>158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3" x14ac:dyDescent="0.25">
      <c r="A25" s="65" t="s">
        <v>100</v>
      </c>
      <c r="B25" s="67">
        <v>1</v>
      </c>
      <c r="C25" s="57">
        <v>80</v>
      </c>
      <c r="D25" s="57">
        <v>160</v>
      </c>
      <c r="E25" s="57">
        <v>240</v>
      </c>
      <c r="F25" s="57">
        <v>320</v>
      </c>
      <c r="G25" s="57">
        <v>400</v>
      </c>
      <c r="H25" s="57">
        <v>480</v>
      </c>
      <c r="I25" s="57">
        <v>560</v>
      </c>
      <c r="J25" s="67">
        <v>631</v>
      </c>
      <c r="L25" t="s">
        <v>157</v>
      </c>
    </row>
    <row r="26" spans="1:13" x14ac:dyDescent="0.25">
      <c r="A26" s="65" t="s">
        <v>95</v>
      </c>
      <c r="B26" s="54">
        <v>210</v>
      </c>
      <c r="C26" s="54">
        <v>281</v>
      </c>
      <c r="D26" s="54">
        <v>460</v>
      </c>
      <c r="E26" s="54">
        <v>478</v>
      </c>
      <c r="F26" s="54">
        <v>603</v>
      </c>
      <c r="G26" s="54">
        <v>587</v>
      </c>
      <c r="H26" s="54">
        <v>410</v>
      </c>
      <c r="I26" s="54">
        <v>168</v>
      </c>
      <c r="J26" s="54">
        <v>162</v>
      </c>
      <c r="L26" s="90">
        <v>20</v>
      </c>
      <c r="M26">
        <f>SUM(3.2808*L26)</f>
        <v>65.616</v>
      </c>
    </row>
    <row r="27" spans="1:13" x14ac:dyDescent="0.25">
      <c r="A27" s="65" t="s">
        <v>116</v>
      </c>
      <c r="B27" s="58">
        <v>135</v>
      </c>
      <c r="C27" s="58">
        <v>176</v>
      </c>
      <c r="D27" s="58">
        <v>301</v>
      </c>
      <c r="E27" s="58">
        <v>435</v>
      </c>
      <c r="F27" s="58">
        <v>567</v>
      </c>
      <c r="G27" s="58">
        <v>508</v>
      </c>
      <c r="H27" s="58">
        <v>327</v>
      </c>
      <c r="I27" s="58">
        <v>176</v>
      </c>
      <c r="J27" s="58">
        <v>116</v>
      </c>
    </row>
    <row r="28" spans="1:13" x14ac:dyDescent="0.25">
      <c r="A28" s="65" t="s">
        <v>115</v>
      </c>
      <c r="B28" s="54">
        <f>SUM(B27+$M$26)</f>
        <v>200.61599999999999</v>
      </c>
      <c r="C28" s="54">
        <f t="shared" ref="C28:J28" si="9">SUM(C27+$M$26)</f>
        <v>241.61599999999999</v>
      </c>
      <c r="D28" s="54">
        <f t="shared" si="9"/>
        <v>366.61599999999999</v>
      </c>
      <c r="E28" s="54">
        <f t="shared" si="9"/>
        <v>500.61599999999999</v>
      </c>
      <c r="F28" s="54">
        <f t="shared" si="9"/>
        <v>632.61599999999999</v>
      </c>
      <c r="G28" s="54">
        <f t="shared" si="9"/>
        <v>573.61599999999999</v>
      </c>
      <c r="H28" s="54">
        <f t="shared" si="9"/>
        <v>392.61599999999999</v>
      </c>
      <c r="I28" s="54">
        <f t="shared" si="9"/>
        <v>241.61599999999999</v>
      </c>
      <c r="J28" s="54">
        <f t="shared" si="9"/>
        <v>181.61599999999999</v>
      </c>
    </row>
    <row r="29" spans="1:13" x14ac:dyDescent="0.25">
      <c r="A29" s="65" t="s">
        <v>96</v>
      </c>
      <c r="B29" s="75">
        <f>SUM(B26-B28)</f>
        <v>9.3840000000000146</v>
      </c>
      <c r="C29" s="79">
        <f t="shared" ref="C29:J29" si="10">SUM(C26-C28)</f>
        <v>39.384000000000015</v>
      </c>
      <c r="D29" s="76">
        <f t="shared" si="10"/>
        <v>93.384000000000015</v>
      </c>
      <c r="E29" s="63">
        <f t="shared" si="10"/>
        <v>-22.615999999999985</v>
      </c>
      <c r="F29" s="63">
        <f t="shared" si="10"/>
        <v>-29.615999999999985</v>
      </c>
      <c r="G29" s="75">
        <f t="shared" si="10"/>
        <v>13.384000000000015</v>
      </c>
      <c r="H29" s="75">
        <f t="shared" si="10"/>
        <v>17.384000000000015</v>
      </c>
      <c r="I29" s="91">
        <f t="shared" si="10"/>
        <v>-73.615999999999985</v>
      </c>
      <c r="J29" s="63">
        <f t="shared" si="10"/>
        <v>-19.615999999999985</v>
      </c>
    </row>
    <row r="30" spans="1:13" x14ac:dyDescent="0.25">
      <c r="A30" s="65" t="s">
        <v>97</v>
      </c>
      <c r="B30" s="54">
        <f>SUM(B28/B26)*100</f>
        <v>95.531428571428563</v>
      </c>
      <c r="C30" s="54">
        <f t="shared" ref="C30:J30" si="11">SUM(C28/C26)*100</f>
        <v>85.984341637010672</v>
      </c>
      <c r="D30" s="54">
        <f t="shared" si="11"/>
        <v>79.699130434782603</v>
      </c>
      <c r="E30" s="54">
        <f t="shared" si="11"/>
        <v>104.73138075313808</v>
      </c>
      <c r="F30" s="54">
        <f t="shared" si="11"/>
        <v>104.91144278606966</v>
      </c>
      <c r="G30" s="54">
        <f t="shared" si="11"/>
        <v>97.719931856899493</v>
      </c>
      <c r="H30" s="54">
        <f t="shared" si="11"/>
        <v>95.76</v>
      </c>
      <c r="I30" s="54">
        <f t="shared" si="11"/>
        <v>143.81904761904761</v>
      </c>
      <c r="J30" s="54">
        <f t="shared" si="11"/>
        <v>112.10864197530863</v>
      </c>
    </row>
    <row r="32" spans="1:13" ht="30" x14ac:dyDescent="0.25">
      <c r="A32" s="93" t="s">
        <v>159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7" x14ac:dyDescent="0.25">
      <c r="A33" s="65" t="s">
        <v>100</v>
      </c>
      <c r="B33" s="67">
        <v>1</v>
      </c>
      <c r="C33" s="57">
        <v>80</v>
      </c>
      <c r="D33" s="57">
        <v>160</v>
      </c>
      <c r="E33" s="57">
        <v>240</v>
      </c>
      <c r="F33" s="57">
        <v>320</v>
      </c>
      <c r="G33" s="57">
        <v>400</v>
      </c>
      <c r="H33" s="57">
        <v>480</v>
      </c>
      <c r="I33" s="57">
        <v>560</v>
      </c>
      <c r="J33" s="67">
        <v>631</v>
      </c>
      <c r="L33" t="s">
        <v>157</v>
      </c>
    </row>
    <row r="34" spans="1:17" x14ac:dyDescent="0.25">
      <c r="A34" s="65" t="s">
        <v>95</v>
      </c>
      <c r="B34" s="54">
        <v>210</v>
      </c>
      <c r="C34" s="54">
        <v>281</v>
      </c>
      <c r="D34" s="54">
        <v>460</v>
      </c>
      <c r="E34" s="54">
        <v>478</v>
      </c>
      <c r="F34" s="54">
        <v>603</v>
      </c>
      <c r="G34" s="54">
        <v>587</v>
      </c>
      <c r="H34" s="54">
        <v>410</v>
      </c>
      <c r="I34" s="54">
        <v>168</v>
      </c>
      <c r="J34" s="54">
        <v>162</v>
      </c>
      <c r="L34" s="90">
        <v>20</v>
      </c>
      <c r="M34">
        <f>SUM(3.2808*L34)</f>
        <v>65.616</v>
      </c>
    </row>
    <row r="35" spans="1:17" x14ac:dyDescent="0.25">
      <c r="A35" s="65" t="s">
        <v>116</v>
      </c>
      <c r="B35" s="58">
        <v>207</v>
      </c>
      <c r="C35" s="58">
        <v>250</v>
      </c>
      <c r="D35" s="58">
        <v>367</v>
      </c>
      <c r="E35" s="58">
        <v>510</v>
      </c>
      <c r="F35" s="58">
        <v>639</v>
      </c>
      <c r="G35" s="58">
        <v>582</v>
      </c>
      <c r="H35" s="58">
        <v>399</v>
      </c>
      <c r="I35" s="58">
        <v>215</v>
      </c>
      <c r="J35" s="58">
        <v>189</v>
      </c>
    </row>
    <row r="36" spans="1:17" x14ac:dyDescent="0.25">
      <c r="A36" s="65" t="s">
        <v>115</v>
      </c>
      <c r="B36" s="54">
        <f>SUM(B35+$M$34)</f>
        <v>272.61599999999999</v>
      </c>
      <c r="C36" s="54">
        <f t="shared" ref="C36:J36" si="12">SUM(C35+$M$26)</f>
        <v>315.61599999999999</v>
      </c>
      <c r="D36" s="54">
        <f t="shared" si="12"/>
        <v>432.61599999999999</v>
      </c>
      <c r="E36" s="54">
        <f t="shared" si="12"/>
        <v>575.61599999999999</v>
      </c>
      <c r="F36" s="54">
        <f t="shared" si="12"/>
        <v>704.61599999999999</v>
      </c>
      <c r="G36" s="54">
        <f t="shared" si="12"/>
        <v>647.61599999999999</v>
      </c>
      <c r="H36" s="54">
        <f t="shared" si="12"/>
        <v>464.61599999999999</v>
      </c>
      <c r="I36" s="54">
        <f t="shared" si="12"/>
        <v>280.61599999999999</v>
      </c>
      <c r="J36" s="54">
        <f t="shared" si="12"/>
        <v>254.61599999999999</v>
      </c>
    </row>
    <row r="37" spans="1:17" x14ac:dyDescent="0.25">
      <c r="A37" s="65" t="s">
        <v>96</v>
      </c>
      <c r="B37" s="78">
        <f>SUM(B34-B36)</f>
        <v>-62.615999999999985</v>
      </c>
      <c r="C37" s="74">
        <f t="shared" ref="C37:J37" si="13">SUM(C34-C36)</f>
        <v>-34.615999999999985</v>
      </c>
      <c r="D37" s="76">
        <f t="shared" si="13"/>
        <v>27.384000000000015</v>
      </c>
      <c r="E37" s="74">
        <f t="shared" si="13"/>
        <v>-97.615999999999985</v>
      </c>
      <c r="F37" s="77">
        <f t="shared" si="13"/>
        <v>-101.61599999999999</v>
      </c>
      <c r="G37" s="78">
        <f t="shared" si="13"/>
        <v>-60.615999999999985</v>
      </c>
      <c r="H37" s="78">
        <f t="shared" si="13"/>
        <v>-54.615999999999985</v>
      </c>
      <c r="I37" s="77">
        <f t="shared" si="13"/>
        <v>-112.61599999999999</v>
      </c>
      <c r="J37" s="78">
        <f t="shared" si="13"/>
        <v>-92.615999999999985</v>
      </c>
    </row>
    <row r="38" spans="1:17" x14ac:dyDescent="0.25">
      <c r="A38" s="65" t="s">
        <v>97</v>
      </c>
      <c r="B38" s="54">
        <f>SUM(B36/B34)*100</f>
        <v>129.81714285714284</v>
      </c>
      <c r="C38" s="54">
        <f t="shared" ref="C38:J38" si="14">SUM(C36/C34)*100</f>
        <v>112.31886120996441</v>
      </c>
      <c r="D38" s="54">
        <f t="shared" si="14"/>
        <v>94.046956521739119</v>
      </c>
      <c r="E38" s="54">
        <f t="shared" si="14"/>
        <v>120.42175732217572</v>
      </c>
      <c r="F38" s="54">
        <f t="shared" si="14"/>
        <v>116.85174129353233</v>
      </c>
      <c r="G38" s="54">
        <f t="shared" si="14"/>
        <v>110.32640545144803</v>
      </c>
      <c r="H38" s="54">
        <f t="shared" si="14"/>
        <v>113.32097560975609</v>
      </c>
      <c r="I38" s="54">
        <f t="shared" si="14"/>
        <v>167.03333333333333</v>
      </c>
      <c r="J38" s="54">
        <f t="shared" si="14"/>
        <v>157.17037037037036</v>
      </c>
    </row>
    <row r="40" spans="1:17" ht="30" x14ac:dyDescent="0.25">
      <c r="A40" s="93" t="s">
        <v>160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7" x14ac:dyDescent="0.25">
      <c r="A41" s="65" t="s">
        <v>100</v>
      </c>
      <c r="B41" s="67">
        <v>1</v>
      </c>
      <c r="C41" s="57">
        <v>80</v>
      </c>
      <c r="D41" s="57">
        <v>160</v>
      </c>
      <c r="E41" s="57">
        <v>240</v>
      </c>
      <c r="F41" s="57">
        <v>320</v>
      </c>
      <c r="G41" s="57">
        <v>400</v>
      </c>
      <c r="H41" s="57">
        <v>480</v>
      </c>
      <c r="I41" s="57">
        <v>560</v>
      </c>
      <c r="J41" s="67">
        <v>631</v>
      </c>
      <c r="L41" t="s">
        <v>157</v>
      </c>
    </row>
    <row r="42" spans="1:17" x14ac:dyDescent="0.25">
      <c r="A42" s="65" t="s">
        <v>95</v>
      </c>
      <c r="B42" s="54">
        <v>210</v>
      </c>
      <c r="C42" s="54">
        <v>281</v>
      </c>
      <c r="D42" s="54">
        <v>460</v>
      </c>
      <c r="E42" s="54">
        <v>478</v>
      </c>
      <c r="F42" s="54">
        <v>611</v>
      </c>
      <c r="G42" s="54">
        <v>587</v>
      </c>
      <c r="H42" s="54">
        <v>410</v>
      </c>
      <c r="I42" s="54">
        <v>168</v>
      </c>
      <c r="J42" s="54">
        <v>162</v>
      </c>
      <c r="L42" s="90">
        <v>13</v>
      </c>
      <c r="M42">
        <f>SUM(3.2808*L42)</f>
        <v>42.650400000000005</v>
      </c>
    </row>
    <row r="43" spans="1:17" x14ac:dyDescent="0.25">
      <c r="A43" s="65" t="s">
        <v>116</v>
      </c>
      <c r="B43" s="58">
        <v>136</v>
      </c>
      <c r="C43" s="58">
        <v>85</v>
      </c>
      <c r="D43" s="58">
        <v>308</v>
      </c>
      <c r="E43" s="58">
        <v>510</v>
      </c>
      <c r="F43" s="58">
        <v>598</v>
      </c>
      <c r="G43" s="58">
        <v>582</v>
      </c>
      <c r="H43" s="58">
        <v>399</v>
      </c>
      <c r="I43" s="58">
        <v>215</v>
      </c>
      <c r="J43" s="58">
        <v>189</v>
      </c>
    </row>
    <row r="44" spans="1:17" x14ac:dyDescent="0.25">
      <c r="A44" s="65" t="s">
        <v>115</v>
      </c>
      <c r="B44" s="54">
        <f>SUM(B43+$M$42)</f>
        <v>178.65039999999999</v>
      </c>
      <c r="C44" s="54">
        <f t="shared" ref="C44:J44" si="15">SUM(C43+$M$42)</f>
        <v>127.6504</v>
      </c>
      <c r="D44" s="54">
        <f t="shared" si="15"/>
        <v>350.65039999999999</v>
      </c>
      <c r="E44" s="54">
        <f t="shared" si="15"/>
        <v>552.65039999999999</v>
      </c>
      <c r="F44" s="54">
        <f t="shared" si="15"/>
        <v>640.65039999999999</v>
      </c>
      <c r="G44" s="54">
        <f t="shared" si="15"/>
        <v>624.65039999999999</v>
      </c>
      <c r="H44" s="54">
        <f t="shared" si="15"/>
        <v>441.65039999999999</v>
      </c>
      <c r="I44" s="54">
        <f t="shared" si="15"/>
        <v>257.65039999999999</v>
      </c>
      <c r="J44" s="54">
        <f t="shared" si="15"/>
        <v>231.65039999999999</v>
      </c>
      <c r="N44" t="s">
        <v>118</v>
      </c>
      <c r="O44" s="58"/>
      <c r="P44" s="58"/>
      <c r="Q44" s="58"/>
    </row>
    <row r="45" spans="1:17" x14ac:dyDescent="0.25">
      <c r="A45" s="65" t="s">
        <v>96</v>
      </c>
      <c r="B45" s="79">
        <f>SUM(B42-B44)</f>
        <v>31.349600000000009</v>
      </c>
      <c r="C45" s="79">
        <f t="shared" ref="C45:J45" si="16">SUM(C42-C44)</f>
        <v>153.34960000000001</v>
      </c>
      <c r="D45" s="76">
        <f t="shared" si="16"/>
        <v>109.34960000000001</v>
      </c>
      <c r="E45" s="91">
        <f t="shared" si="16"/>
        <v>-74.650399999999991</v>
      </c>
      <c r="F45" s="77">
        <f t="shared" si="16"/>
        <v>-29.650399999999991</v>
      </c>
      <c r="G45" s="78">
        <f t="shared" si="16"/>
        <v>-37.650399999999991</v>
      </c>
      <c r="H45" s="78">
        <f t="shared" si="16"/>
        <v>-31.650399999999991</v>
      </c>
      <c r="I45" s="77">
        <f t="shared" si="16"/>
        <v>-89.650399999999991</v>
      </c>
      <c r="J45" s="78">
        <f t="shared" si="16"/>
        <v>-69.650399999999991</v>
      </c>
      <c r="N45" t="s">
        <v>119</v>
      </c>
      <c r="O45" s="58"/>
      <c r="P45" s="58"/>
      <c r="Q45" s="58"/>
    </row>
    <row r="46" spans="1:17" x14ac:dyDescent="0.25">
      <c r="A46" s="65" t="s">
        <v>97</v>
      </c>
      <c r="B46" s="54">
        <f>SUM(B44/B42)*100</f>
        <v>85.071619047619038</v>
      </c>
      <c r="C46" s="54">
        <f t="shared" ref="C46:J46" si="17">SUM(C44/C42)*100</f>
        <v>45.427188612099641</v>
      </c>
      <c r="D46" s="54">
        <f t="shared" si="17"/>
        <v>76.228347826086946</v>
      </c>
      <c r="E46" s="54">
        <f t="shared" si="17"/>
        <v>115.61723849372385</v>
      </c>
      <c r="F46" s="54">
        <f t="shared" si="17"/>
        <v>104.85276595744682</v>
      </c>
      <c r="G46" s="54">
        <f t="shared" si="17"/>
        <v>106.41403747870528</v>
      </c>
      <c r="H46" s="54">
        <f t="shared" si="17"/>
        <v>107.71960975609755</v>
      </c>
      <c r="I46" s="54">
        <f t="shared" si="17"/>
        <v>153.36333333333332</v>
      </c>
      <c r="J46" s="54">
        <f t="shared" si="17"/>
        <v>142.99407407407406</v>
      </c>
      <c r="N46" t="s">
        <v>121</v>
      </c>
      <c r="O46" s="58"/>
      <c r="P46" s="58"/>
      <c r="Q46" s="58"/>
    </row>
    <row r="47" spans="1:17" x14ac:dyDescent="0.25">
      <c r="N47" t="s">
        <v>120</v>
      </c>
    </row>
    <row r="48" spans="1:17" ht="30" x14ac:dyDescent="0.25">
      <c r="A48" s="93" t="s">
        <v>161</v>
      </c>
      <c r="B48" s="58">
        <v>0</v>
      </c>
      <c r="C48" s="58">
        <v>2000</v>
      </c>
      <c r="D48" s="58">
        <v>4000</v>
      </c>
      <c r="E48" s="58">
        <v>5000</v>
      </c>
      <c r="F48" s="58">
        <v>6000</v>
      </c>
      <c r="G48" s="58">
        <v>8000</v>
      </c>
      <c r="H48" s="58">
        <v>10000</v>
      </c>
      <c r="I48" s="58">
        <v>12000</v>
      </c>
      <c r="J48" s="58">
        <v>14000</v>
      </c>
      <c r="K48" s="58">
        <v>15750</v>
      </c>
    </row>
    <row r="49" spans="1:28" x14ac:dyDescent="0.25">
      <c r="A49" s="65" t="s">
        <v>100</v>
      </c>
      <c r="B49" s="67">
        <v>1</v>
      </c>
      <c r="C49" s="57">
        <v>80</v>
      </c>
      <c r="D49" s="94">
        <v>160</v>
      </c>
      <c r="E49" s="35">
        <v>200</v>
      </c>
      <c r="F49" s="97">
        <v>240</v>
      </c>
      <c r="G49" s="57">
        <v>320</v>
      </c>
      <c r="H49" s="57">
        <v>400</v>
      </c>
      <c r="I49" s="57">
        <v>480</v>
      </c>
      <c r="J49" s="57">
        <v>560</v>
      </c>
      <c r="K49" s="67">
        <v>631</v>
      </c>
      <c r="L49" t="s">
        <v>157</v>
      </c>
    </row>
    <row r="50" spans="1:28" ht="19.5" customHeight="1" x14ac:dyDescent="0.25">
      <c r="A50" s="65" t="s">
        <v>95</v>
      </c>
      <c r="B50" s="54">
        <v>210</v>
      </c>
      <c r="C50" s="54">
        <v>281</v>
      </c>
      <c r="D50" s="95">
        <v>460</v>
      </c>
      <c r="E50" s="100">
        <v>503</v>
      </c>
      <c r="F50" s="98">
        <v>478</v>
      </c>
      <c r="G50" s="54">
        <v>611</v>
      </c>
      <c r="H50" s="54">
        <v>587</v>
      </c>
      <c r="I50" s="54">
        <v>410</v>
      </c>
      <c r="J50" s="54">
        <v>168</v>
      </c>
      <c r="K50" s="54">
        <v>162</v>
      </c>
      <c r="L50" s="90">
        <v>11</v>
      </c>
      <c r="M50">
        <f>SUM(3.2808*L50)</f>
        <v>36.088799999999999</v>
      </c>
      <c r="P50" s="147" t="s">
        <v>123</v>
      </c>
      <c r="Q50" s="148"/>
      <c r="R50" s="138" t="s">
        <v>127</v>
      </c>
      <c r="S50" s="139"/>
      <c r="T50" s="140"/>
      <c r="U50" s="92"/>
      <c r="V50" s="92"/>
      <c r="W50" s="92"/>
      <c r="X50" s="92"/>
      <c r="Y50" s="92"/>
      <c r="Z50" s="92"/>
      <c r="AA50" s="92"/>
      <c r="AB50" s="92"/>
    </row>
    <row r="51" spans="1:28" ht="15.75" customHeight="1" x14ac:dyDescent="0.25">
      <c r="A51" s="65" t="s">
        <v>116</v>
      </c>
      <c r="B51" s="58">
        <v>141</v>
      </c>
      <c r="C51" s="58">
        <v>183</v>
      </c>
      <c r="D51" s="58">
        <v>305</v>
      </c>
      <c r="E51" s="35">
        <v>381</v>
      </c>
      <c r="F51" s="58">
        <v>452</v>
      </c>
      <c r="G51" s="58">
        <v>586</v>
      </c>
      <c r="H51" s="58">
        <v>528</v>
      </c>
      <c r="I51" s="58">
        <v>341</v>
      </c>
      <c r="J51" s="58">
        <v>150</v>
      </c>
      <c r="K51" s="58">
        <v>118</v>
      </c>
      <c r="P51" s="147"/>
      <c r="Q51" s="148"/>
      <c r="R51" s="141"/>
      <c r="S51" s="142"/>
      <c r="T51" s="143"/>
      <c r="U51" s="92"/>
      <c r="V51" s="92"/>
      <c r="W51" s="92"/>
      <c r="X51" s="92"/>
      <c r="Y51" s="92"/>
      <c r="Z51" s="92"/>
      <c r="AA51" s="92"/>
      <c r="AB51" s="92"/>
    </row>
    <row r="52" spans="1:28" ht="15.75" customHeight="1" x14ac:dyDescent="0.25">
      <c r="A52" s="65" t="s">
        <v>115</v>
      </c>
      <c r="B52" s="54">
        <f>SUM(B51+$M$50)</f>
        <v>177.08879999999999</v>
      </c>
      <c r="C52" s="54">
        <f t="shared" ref="C52:K52" si="18">SUM(C51+$M$50)</f>
        <v>219.08879999999999</v>
      </c>
      <c r="D52" s="95">
        <f t="shared" si="18"/>
        <v>341.08879999999999</v>
      </c>
      <c r="E52" s="54">
        <f t="shared" si="18"/>
        <v>417.08879999999999</v>
      </c>
      <c r="F52" s="98">
        <f t="shared" si="18"/>
        <v>488.08879999999999</v>
      </c>
      <c r="G52" s="54">
        <f t="shared" si="18"/>
        <v>622.08879999999999</v>
      </c>
      <c r="H52" s="54">
        <f t="shared" si="18"/>
        <v>564.08879999999999</v>
      </c>
      <c r="I52" s="54">
        <f t="shared" si="18"/>
        <v>377.08879999999999</v>
      </c>
      <c r="J52" s="54">
        <f t="shared" si="18"/>
        <v>186.08879999999999</v>
      </c>
      <c r="K52" s="54">
        <f t="shared" si="18"/>
        <v>154.08879999999999</v>
      </c>
      <c r="P52" s="147"/>
      <c r="Q52" s="148"/>
      <c r="R52" s="141"/>
      <c r="S52" s="142"/>
      <c r="T52" s="143"/>
      <c r="U52" s="92"/>
      <c r="V52" s="92"/>
      <c r="W52" s="92"/>
      <c r="X52" s="92"/>
      <c r="Y52" s="92"/>
      <c r="Z52" s="92"/>
      <c r="AA52" s="92"/>
      <c r="AB52" s="92"/>
    </row>
    <row r="53" spans="1:28" ht="15.75" customHeight="1" x14ac:dyDescent="0.25">
      <c r="A53" s="65" t="s">
        <v>96</v>
      </c>
      <c r="B53" s="79">
        <f>SUM(B50-B52)</f>
        <v>32.911200000000008</v>
      </c>
      <c r="C53" s="79">
        <f>SUM(C50-C52)</f>
        <v>61.911200000000008</v>
      </c>
      <c r="D53" s="96">
        <f>SUM(D50-D52)</f>
        <v>118.91120000000001</v>
      </c>
      <c r="E53" s="101">
        <f>SUM(E50-E52)</f>
        <v>85.911200000000008</v>
      </c>
      <c r="F53" s="99">
        <f t="shared" ref="F53:K53" si="19">SUM(F50-F52)</f>
        <v>-10.088799999999992</v>
      </c>
      <c r="G53" s="63">
        <f t="shared" si="19"/>
        <v>-11.088799999999992</v>
      </c>
      <c r="H53" s="63">
        <f t="shared" si="19"/>
        <v>22.911200000000008</v>
      </c>
      <c r="I53" s="75">
        <f t="shared" si="19"/>
        <v>32.911200000000008</v>
      </c>
      <c r="J53" s="63">
        <f t="shared" si="19"/>
        <v>-18.088799999999992</v>
      </c>
      <c r="K53" s="63">
        <f t="shared" si="19"/>
        <v>7.911200000000008</v>
      </c>
      <c r="P53" s="147"/>
      <c r="Q53" s="148"/>
      <c r="R53" s="141"/>
      <c r="S53" s="142"/>
      <c r="T53" s="143"/>
      <c r="U53" s="92"/>
      <c r="V53" s="92"/>
      <c r="W53" s="92"/>
      <c r="X53" s="92"/>
      <c r="Y53" s="92"/>
      <c r="Z53" s="92"/>
      <c r="AA53" s="92"/>
      <c r="AB53" s="92"/>
    </row>
    <row r="54" spans="1:28" ht="15" customHeight="1" x14ac:dyDescent="0.25">
      <c r="A54" s="65" t="s">
        <v>97</v>
      </c>
      <c r="B54" s="54">
        <f>SUM(B52/B50)*100</f>
        <v>84.327999999999989</v>
      </c>
      <c r="C54" s="54">
        <f>SUM(C52/C50)*100</f>
        <v>77.967544483985762</v>
      </c>
      <c r="D54" s="95">
        <f>SUM(D52/D50)*100</f>
        <v>74.149739130434781</v>
      </c>
      <c r="E54" s="95">
        <f>SUM(E52/E50)*100</f>
        <v>82.920238568588474</v>
      </c>
      <c r="F54" s="98">
        <f t="shared" ref="F54:K54" si="20">SUM(F52/F50)*100</f>
        <v>102.11062761506275</v>
      </c>
      <c r="G54" s="54">
        <f t="shared" si="20"/>
        <v>101.81486088379705</v>
      </c>
      <c r="H54" s="54">
        <f t="shared" si="20"/>
        <v>96.096899488926752</v>
      </c>
      <c r="I54" s="54">
        <f t="shared" si="20"/>
        <v>91.972878048780487</v>
      </c>
      <c r="J54" s="54">
        <f t="shared" si="20"/>
        <v>110.76714285714284</v>
      </c>
      <c r="K54" s="54">
        <f t="shared" si="20"/>
        <v>95.116543209876539</v>
      </c>
      <c r="P54" s="147" t="s">
        <v>124</v>
      </c>
      <c r="Q54" s="148"/>
      <c r="R54" s="144"/>
      <c r="S54" s="145"/>
      <c r="T54" s="146"/>
      <c r="U54" s="92"/>
      <c r="V54" s="92"/>
      <c r="W54" s="92"/>
      <c r="X54" s="92"/>
      <c r="Y54" s="92"/>
      <c r="Z54" s="92"/>
      <c r="AA54" s="92"/>
      <c r="AB54" s="92"/>
    </row>
    <row r="55" spans="1:28" ht="15" customHeight="1" x14ac:dyDescent="0.25">
      <c r="A55" s="89" t="s">
        <v>178</v>
      </c>
      <c r="P55" s="150" t="s">
        <v>125</v>
      </c>
      <c r="Q55" s="151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</row>
    <row r="56" spans="1:28" ht="15" customHeight="1" x14ac:dyDescent="0.25">
      <c r="A56" s="65" t="s">
        <v>100</v>
      </c>
      <c r="B56" s="67">
        <v>1</v>
      </c>
      <c r="C56" s="57">
        <v>80</v>
      </c>
      <c r="D56" s="94">
        <v>160</v>
      </c>
      <c r="E56" s="35">
        <v>200</v>
      </c>
      <c r="F56" s="97">
        <v>240</v>
      </c>
      <c r="G56" s="57">
        <v>320</v>
      </c>
      <c r="H56" s="57">
        <v>400</v>
      </c>
      <c r="I56" s="57">
        <v>480</v>
      </c>
      <c r="J56" s="57">
        <v>560</v>
      </c>
      <c r="K56" s="67">
        <v>631</v>
      </c>
      <c r="P56" s="150"/>
      <c r="Q56" s="151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</row>
    <row r="57" spans="1:28" ht="15" customHeight="1" x14ac:dyDescent="0.25">
      <c r="A57" s="65" t="s">
        <v>95</v>
      </c>
      <c r="B57" s="54">
        <v>210</v>
      </c>
      <c r="C57" s="54">
        <v>281</v>
      </c>
      <c r="D57" s="95">
        <v>460</v>
      </c>
      <c r="E57" s="100">
        <v>503</v>
      </c>
      <c r="F57" s="98">
        <v>478</v>
      </c>
      <c r="G57" s="54">
        <v>611</v>
      </c>
      <c r="H57" s="54">
        <v>587</v>
      </c>
      <c r="I57" s="54">
        <v>410</v>
      </c>
      <c r="J57" s="54">
        <v>168</v>
      </c>
      <c r="K57" s="54">
        <v>162</v>
      </c>
      <c r="L57" s="90">
        <v>12</v>
      </c>
      <c r="M57">
        <f>SUM(3.2808*L57)</f>
        <v>39.369600000000005</v>
      </c>
      <c r="P57" s="150"/>
      <c r="Q57" s="151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</row>
    <row r="58" spans="1:28" ht="15" customHeight="1" x14ac:dyDescent="0.25">
      <c r="A58" s="65" t="s">
        <v>116</v>
      </c>
      <c r="B58" s="58">
        <v>200</v>
      </c>
      <c r="C58" s="58">
        <v>243</v>
      </c>
      <c r="D58" s="58">
        <v>398</v>
      </c>
      <c r="E58" s="35">
        <v>452</v>
      </c>
      <c r="F58" s="58">
        <v>494</v>
      </c>
      <c r="G58" s="58">
        <v>544</v>
      </c>
      <c r="H58" s="58">
        <v>517</v>
      </c>
      <c r="I58" s="58">
        <v>327</v>
      </c>
      <c r="J58" s="58">
        <v>188</v>
      </c>
      <c r="K58" s="58">
        <v>180</v>
      </c>
      <c r="P58" s="150"/>
      <c r="Q58" s="151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</row>
    <row r="59" spans="1:28" ht="15" customHeight="1" x14ac:dyDescent="0.25">
      <c r="A59" s="65" t="s">
        <v>115</v>
      </c>
      <c r="B59" s="54">
        <f>SUM(B58+$M$57)</f>
        <v>239.36959999999999</v>
      </c>
      <c r="C59" s="54">
        <f t="shared" ref="C59:K59" si="21">SUM(C58+$M$50)</f>
        <v>279.08879999999999</v>
      </c>
      <c r="D59" s="95">
        <f t="shared" si="21"/>
        <v>434.08879999999999</v>
      </c>
      <c r="E59" s="54">
        <f t="shared" si="21"/>
        <v>488.08879999999999</v>
      </c>
      <c r="F59" s="98">
        <f t="shared" si="21"/>
        <v>530.08879999999999</v>
      </c>
      <c r="G59" s="54">
        <f t="shared" si="21"/>
        <v>580.08879999999999</v>
      </c>
      <c r="H59" s="54">
        <f t="shared" si="21"/>
        <v>553.08879999999999</v>
      </c>
      <c r="I59" s="54">
        <f t="shared" si="21"/>
        <v>363.08879999999999</v>
      </c>
      <c r="J59" s="54">
        <f t="shared" si="21"/>
        <v>224.08879999999999</v>
      </c>
      <c r="K59" s="54">
        <f t="shared" si="21"/>
        <v>216.08879999999999</v>
      </c>
      <c r="P59" s="150"/>
      <c r="Q59" s="151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</row>
    <row r="60" spans="1:28" ht="15" customHeight="1" x14ac:dyDescent="0.25">
      <c r="A60" s="65" t="s">
        <v>96</v>
      </c>
      <c r="B60" s="74">
        <f t="shared" ref="B60:K60" si="22">SUM(B57-B59)</f>
        <v>-29.369599999999991</v>
      </c>
      <c r="C60" s="62">
        <f t="shared" si="22"/>
        <v>1.911200000000008</v>
      </c>
      <c r="D60" s="108">
        <f t="shared" si="22"/>
        <v>25.911200000000008</v>
      </c>
      <c r="E60" s="107">
        <f t="shared" si="22"/>
        <v>14.911200000000008</v>
      </c>
      <c r="F60" s="109">
        <f t="shared" si="22"/>
        <v>-52.088799999999992</v>
      </c>
      <c r="G60" s="75">
        <f t="shared" si="22"/>
        <v>30.911200000000008</v>
      </c>
      <c r="H60" s="75">
        <f t="shared" si="22"/>
        <v>33.911200000000008</v>
      </c>
      <c r="I60" s="75">
        <f t="shared" si="22"/>
        <v>46.911200000000008</v>
      </c>
      <c r="J60" s="78">
        <f t="shared" si="22"/>
        <v>-56.088799999999992</v>
      </c>
      <c r="K60" s="78">
        <f t="shared" si="22"/>
        <v>-54.088799999999992</v>
      </c>
      <c r="P60" s="150"/>
      <c r="Q60" s="151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</row>
    <row r="61" spans="1:28" ht="15" customHeight="1" x14ac:dyDescent="0.25">
      <c r="A61" s="65" t="s">
        <v>97</v>
      </c>
      <c r="B61" s="54">
        <f>SUM(B59/B57)*100</f>
        <v>113.9855238095238</v>
      </c>
      <c r="C61" s="54">
        <f>SUM(C59/C57)*100</f>
        <v>99.319857651245542</v>
      </c>
      <c r="D61" s="95">
        <f>SUM(D59/D57)*100</f>
        <v>94.367130434782609</v>
      </c>
      <c r="E61" s="95">
        <f>SUM(E59/E57)*100</f>
        <v>97.035546719681903</v>
      </c>
      <c r="F61" s="98">
        <f t="shared" ref="F61:K61" si="23">SUM(F59/F57)*100</f>
        <v>110.89723849372383</v>
      </c>
      <c r="G61" s="54">
        <f t="shared" si="23"/>
        <v>94.940883797054013</v>
      </c>
      <c r="H61" s="54">
        <f t="shared" si="23"/>
        <v>94.222964224872229</v>
      </c>
      <c r="I61" s="54">
        <f t="shared" si="23"/>
        <v>88.558243902439031</v>
      </c>
      <c r="J61" s="54">
        <f t="shared" si="23"/>
        <v>133.38619047619048</v>
      </c>
      <c r="K61" s="54">
        <f t="shared" si="23"/>
        <v>133.38814814814813</v>
      </c>
      <c r="P61" s="150"/>
      <c r="Q61" s="151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</row>
    <row r="62" spans="1:28" x14ac:dyDescent="0.25">
      <c r="A62" s="89" t="s">
        <v>181</v>
      </c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</row>
    <row r="63" spans="1:28" x14ac:dyDescent="0.25">
      <c r="A63" s="65" t="s">
        <v>100</v>
      </c>
      <c r="B63" s="67">
        <v>1</v>
      </c>
      <c r="C63" s="57">
        <v>80</v>
      </c>
      <c r="D63" s="94">
        <v>160</v>
      </c>
      <c r="E63" s="35">
        <v>200</v>
      </c>
      <c r="F63" s="97">
        <v>240</v>
      </c>
      <c r="G63" s="57">
        <v>320</v>
      </c>
      <c r="H63" s="57">
        <v>400</v>
      </c>
      <c r="I63" s="57">
        <v>480</v>
      </c>
      <c r="J63" s="57">
        <v>560</v>
      </c>
      <c r="K63" s="67">
        <v>631</v>
      </c>
    </row>
    <row r="64" spans="1:28" x14ac:dyDescent="0.25">
      <c r="A64" s="65" t="s">
        <v>95</v>
      </c>
      <c r="B64" s="54">
        <v>210</v>
      </c>
      <c r="C64" s="54">
        <v>281</v>
      </c>
      <c r="D64" s="95">
        <v>460</v>
      </c>
      <c r="E64" s="100">
        <v>503</v>
      </c>
      <c r="F64" s="98">
        <v>478</v>
      </c>
      <c r="G64" s="54">
        <v>611</v>
      </c>
      <c r="H64" s="54">
        <v>587</v>
      </c>
      <c r="I64" s="54">
        <v>410</v>
      </c>
      <c r="J64" s="54">
        <v>168</v>
      </c>
      <c r="K64" s="54">
        <v>162</v>
      </c>
      <c r="L64" s="90">
        <v>12</v>
      </c>
      <c r="M64">
        <f>SUM(3.2808*L64)</f>
        <v>39.369600000000005</v>
      </c>
    </row>
    <row r="65" spans="1:11" x14ac:dyDescent="0.25">
      <c r="A65" s="65" t="s">
        <v>116</v>
      </c>
      <c r="B65" s="58">
        <v>344</v>
      </c>
      <c r="C65" s="58">
        <v>381</v>
      </c>
      <c r="D65" s="58">
        <v>545</v>
      </c>
      <c r="E65" s="35">
        <v>545</v>
      </c>
      <c r="F65" s="58">
        <v>646</v>
      </c>
      <c r="G65" s="58">
        <v>506</v>
      </c>
      <c r="H65" s="58">
        <v>517</v>
      </c>
      <c r="I65" s="58">
        <v>279</v>
      </c>
      <c r="J65" s="58">
        <v>188</v>
      </c>
      <c r="K65" s="58">
        <v>180</v>
      </c>
    </row>
    <row r="66" spans="1:11" x14ac:dyDescent="0.25">
      <c r="A66" s="65" t="s">
        <v>115</v>
      </c>
      <c r="B66" s="54">
        <f>SUM(B65+$M$57)</f>
        <v>383.36959999999999</v>
      </c>
      <c r="C66" s="54">
        <f t="shared" ref="C66:K66" si="24">SUM(C65+$M$50)</f>
        <v>417.08879999999999</v>
      </c>
      <c r="D66" s="95">
        <f t="shared" si="24"/>
        <v>581.08879999999999</v>
      </c>
      <c r="E66" s="54">
        <f t="shared" si="24"/>
        <v>581.08879999999999</v>
      </c>
      <c r="F66" s="98">
        <f t="shared" si="24"/>
        <v>682.08879999999999</v>
      </c>
      <c r="G66" s="54">
        <f t="shared" si="24"/>
        <v>542.08879999999999</v>
      </c>
      <c r="H66" s="54">
        <f t="shared" si="24"/>
        <v>553.08879999999999</v>
      </c>
      <c r="I66" s="54">
        <f t="shared" si="24"/>
        <v>315.08879999999999</v>
      </c>
      <c r="J66" s="54">
        <f t="shared" si="24"/>
        <v>224.08879999999999</v>
      </c>
      <c r="K66" s="54">
        <f t="shared" si="24"/>
        <v>216.08879999999999</v>
      </c>
    </row>
    <row r="67" spans="1:11" x14ac:dyDescent="0.25">
      <c r="A67" s="65" t="s">
        <v>96</v>
      </c>
      <c r="B67" s="77">
        <f t="shared" ref="B67:K67" si="25">SUM(B64-B66)</f>
        <v>-173.36959999999999</v>
      </c>
      <c r="C67" s="77">
        <f t="shared" si="25"/>
        <v>-136.08879999999999</v>
      </c>
      <c r="D67" s="113">
        <f t="shared" si="25"/>
        <v>-121.08879999999999</v>
      </c>
      <c r="E67" s="113">
        <f t="shared" si="25"/>
        <v>-78.088799999999992</v>
      </c>
      <c r="F67" s="114">
        <f t="shared" si="25"/>
        <v>-204.08879999999999</v>
      </c>
      <c r="G67" s="75">
        <f t="shared" si="25"/>
        <v>68.911200000000008</v>
      </c>
      <c r="H67" s="75">
        <f t="shared" si="25"/>
        <v>33.911200000000008</v>
      </c>
      <c r="I67" s="75">
        <f t="shared" si="25"/>
        <v>94.911200000000008</v>
      </c>
      <c r="J67" s="78">
        <f t="shared" si="25"/>
        <v>-56.088799999999992</v>
      </c>
      <c r="K67" s="78">
        <f t="shared" si="25"/>
        <v>-54.088799999999992</v>
      </c>
    </row>
    <row r="68" spans="1:11" x14ac:dyDescent="0.25">
      <c r="A68" s="65" t="s">
        <v>97</v>
      </c>
      <c r="B68" s="54">
        <f>SUM(B66/B64)*100</f>
        <v>182.55695238095237</v>
      </c>
      <c r="C68" s="54">
        <f>SUM(C66/C64)*100</f>
        <v>148.43017793594305</v>
      </c>
      <c r="D68" s="95">
        <f>SUM(D66/D64)*100</f>
        <v>126.32365217391303</v>
      </c>
      <c r="E68" s="95">
        <f>SUM(E66/E64)*100</f>
        <v>115.52461232604374</v>
      </c>
      <c r="F68" s="98">
        <f t="shared" ref="F68:K68" si="26">SUM(F66/F64)*100</f>
        <v>142.69640167364017</v>
      </c>
      <c r="G68" s="54">
        <f t="shared" si="26"/>
        <v>88.721571194762689</v>
      </c>
      <c r="H68" s="54">
        <f t="shared" si="26"/>
        <v>94.222964224872229</v>
      </c>
      <c r="I68" s="54">
        <f t="shared" si="26"/>
        <v>76.850926829268289</v>
      </c>
      <c r="J68" s="54">
        <f t="shared" si="26"/>
        <v>133.38619047619048</v>
      </c>
      <c r="K68" s="54">
        <f t="shared" si="26"/>
        <v>133.38814814814813</v>
      </c>
    </row>
  </sheetData>
  <mergeCells count="4">
    <mergeCell ref="P50:Q53"/>
    <mergeCell ref="R50:T54"/>
    <mergeCell ref="P55:Q61"/>
    <mergeCell ref="P54:Q5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4"/>
  <sheetViews>
    <sheetView zoomScale="95" zoomScaleNormal="95" workbookViewId="0">
      <selection activeCell="E6" sqref="E6"/>
    </sheetView>
  </sheetViews>
  <sheetFormatPr defaultRowHeight="15" x14ac:dyDescent="0.25"/>
  <cols>
    <col min="1" max="1" width="28.42578125" customWidth="1"/>
    <col min="14" max="14" width="19.140625" customWidth="1"/>
    <col min="15" max="15" width="14" customWidth="1"/>
    <col min="16" max="16" width="31.42578125" customWidth="1"/>
  </cols>
  <sheetData>
    <row r="1" spans="1:18" x14ac:dyDescent="0.25">
      <c r="A1" s="111" t="s">
        <v>186</v>
      </c>
      <c r="B1" s="58"/>
      <c r="C1" s="58"/>
      <c r="D1" s="58"/>
      <c r="E1" s="58"/>
      <c r="F1" s="58"/>
      <c r="G1" s="58"/>
      <c r="H1" s="58"/>
      <c r="I1" s="58"/>
      <c r="J1" s="58"/>
    </row>
    <row r="2" spans="1:18" x14ac:dyDescent="0.25">
      <c r="A2" s="65" t="s">
        <v>100</v>
      </c>
      <c r="B2" s="67">
        <v>1</v>
      </c>
      <c r="C2" s="57">
        <v>80</v>
      </c>
      <c r="D2" s="94">
        <v>160</v>
      </c>
      <c r="E2" s="35">
        <v>200</v>
      </c>
      <c r="F2" s="97">
        <v>240</v>
      </c>
      <c r="G2" s="57">
        <v>320</v>
      </c>
      <c r="H2" s="57">
        <v>400</v>
      </c>
      <c r="I2" s="57">
        <v>480</v>
      </c>
      <c r="J2" s="57">
        <v>560</v>
      </c>
      <c r="K2" s="67">
        <v>631</v>
      </c>
      <c r="L2" t="s">
        <v>157</v>
      </c>
      <c r="N2" s="61" t="s">
        <v>44</v>
      </c>
      <c r="O2" s="60" t="s">
        <v>45</v>
      </c>
      <c r="P2" s="52" t="s">
        <v>126</v>
      </c>
    </row>
    <row r="3" spans="1:18" x14ac:dyDescent="0.25">
      <c r="A3" s="65" t="s">
        <v>95</v>
      </c>
      <c r="B3" s="54">
        <v>210</v>
      </c>
      <c r="C3" s="54">
        <v>281</v>
      </c>
      <c r="D3" s="95">
        <v>460</v>
      </c>
      <c r="E3" s="100">
        <v>503</v>
      </c>
      <c r="F3" s="98">
        <v>478</v>
      </c>
      <c r="G3" s="54">
        <v>611</v>
      </c>
      <c r="H3" s="54">
        <v>587</v>
      </c>
      <c r="I3" s="54">
        <v>410</v>
      </c>
      <c r="J3" s="54">
        <v>168</v>
      </c>
      <c r="K3" s="54">
        <v>162</v>
      </c>
      <c r="L3" s="90">
        <v>11</v>
      </c>
      <c r="M3">
        <f>SUM(3.2808*L3)</f>
        <v>36.088799999999999</v>
      </c>
      <c r="N3" s="59">
        <v>25</v>
      </c>
      <c r="O3" s="60" t="s">
        <v>128</v>
      </c>
      <c r="P3" s="48" t="s">
        <v>105</v>
      </c>
    </row>
    <row r="4" spans="1:18" x14ac:dyDescent="0.25">
      <c r="A4" s="65" t="s">
        <v>116</v>
      </c>
      <c r="B4" s="58">
        <v>141</v>
      </c>
      <c r="C4" s="58">
        <v>183</v>
      </c>
      <c r="D4" s="58">
        <v>305</v>
      </c>
      <c r="E4" s="35">
        <v>381</v>
      </c>
      <c r="F4" s="58">
        <v>452</v>
      </c>
      <c r="G4" s="58">
        <v>586</v>
      </c>
      <c r="H4" s="58">
        <v>528</v>
      </c>
      <c r="I4" s="58">
        <v>341</v>
      </c>
      <c r="J4" s="58">
        <v>150</v>
      </c>
      <c r="K4" s="58">
        <v>118</v>
      </c>
      <c r="N4" s="68">
        <v>50</v>
      </c>
      <c r="O4" s="71">
        <v>50</v>
      </c>
    </row>
    <row r="5" spans="1:18" x14ac:dyDescent="0.25">
      <c r="A5" s="65" t="s">
        <v>115</v>
      </c>
      <c r="B5" s="54">
        <f>SUM(B4+$M$50)</f>
        <v>173.80799999999999</v>
      </c>
      <c r="C5" s="54">
        <f t="shared" ref="C5:K5" si="0">SUM(C4+$M$50)</f>
        <v>215.80799999999999</v>
      </c>
      <c r="D5" s="95">
        <f t="shared" si="0"/>
        <v>337.80799999999999</v>
      </c>
      <c r="E5" s="54">
        <f t="shared" si="0"/>
        <v>413.80799999999999</v>
      </c>
      <c r="F5" s="98">
        <f t="shared" si="0"/>
        <v>484.80799999999999</v>
      </c>
      <c r="G5" s="54">
        <f t="shared" si="0"/>
        <v>618.80799999999999</v>
      </c>
      <c r="H5" s="54">
        <f t="shared" si="0"/>
        <v>560.80799999999999</v>
      </c>
      <c r="I5" s="54">
        <f t="shared" si="0"/>
        <v>373.80799999999999</v>
      </c>
      <c r="J5" s="54">
        <f t="shared" si="0"/>
        <v>182.80799999999999</v>
      </c>
      <c r="K5" s="54">
        <f t="shared" si="0"/>
        <v>150.80799999999999</v>
      </c>
      <c r="N5" s="69">
        <v>75</v>
      </c>
      <c r="O5" s="72">
        <v>75</v>
      </c>
      <c r="Q5" t="s">
        <v>113</v>
      </c>
      <c r="R5" t="s">
        <v>114</v>
      </c>
    </row>
    <row r="6" spans="1:18" x14ac:dyDescent="0.25">
      <c r="A6" s="65" t="s">
        <v>96</v>
      </c>
      <c r="B6" s="79">
        <f>SUM(B3-B5)</f>
        <v>36.192000000000007</v>
      </c>
      <c r="C6" s="79">
        <f t="shared" ref="C6:K6" si="1">SUM(C3-C5)</f>
        <v>65.192000000000007</v>
      </c>
      <c r="D6" s="96">
        <f t="shared" si="1"/>
        <v>122.19200000000001</v>
      </c>
      <c r="E6" s="101">
        <f t="shared" si="1"/>
        <v>89.192000000000007</v>
      </c>
      <c r="F6" s="99">
        <f t="shared" si="1"/>
        <v>-6.8079999999999927</v>
      </c>
      <c r="G6" s="63">
        <f t="shared" si="1"/>
        <v>-7.8079999999999927</v>
      </c>
      <c r="H6" s="63">
        <f t="shared" si="1"/>
        <v>26.192000000000007</v>
      </c>
      <c r="I6" s="75">
        <f t="shared" si="1"/>
        <v>36.192000000000007</v>
      </c>
      <c r="J6" s="63">
        <f t="shared" si="1"/>
        <v>-14.807999999999993</v>
      </c>
      <c r="K6" s="63">
        <f t="shared" si="1"/>
        <v>11.192000000000007</v>
      </c>
      <c r="N6" s="70" t="s">
        <v>129</v>
      </c>
      <c r="O6" s="73" t="s">
        <v>129</v>
      </c>
      <c r="P6" t="s">
        <v>107</v>
      </c>
      <c r="Q6">
        <v>1</v>
      </c>
      <c r="R6">
        <f>SUM(3.2808*10)</f>
        <v>32.808</v>
      </c>
    </row>
    <row r="7" spans="1:18" x14ac:dyDescent="0.25">
      <c r="A7" s="65" t="s">
        <v>97</v>
      </c>
      <c r="B7" s="54">
        <f>SUM(B5/B3)*100</f>
        <v>82.765714285714282</v>
      </c>
      <c r="C7" s="54">
        <f>SUM(C5/C3)*100</f>
        <v>76.8</v>
      </c>
      <c r="D7" s="95">
        <f>SUM(D5/D3)*100</f>
        <v>73.436521739130427</v>
      </c>
      <c r="E7" s="95">
        <f>SUM(E5/E3)*100</f>
        <v>82.267992047713705</v>
      </c>
      <c r="F7" s="98">
        <f t="shared" ref="F7:K7" si="2">SUM(F5/F3)*100</f>
        <v>101.42426778242677</v>
      </c>
      <c r="G7" s="54">
        <f t="shared" si="2"/>
        <v>101.27790507364975</v>
      </c>
      <c r="H7" s="54">
        <f t="shared" si="2"/>
        <v>95.537989778534921</v>
      </c>
      <c r="I7" s="54">
        <f t="shared" si="2"/>
        <v>91.172682926829268</v>
      </c>
      <c r="J7" s="54">
        <f t="shared" si="2"/>
        <v>108.8142857142857</v>
      </c>
      <c r="K7" s="54">
        <f t="shared" si="2"/>
        <v>93.091358024691345</v>
      </c>
      <c r="P7" t="s">
        <v>108</v>
      </c>
      <c r="Q7">
        <v>32</v>
      </c>
      <c r="R7">
        <f>SUM(3.2808*10)</f>
        <v>32.808</v>
      </c>
    </row>
    <row r="8" spans="1:18" x14ac:dyDescent="0.25">
      <c r="A8" s="111" t="s">
        <v>187</v>
      </c>
      <c r="P8" t="s">
        <v>109</v>
      </c>
      <c r="Q8">
        <v>39</v>
      </c>
      <c r="R8">
        <f>SUM(3.2808*17)</f>
        <v>55.773600000000002</v>
      </c>
    </row>
    <row r="9" spans="1:18" x14ac:dyDescent="0.25">
      <c r="A9" s="65" t="s">
        <v>100</v>
      </c>
      <c r="B9" s="67">
        <v>1</v>
      </c>
      <c r="C9" s="57">
        <v>80</v>
      </c>
      <c r="D9" s="94">
        <v>160</v>
      </c>
      <c r="E9" s="35">
        <v>200</v>
      </c>
      <c r="F9" s="97">
        <v>240</v>
      </c>
      <c r="G9" s="57">
        <v>320</v>
      </c>
      <c r="H9" s="57">
        <v>400</v>
      </c>
      <c r="I9" s="57">
        <v>480</v>
      </c>
      <c r="J9" s="57">
        <v>560</v>
      </c>
      <c r="K9" s="67">
        <v>631</v>
      </c>
      <c r="N9" t="s">
        <v>157</v>
      </c>
      <c r="P9" t="s">
        <v>110</v>
      </c>
      <c r="Q9">
        <v>56</v>
      </c>
      <c r="R9">
        <f>+SUM(3.2808*20)</f>
        <v>65.616</v>
      </c>
    </row>
    <row r="10" spans="1:18" x14ac:dyDescent="0.25">
      <c r="A10" s="65" t="s">
        <v>95</v>
      </c>
      <c r="B10" s="54">
        <v>210</v>
      </c>
      <c r="C10" s="54">
        <v>281</v>
      </c>
      <c r="D10" s="95">
        <v>460</v>
      </c>
      <c r="E10" s="100">
        <v>503</v>
      </c>
      <c r="F10" s="98">
        <v>478</v>
      </c>
      <c r="G10" s="54">
        <v>611</v>
      </c>
      <c r="H10" s="54">
        <v>587</v>
      </c>
      <c r="I10" s="54">
        <v>410</v>
      </c>
      <c r="J10" s="54">
        <v>168</v>
      </c>
      <c r="K10" s="54">
        <v>162</v>
      </c>
      <c r="L10" s="90">
        <v>12</v>
      </c>
      <c r="M10">
        <f>SUM(3.2808*L10)</f>
        <v>39.369600000000005</v>
      </c>
      <c r="N10" s="90">
        <v>10</v>
      </c>
      <c r="O10">
        <f>SUM(3.2808*N10)</f>
        <v>32.808</v>
      </c>
      <c r="P10" t="s">
        <v>111</v>
      </c>
      <c r="Q10">
        <v>76</v>
      </c>
      <c r="R10">
        <f>SUM(3.2808*15)</f>
        <v>49.212000000000003</v>
      </c>
    </row>
    <row r="11" spans="1:18" x14ac:dyDescent="0.25">
      <c r="A11" s="65" t="s">
        <v>116</v>
      </c>
      <c r="B11" s="58">
        <v>200</v>
      </c>
      <c r="C11" s="58">
        <v>243</v>
      </c>
      <c r="D11" s="58">
        <v>398</v>
      </c>
      <c r="E11" s="35">
        <v>452</v>
      </c>
      <c r="F11" s="58">
        <v>494</v>
      </c>
      <c r="G11" s="58">
        <v>544</v>
      </c>
      <c r="H11" s="58">
        <v>517</v>
      </c>
      <c r="I11" s="58">
        <v>327</v>
      </c>
      <c r="J11" s="58">
        <v>188</v>
      </c>
      <c r="K11" s="58">
        <v>180</v>
      </c>
      <c r="P11" t="s">
        <v>112</v>
      </c>
      <c r="Q11">
        <v>91</v>
      </c>
      <c r="R11">
        <f>SUM(3.2808*9)</f>
        <v>29.527200000000001</v>
      </c>
    </row>
    <row r="12" spans="1:18" x14ac:dyDescent="0.25">
      <c r="A12" s="65" t="s">
        <v>115</v>
      </c>
      <c r="B12" s="54">
        <f>SUM(B11+$M$57)</f>
        <v>232.80799999999999</v>
      </c>
      <c r="C12" s="54">
        <f t="shared" ref="C12:K12" si="3">SUM(C11+$M$50)</f>
        <v>275.80799999999999</v>
      </c>
      <c r="D12" s="95">
        <f t="shared" si="3"/>
        <v>430.80799999999999</v>
      </c>
      <c r="E12" s="54">
        <f t="shared" si="3"/>
        <v>484.80799999999999</v>
      </c>
      <c r="F12" s="98">
        <f t="shared" si="3"/>
        <v>526.80799999999999</v>
      </c>
      <c r="G12" s="54">
        <f t="shared" si="3"/>
        <v>576.80799999999999</v>
      </c>
      <c r="H12" s="54">
        <f t="shared" si="3"/>
        <v>549.80799999999999</v>
      </c>
      <c r="I12" s="54">
        <f t="shared" si="3"/>
        <v>359.80799999999999</v>
      </c>
      <c r="J12" s="54">
        <f t="shared" si="3"/>
        <v>220.80799999999999</v>
      </c>
      <c r="K12" s="54">
        <f t="shared" si="3"/>
        <v>212.80799999999999</v>
      </c>
    </row>
    <row r="13" spans="1:18" x14ac:dyDescent="0.25">
      <c r="A13" s="65" t="s">
        <v>96</v>
      </c>
      <c r="B13" s="74">
        <f>SUM(B10-B12)</f>
        <v>-22.807999999999993</v>
      </c>
      <c r="C13" s="62">
        <f t="shared" ref="C13:K13" si="4">SUM(C10-C12)</f>
        <v>5.1920000000000073</v>
      </c>
      <c r="D13" s="108">
        <f t="shared" si="4"/>
        <v>29.192000000000007</v>
      </c>
      <c r="E13" s="107">
        <f t="shared" si="4"/>
        <v>18.192000000000007</v>
      </c>
      <c r="F13" s="109">
        <f t="shared" si="4"/>
        <v>-48.807999999999993</v>
      </c>
      <c r="G13" s="75">
        <f t="shared" si="4"/>
        <v>34.192000000000007</v>
      </c>
      <c r="H13" s="75">
        <f t="shared" si="4"/>
        <v>37.192000000000007</v>
      </c>
      <c r="I13" s="75">
        <f t="shared" si="4"/>
        <v>50.192000000000007</v>
      </c>
      <c r="J13" s="78">
        <f t="shared" si="4"/>
        <v>-52.807999999999993</v>
      </c>
      <c r="K13" s="78">
        <f t="shared" si="4"/>
        <v>-50.807999999999993</v>
      </c>
    </row>
    <row r="14" spans="1:18" x14ac:dyDescent="0.25">
      <c r="A14" s="65" t="s">
        <v>97</v>
      </c>
      <c r="B14" s="54">
        <f>SUM(B12/B10)*100</f>
        <v>110.86095238095237</v>
      </c>
      <c r="C14" s="54">
        <f>SUM(C12/C10)*100</f>
        <v>98.152313167259791</v>
      </c>
      <c r="D14" s="95">
        <f>SUM(D12/D10)*100</f>
        <v>93.653913043478255</v>
      </c>
      <c r="E14" s="95">
        <f>SUM(E12/E10)*100</f>
        <v>96.383300198807149</v>
      </c>
      <c r="F14" s="98">
        <f t="shared" ref="F14:K14" si="5">SUM(F12/F10)*100</f>
        <v>110.21087866108788</v>
      </c>
      <c r="G14" s="54">
        <f t="shared" si="5"/>
        <v>94.403927986906709</v>
      </c>
      <c r="H14" s="54">
        <f t="shared" si="5"/>
        <v>93.664054514480412</v>
      </c>
      <c r="I14" s="54">
        <f t="shared" si="5"/>
        <v>87.758048780487812</v>
      </c>
      <c r="J14" s="54">
        <f t="shared" si="5"/>
        <v>131.43333333333334</v>
      </c>
      <c r="K14" s="54">
        <f t="shared" si="5"/>
        <v>131.36296296296294</v>
      </c>
    </row>
    <row r="15" spans="1:18" x14ac:dyDescent="0.25">
      <c r="A15" s="89" t="s">
        <v>181</v>
      </c>
    </row>
    <row r="16" spans="1:18" x14ac:dyDescent="0.25">
      <c r="A16" s="111" t="s">
        <v>188</v>
      </c>
      <c r="B16" s="58"/>
      <c r="C16" s="58"/>
      <c r="D16" s="58"/>
      <c r="E16" s="58"/>
      <c r="F16" s="58"/>
      <c r="G16" s="58"/>
      <c r="H16" s="58"/>
      <c r="I16" s="58"/>
      <c r="J16" s="58"/>
    </row>
    <row r="17" spans="1:13" x14ac:dyDescent="0.25">
      <c r="A17" s="65" t="s">
        <v>100</v>
      </c>
      <c r="B17" s="67">
        <v>1</v>
      </c>
      <c r="C17" s="57">
        <v>80</v>
      </c>
      <c r="D17" s="94">
        <v>160</v>
      </c>
      <c r="E17" s="35">
        <v>200</v>
      </c>
      <c r="F17" s="97">
        <v>240</v>
      </c>
      <c r="G17" s="57">
        <v>320</v>
      </c>
      <c r="H17" s="57">
        <v>400</v>
      </c>
      <c r="I17" s="57">
        <v>480</v>
      </c>
      <c r="J17" s="57">
        <v>560</v>
      </c>
      <c r="K17" s="67">
        <v>631</v>
      </c>
    </row>
    <row r="18" spans="1:13" x14ac:dyDescent="0.25">
      <c r="A18" s="65" t="s">
        <v>95</v>
      </c>
      <c r="B18" s="54">
        <v>210</v>
      </c>
      <c r="C18" s="54">
        <v>281</v>
      </c>
      <c r="D18" s="95">
        <v>460</v>
      </c>
      <c r="E18" s="100">
        <v>503</v>
      </c>
      <c r="F18" s="98">
        <v>478</v>
      </c>
      <c r="G18" s="54">
        <v>611</v>
      </c>
      <c r="H18" s="54">
        <v>587</v>
      </c>
      <c r="I18" s="54">
        <v>410</v>
      </c>
      <c r="J18" s="54">
        <v>168</v>
      </c>
      <c r="K18" s="54">
        <v>162</v>
      </c>
      <c r="L18" s="90">
        <v>12</v>
      </c>
      <c r="M18">
        <f>SUM(3.2808*L18)</f>
        <v>39.369600000000005</v>
      </c>
    </row>
    <row r="19" spans="1:13" x14ac:dyDescent="0.25">
      <c r="A19" s="65" t="s">
        <v>116</v>
      </c>
      <c r="B19" s="58">
        <v>152</v>
      </c>
      <c r="C19" s="58">
        <v>192</v>
      </c>
      <c r="D19" s="58">
        <v>349</v>
      </c>
      <c r="E19" s="35">
        <v>403</v>
      </c>
      <c r="F19" s="58">
        <v>452</v>
      </c>
      <c r="G19" s="58">
        <v>506</v>
      </c>
      <c r="H19" s="58">
        <v>517</v>
      </c>
      <c r="I19" s="58">
        <v>279</v>
      </c>
      <c r="J19" s="58">
        <v>188</v>
      </c>
      <c r="K19" s="58">
        <v>180</v>
      </c>
    </row>
    <row r="20" spans="1:13" x14ac:dyDescent="0.25">
      <c r="A20" s="65" t="s">
        <v>115</v>
      </c>
      <c r="B20" s="54">
        <f>SUM(B19+$M$18)</f>
        <v>191.36959999999999</v>
      </c>
      <c r="C20" s="54">
        <f t="shared" ref="C20:K20" si="6">SUM(C19+$M$18)</f>
        <v>231.36959999999999</v>
      </c>
      <c r="D20" s="54">
        <f t="shared" si="6"/>
        <v>388.36959999999999</v>
      </c>
      <c r="E20" s="54">
        <f t="shared" si="6"/>
        <v>442.36959999999999</v>
      </c>
      <c r="F20" s="54">
        <f t="shared" si="6"/>
        <v>491.36959999999999</v>
      </c>
      <c r="G20" s="54">
        <f t="shared" si="6"/>
        <v>545.36959999999999</v>
      </c>
      <c r="H20" s="54">
        <f t="shared" si="6"/>
        <v>556.36959999999999</v>
      </c>
      <c r="I20" s="54">
        <f t="shared" si="6"/>
        <v>318.36959999999999</v>
      </c>
      <c r="J20" s="54">
        <f t="shared" si="6"/>
        <v>227.36959999999999</v>
      </c>
      <c r="K20" s="54">
        <f t="shared" si="6"/>
        <v>219.36959999999999</v>
      </c>
    </row>
    <row r="21" spans="1:13" x14ac:dyDescent="0.25">
      <c r="A21" s="65" t="s">
        <v>96</v>
      </c>
      <c r="B21" s="62">
        <f>SUM(B18-B20)</f>
        <v>18.630400000000009</v>
      </c>
      <c r="C21" s="75">
        <f t="shared" ref="C21:K21" si="7">SUM(C18-C20)</f>
        <v>49.630400000000009</v>
      </c>
      <c r="D21" s="108">
        <f t="shared" si="7"/>
        <v>71.630400000000009</v>
      </c>
      <c r="E21" s="107">
        <f t="shared" si="7"/>
        <v>60.630400000000009</v>
      </c>
      <c r="F21" s="109">
        <f t="shared" si="7"/>
        <v>-13.369599999999991</v>
      </c>
      <c r="G21" s="75">
        <f t="shared" si="7"/>
        <v>65.630400000000009</v>
      </c>
      <c r="H21" s="75">
        <f t="shared" si="7"/>
        <v>30.630400000000009</v>
      </c>
      <c r="I21" s="75">
        <f t="shared" si="7"/>
        <v>91.630400000000009</v>
      </c>
      <c r="J21" s="78">
        <f t="shared" si="7"/>
        <v>-59.369599999999991</v>
      </c>
      <c r="K21" s="78">
        <f t="shared" si="7"/>
        <v>-57.369599999999991</v>
      </c>
    </row>
    <row r="22" spans="1:13" x14ac:dyDescent="0.25">
      <c r="A22" s="65" t="s">
        <v>97</v>
      </c>
      <c r="B22" s="54">
        <f>SUM(B20/B18)*100</f>
        <v>91.128380952380951</v>
      </c>
      <c r="C22" s="54">
        <f>SUM(C20/C18)*100</f>
        <v>82.337935943060486</v>
      </c>
      <c r="D22" s="95">
        <f>SUM(D20/D18)*100</f>
        <v>84.42817391304348</v>
      </c>
      <c r="E22" s="95">
        <f>SUM(E20/E18)*100</f>
        <v>87.946242544731618</v>
      </c>
      <c r="F22" s="98">
        <f t="shared" ref="F22:K22" si="8">SUM(F20/F18)*100</f>
        <v>102.79698744769874</v>
      </c>
      <c r="G22" s="54">
        <f t="shared" si="8"/>
        <v>89.258527004909979</v>
      </c>
      <c r="H22" s="54">
        <f t="shared" si="8"/>
        <v>94.781873935264045</v>
      </c>
      <c r="I22" s="54">
        <f t="shared" si="8"/>
        <v>77.651121951219508</v>
      </c>
      <c r="J22" s="54">
        <f t="shared" si="8"/>
        <v>135.33904761904759</v>
      </c>
      <c r="K22" s="54">
        <f t="shared" si="8"/>
        <v>135.41333333333333</v>
      </c>
    </row>
    <row r="24" spans="1:13" x14ac:dyDescent="0.25">
      <c r="A24" s="112" t="s">
        <v>189</v>
      </c>
      <c r="B24" s="58"/>
      <c r="C24" s="58"/>
      <c r="D24" s="58"/>
      <c r="E24" s="58"/>
      <c r="F24" s="58"/>
      <c r="G24" s="58"/>
      <c r="H24" s="58"/>
      <c r="I24" s="58"/>
      <c r="J24" s="58"/>
    </row>
    <row r="25" spans="1:13" x14ac:dyDescent="0.25">
      <c r="A25" s="65" t="s">
        <v>100</v>
      </c>
      <c r="B25" s="67">
        <v>1</v>
      </c>
      <c r="C25" s="57">
        <v>80</v>
      </c>
      <c r="D25" s="94">
        <v>160</v>
      </c>
      <c r="E25" s="35">
        <v>200</v>
      </c>
      <c r="F25" s="97">
        <v>240</v>
      </c>
      <c r="G25" s="57">
        <v>320</v>
      </c>
      <c r="H25" s="57">
        <v>400</v>
      </c>
      <c r="I25" s="57">
        <v>480</v>
      </c>
      <c r="J25" s="57">
        <v>560</v>
      </c>
      <c r="K25" s="67">
        <v>631</v>
      </c>
      <c r="L25" t="s">
        <v>157</v>
      </c>
    </row>
    <row r="26" spans="1:13" x14ac:dyDescent="0.25">
      <c r="A26" s="65" t="s">
        <v>95</v>
      </c>
      <c r="B26" s="54">
        <v>210</v>
      </c>
      <c r="C26" s="54">
        <v>281</v>
      </c>
      <c r="D26" s="95">
        <v>460</v>
      </c>
      <c r="E26" s="100">
        <v>503</v>
      </c>
      <c r="F26" s="98">
        <v>478</v>
      </c>
      <c r="G26" s="54">
        <v>611</v>
      </c>
      <c r="H26" s="54">
        <v>587</v>
      </c>
      <c r="I26" s="54">
        <v>410</v>
      </c>
      <c r="J26" s="54">
        <v>168</v>
      </c>
      <c r="K26" s="54">
        <v>162</v>
      </c>
      <c r="L26" s="90">
        <v>12</v>
      </c>
      <c r="M26">
        <f>SUM(3.2808*L26)</f>
        <v>39.369600000000005</v>
      </c>
    </row>
    <row r="27" spans="1:13" x14ac:dyDescent="0.25">
      <c r="A27" s="65" t="s">
        <v>116</v>
      </c>
      <c r="B27" s="58">
        <v>140</v>
      </c>
      <c r="C27" s="58">
        <v>179</v>
      </c>
      <c r="D27" s="58">
        <v>337</v>
      </c>
      <c r="E27" s="35">
        <v>392</v>
      </c>
      <c r="F27" s="58">
        <v>442</v>
      </c>
      <c r="G27" s="58">
        <v>561</v>
      </c>
      <c r="H27" s="58">
        <v>497</v>
      </c>
      <c r="I27" s="58">
        <v>268</v>
      </c>
      <c r="J27" s="58">
        <v>125</v>
      </c>
      <c r="K27" s="58">
        <v>114</v>
      </c>
    </row>
    <row r="28" spans="1:13" x14ac:dyDescent="0.25">
      <c r="A28" s="65" t="s">
        <v>115</v>
      </c>
      <c r="B28" s="54">
        <f>SUM(B27+$M$26)</f>
        <v>179.36959999999999</v>
      </c>
      <c r="C28" s="54">
        <f t="shared" ref="C28:K28" si="9">SUM(C27+$M$26)</f>
        <v>218.36959999999999</v>
      </c>
      <c r="D28" s="54">
        <f t="shared" si="9"/>
        <v>376.36959999999999</v>
      </c>
      <c r="E28" s="54">
        <f t="shared" si="9"/>
        <v>431.36959999999999</v>
      </c>
      <c r="F28" s="54">
        <f t="shared" si="9"/>
        <v>481.36959999999999</v>
      </c>
      <c r="G28" s="54">
        <f t="shared" si="9"/>
        <v>600.36959999999999</v>
      </c>
      <c r="H28" s="54">
        <f t="shared" si="9"/>
        <v>536.36959999999999</v>
      </c>
      <c r="I28" s="54">
        <f t="shared" si="9"/>
        <v>307.36959999999999</v>
      </c>
      <c r="J28" s="54">
        <f t="shared" si="9"/>
        <v>164.36959999999999</v>
      </c>
      <c r="K28" s="54">
        <f t="shared" si="9"/>
        <v>153.36959999999999</v>
      </c>
    </row>
    <row r="29" spans="1:13" x14ac:dyDescent="0.25">
      <c r="A29" s="65" t="s">
        <v>96</v>
      </c>
      <c r="B29" s="75">
        <f>SUM(B26-B28)</f>
        <v>30.630400000000009</v>
      </c>
      <c r="C29" s="79">
        <f t="shared" ref="C29:K29" si="10">SUM(C26-C28)</f>
        <v>62.630400000000009</v>
      </c>
      <c r="D29" s="96">
        <f t="shared" si="10"/>
        <v>83.630400000000009</v>
      </c>
      <c r="E29" s="101">
        <f t="shared" si="10"/>
        <v>71.630400000000009</v>
      </c>
      <c r="F29" s="109">
        <f t="shared" si="10"/>
        <v>-3.3695999999999913</v>
      </c>
      <c r="G29" s="62">
        <f t="shared" si="10"/>
        <v>10.630400000000009</v>
      </c>
      <c r="H29" s="79">
        <f t="shared" si="10"/>
        <v>50.630400000000009</v>
      </c>
      <c r="I29" s="76">
        <f t="shared" si="10"/>
        <v>102.63040000000001</v>
      </c>
      <c r="J29" s="62">
        <f t="shared" si="10"/>
        <v>3.6304000000000087</v>
      </c>
      <c r="K29" s="62">
        <f t="shared" si="10"/>
        <v>8.6304000000000087</v>
      </c>
    </row>
    <row r="30" spans="1:13" x14ac:dyDescent="0.25">
      <c r="A30" s="65" t="s">
        <v>97</v>
      </c>
      <c r="B30" s="54">
        <f>SUM(B28/B26)*100</f>
        <v>85.414095238095229</v>
      </c>
      <c r="C30" s="54">
        <f t="shared" ref="C30:K30" si="11">SUM(C28/C26)*100</f>
        <v>77.711601423487537</v>
      </c>
      <c r="D30" s="54">
        <f t="shared" si="11"/>
        <v>81.819478260869559</v>
      </c>
      <c r="E30" s="54">
        <f t="shared" si="11"/>
        <v>85.759363817097409</v>
      </c>
      <c r="F30" s="54">
        <f t="shared" si="11"/>
        <v>100.70493723849371</v>
      </c>
      <c r="G30" s="54">
        <f t="shared" si="11"/>
        <v>98.260163666121116</v>
      </c>
      <c r="H30" s="54">
        <f t="shared" si="11"/>
        <v>91.374718909710396</v>
      </c>
      <c r="I30" s="54">
        <f t="shared" si="11"/>
        <v>74.968195121951226</v>
      </c>
      <c r="J30" s="54">
        <f t="shared" si="11"/>
        <v>97.839047619047619</v>
      </c>
      <c r="K30" s="54">
        <f t="shared" si="11"/>
        <v>94.672592592592579</v>
      </c>
    </row>
    <row r="32" spans="1:13" x14ac:dyDescent="0.25">
      <c r="A32" s="112" t="s">
        <v>190</v>
      </c>
      <c r="B32" s="58"/>
      <c r="C32" s="58"/>
      <c r="D32" s="58"/>
      <c r="E32" s="58"/>
      <c r="F32" s="58"/>
      <c r="G32" s="58"/>
      <c r="H32" s="58"/>
      <c r="I32" s="58"/>
      <c r="J32" s="58"/>
    </row>
    <row r="33" spans="1:17" x14ac:dyDescent="0.25">
      <c r="A33" s="65" t="s">
        <v>100</v>
      </c>
      <c r="B33" s="67">
        <v>1</v>
      </c>
      <c r="C33" s="57">
        <v>80</v>
      </c>
      <c r="D33" s="94">
        <v>160</v>
      </c>
      <c r="E33" s="35">
        <v>200</v>
      </c>
      <c r="F33" s="97">
        <v>240</v>
      </c>
      <c r="G33" s="57">
        <v>320</v>
      </c>
      <c r="H33" s="57">
        <v>400</v>
      </c>
      <c r="I33" s="57">
        <v>480</v>
      </c>
      <c r="J33" s="57">
        <v>560</v>
      </c>
      <c r="K33" s="67">
        <v>631</v>
      </c>
      <c r="L33" t="s">
        <v>157</v>
      </c>
    </row>
    <row r="34" spans="1:17" x14ac:dyDescent="0.25">
      <c r="A34" s="65" t="s">
        <v>95</v>
      </c>
      <c r="B34" s="54">
        <v>210</v>
      </c>
      <c r="C34" s="54">
        <v>281</v>
      </c>
      <c r="D34" s="95">
        <v>460</v>
      </c>
      <c r="E34" s="100">
        <v>503</v>
      </c>
      <c r="F34" s="98">
        <v>478</v>
      </c>
      <c r="G34" s="54">
        <v>611</v>
      </c>
      <c r="H34" s="54">
        <v>587</v>
      </c>
      <c r="I34" s="54">
        <v>410</v>
      </c>
      <c r="J34" s="54">
        <v>168</v>
      </c>
      <c r="K34" s="54">
        <v>162</v>
      </c>
      <c r="L34" s="90">
        <v>10</v>
      </c>
      <c r="M34">
        <f>SUM(3.2808*L34)</f>
        <v>32.808</v>
      </c>
    </row>
    <row r="35" spans="1:17" x14ac:dyDescent="0.25">
      <c r="A35" s="65" t="s">
        <v>116</v>
      </c>
      <c r="B35" s="58">
        <v>182</v>
      </c>
      <c r="C35" s="58">
        <v>213</v>
      </c>
      <c r="D35" s="58">
        <v>355</v>
      </c>
      <c r="E35" s="35">
        <v>426</v>
      </c>
      <c r="F35" s="58">
        <v>448</v>
      </c>
      <c r="G35" s="58">
        <v>557</v>
      </c>
      <c r="H35" s="58">
        <v>495</v>
      </c>
      <c r="I35" s="58">
        <v>310</v>
      </c>
      <c r="J35" s="58">
        <v>168</v>
      </c>
      <c r="K35" s="58">
        <v>160</v>
      </c>
    </row>
    <row r="36" spans="1:17" x14ac:dyDescent="0.25">
      <c r="A36" s="65" t="s">
        <v>115</v>
      </c>
      <c r="B36" s="54">
        <f>SUM(B35+$M$34)</f>
        <v>214.80799999999999</v>
      </c>
      <c r="C36" s="54">
        <f t="shared" ref="C36:K36" si="12">SUM(C35+$M$34)</f>
        <v>245.80799999999999</v>
      </c>
      <c r="D36" s="54">
        <f t="shared" si="12"/>
        <v>387.80799999999999</v>
      </c>
      <c r="E36" s="54">
        <f t="shared" si="12"/>
        <v>458.80799999999999</v>
      </c>
      <c r="F36" s="54">
        <f t="shared" si="12"/>
        <v>480.80799999999999</v>
      </c>
      <c r="G36" s="54">
        <f t="shared" si="12"/>
        <v>589.80799999999999</v>
      </c>
      <c r="H36" s="54">
        <f t="shared" si="12"/>
        <v>527.80799999999999</v>
      </c>
      <c r="I36" s="54">
        <f t="shared" si="12"/>
        <v>342.80799999999999</v>
      </c>
      <c r="J36" s="54">
        <f t="shared" si="12"/>
        <v>200.80799999999999</v>
      </c>
      <c r="K36" s="54">
        <f t="shared" si="12"/>
        <v>192.80799999999999</v>
      </c>
    </row>
    <row r="37" spans="1:17" x14ac:dyDescent="0.25">
      <c r="A37" s="65" t="s">
        <v>96</v>
      </c>
      <c r="B37" s="63">
        <f>SUM(B34-B36)</f>
        <v>-4.8079999999999927</v>
      </c>
      <c r="C37" s="75">
        <f t="shared" ref="C37:K37" si="13">SUM(C34-C36)</f>
        <v>35.192000000000007</v>
      </c>
      <c r="D37" s="101">
        <f t="shared" si="13"/>
        <v>72.192000000000007</v>
      </c>
      <c r="E37" s="108">
        <f t="shared" si="13"/>
        <v>44.192000000000007</v>
      </c>
      <c r="F37" s="99">
        <f t="shared" si="13"/>
        <v>-2.8079999999999927</v>
      </c>
      <c r="G37" s="62">
        <f t="shared" si="13"/>
        <v>21.192000000000007</v>
      </c>
      <c r="H37" s="75">
        <f t="shared" si="13"/>
        <v>59.192000000000007</v>
      </c>
      <c r="I37" s="75">
        <f t="shared" si="13"/>
        <v>67.192000000000007</v>
      </c>
      <c r="J37" s="63">
        <f t="shared" si="13"/>
        <v>-32.807999999999993</v>
      </c>
      <c r="K37" s="63">
        <f t="shared" si="13"/>
        <v>-30.807999999999993</v>
      </c>
    </row>
    <row r="38" spans="1:17" x14ac:dyDescent="0.25">
      <c r="A38" s="65" t="s">
        <v>97</v>
      </c>
      <c r="B38" s="54">
        <f>SUM(B36/B34)*100</f>
        <v>102.28952380952381</v>
      </c>
      <c r="C38" s="54">
        <f t="shared" ref="C38:K38" si="14">SUM(C36/C34)*100</f>
        <v>87.476156583629887</v>
      </c>
      <c r="D38" s="54">
        <f t="shared" si="14"/>
        <v>84.306086956521739</v>
      </c>
      <c r="E38" s="54">
        <f t="shared" si="14"/>
        <v>91.214314115308142</v>
      </c>
      <c r="F38" s="54">
        <f t="shared" si="14"/>
        <v>100.58744769874477</v>
      </c>
      <c r="G38" s="54">
        <f t="shared" si="14"/>
        <v>96.531587561374792</v>
      </c>
      <c r="H38" s="54">
        <f t="shared" si="14"/>
        <v>89.916183986371379</v>
      </c>
      <c r="I38" s="54">
        <f t="shared" si="14"/>
        <v>83.611707317073169</v>
      </c>
      <c r="J38" s="54">
        <f t="shared" si="14"/>
        <v>119.52857142857142</v>
      </c>
      <c r="K38" s="54">
        <f t="shared" si="14"/>
        <v>119.01728395061728</v>
      </c>
    </row>
    <row r="40" spans="1:17" x14ac:dyDescent="0.25">
      <c r="A40" s="112" t="s">
        <v>191</v>
      </c>
      <c r="B40" s="58"/>
      <c r="C40" s="58"/>
      <c r="D40" s="58"/>
      <c r="E40" s="58"/>
      <c r="F40" s="58"/>
      <c r="G40" s="58"/>
      <c r="H40" s="58"/>
      <c r="I40" s="58"/>
      <c r="J40" s="58"/>
    </row>
    <row r="41" spans="1:17" x14ac:dyDescent="0.25">
      <c r="A41" s="65" t="s">
        <v>100</v>
      </c>
      <c r="B41" s="67">
        <v>1</v>
      </c>
      <c r="C41" s="57">
        <v>80</v>
      </c>
      <c r="D41" s="94">
        <v>160</v>
      </c>
      <c r="E41" s="35">
        <v>200</v>
      </c>
      <c r="F41" s="97">
        <v>240</v>
      </c>
      <c r="G41" s="57">
        <v>320</v>
      </c>
      <c r="H41" s="57">
        <v>400</v>
      </c>
      <c r="I41" s="57">
        <v>480</v>
      </c>
      <c r="J41" s="57">
        <v>560</v>
      </c>
      <c r="K41" s="67">
        <v>631</v>
      </c>
      <c r="L41" t="s">
        <v>157</v>
      </c>
    </row>
    <row r="42" spans="1:17" x14ac:dyDescent="0.25">
      <c r="A42" s="65" t="s">
        <v>95</v>
      </c>
      <c r="B42" s="54">
        <v>210</v>
      </c>
      <c r="C42" s="54">
        <v>281</v>
      </c>
      <c r="D42" s="95">
        <v>460</v>
      </c>
      <c r="E42" s="100">
        <v>503</v>
      </c>
      <c r="F42" s="98">
        <v>478</v>
      </c>
      <c r="G42" s="54">
        <v>611</v>
      </c>
      <c r="H42" s="54">
        <v>587</v>
      </c>
      <c r="I42" s="54">
        <v>410</v>
      </c>
      <c r="J42" s="54">
        <v>168</v>
      </c>
      <c r="K42" s="54">
        <v>162</v>
      </c>
      <c r="L42" s="90">
        <v>10</v>
      </c>
      <c r="M42">
        <f>SUM(3.2808*L42)</f>
        <v>32.808</v>
      </c>
    </row>
    <row r="43" spans="1:17" x14ac:dyDescent="0.25">
      <c r="A43" s="65" t="s">
        <v>116</v>
      </c>
      <c r="B43" s="58">
        <v>196</v>
      </c>
      <c r="C43" s="58">
        <v>226</v>
      </c>
      <c r="D43" s="58">
        <v>370</v>
      </c>
      <c r="E43" s="35">
        <v>417</v>
      </c>
      <c r="F43" s="58">
        <v>442</v>
      </c>
      <c r="G43" s="58">
        <v>569</v>
      </c>
      <c r="H43" s="58">
        <v>512</v>
      </c>
      <c r="I43" s="58">
        <v>300</v>
      </c>
      <c r="J43" s="58">
        <v>182</v>
      </c>
      <c r="K43" s="58">
        <v>174</v>
      </c>
    </row>
    <row r="44" spans="1:17" x14ac:dyDescent="0.25">
      <c r="A44" s="65" t="s">
        <v>115</v>
      </c>
      <c r="B44" s="54">
        <f t="shared" ref="B44:K44" si="15">SUM(B43+$M$34)</f>
        <v>228.80799999999999</v>
      </c>
      <c r="C44" s="54">
        <f t="shared" si="15"/>
        <v>258.80799999999999</v>
      </c>
      <c r="D44" s="54">
        <f t="shared" si="15"/>
        <v>402.80799999999999</v>
      </c>
      <c r="E44" s="54">
        <f t="shared" si="15"/>
        <v>449.80799999999999</v>
      </c>
      <c r="F44" s="54">
        <f t="shared" si="15"/>
        <v>474.80799999999999</v>
      </c>
      <c r="G44" s="54">
        <f t="shared" si="15"/>
        <v>601.80799999999999</v>
      </c>
      <c r="H44" s="54">
        <f t="shared" si="15"/>
        <v>544.80799999999999</v>
      </c>
      <c r="I44" s="54">
        <f t="shared" si="15"/>
        <v>332.80799999999999</v>
      </c>
      <c r="J44" s="54">
        <f t="shared" si="15"/>
        <v>214.80799999999999</v>
      </c>
      <c r="K44" s="54">
        <f t="shared" si="15"/>
        <v>206.80799999999999</v>
      </c>
      <c r="N44" t="s">
        <v>118</v>
      </c>
      <c r="O44" s="58"/>
      <c r="P44" s="58"/>
      <c r="Q44" s="58"/>
    </row>
    <row r="45" spans="1:17" x14ac:dyDescent="0.25">
      <c r="A45" s="65" t="s">
        <v>96</v>
      </c>
      <c r="B45" s="63">
        <f>SUM(B42-B44)</f>
        <v>-18.807999999999993</v>
      </c>
      <c r="C45" s="75">
        <f t="shared" ref="C45:K45" si="16">SUM(C42-C44)</f>
        <v>22.192000000000007</v>
      </c>
      <c r="D45" s="101">
        <f t="shared" si="16"/>
        <v>57.192000000000007</v>
      </c>
      <c r="E45" s="108">
        <f t="shared" si="16"/>
        <v>53.192000000000007</v>
      </c>
      <c r="F45" s="99">
        <f t="shared" si="16"/>
        <v>3.1920000000000073</v>
      </c>
      <c r="G45" s="62">
        <f t="shared" si="16"/>
        <v>9.1920000000000073</v>
      </c>
      <c r="H45" s="75">
        <f t="shared" si="16"/>
        <v>42.192000000000007</v>
      </c>
      <c r="I45" s="75">
        <f t="shared" si="16"/>
        <v>77.192000000000007</v>
      </c>
      <c r="J45" s="63">
        <f t="shared" si="16"/>
        <v>-46.807999999999993</v>
      </c>
      <c r="K45" s="63">
        <f t="shared" si="16"/>
        <v>-44.807999999999993</v>
      </c>
      <c r="N45" t="s">
        <v>119</v>
      </c>
      <c r="O45" s="58"/>
      <c r="P45" s="58"/>
      <c r="Q45" s="58"/>
    </row>
    <row r="46" spans="1:17" x14ac:dyDescent="0.25">
      <c r="A46" s="65" t="s">
        <v>97</v>
      </c>
      <c r="B46" s="54">
        <f>SUM(B44/B42)*100</f>
        <v>108.95619047619047</v>
      </c>
      <c r="C46" s="54">
        <f t="shared" ref="C46:K46" si="17">SUM(C44/C42)*100</f>
        <v>92.102491103202837</v>
      </c>
      <c r="D46" s="54">
        <f t="shared" si="17"/>
        <v>87.566956521739129</v>
      </c>
      <c r="E46" s="54">
        <f t="shared" si="17"/>
        <v>89.425049701789263</v>
      </c>
      <c r="F46" s="54">
        <f t="shared" si="17"/>
        <v>99.332217573221754</v>
      </c>
      <c r="G46" s="54">
        <f t="shared" si="17"/>
        <v>98.49558101472995</v>
      </c>
      <c r="H46" s="54">
        <f t="shared" si="17"/>
        <v>92.812265758091996</v>
      </c>
      <c r="I46" s="54">
        <f t="shared" si="17"/>
        <v>81.172682926829268</v>
      </c>
      <c r="J46" s="54">
        <f t="shared" si="17"/>
        <v>127.86190476190475</v>
      </c>
      <c r="K46" s="54">
        <f t="shared" si="17"/>
        <v>127.65925925925924</v>
      </c>
      <c r="N46" t="s">
        <v>121</v>
      </c>
      <c r="O46" s="58"/>
      <c r="P46" s="58"/>
      <c r="Q46" s="58"/>
    </row>
    <row r="47" spans="1:17" x14ac:dyDescent="0.25">
      <c r="N47" t="s">
        <v>120</v>
      </c>
    </row>
    <row r="48" spans="1:17" x14ac:dyDescent="0.25">
      <c r="A48" s="112" t="s">
        <v>192</v>
      </c>
      <c r="B48" s="58">
        <v>0</v>
      </c>
      <c r="C48" s="58">
        <v>2000</v>
      </c>
      <c r="D48" s="58">
        <v>4000</v>
      </c>
      <c r="E48" s="58">
        <v>5000</v>
      </c>
      <c r="F48" s="58">
        <v>6000</v>
      </c>
      <c r="G48" s="58">
        <v>8000</v>
      </c>
      <c r="H48" s="58">
        <v>10000</v>
      </c>
      <c r="I48" s="58">
        <v>12000</v>
      </c>
      <c r="J48" s="58">
        <v>14000</v>
      </c>
      <c r="K48" s="58">
        <v>15750</v>
      </c>
    </row>
    <row r="49" spans="1:28" x14ac:dyDescent="0.25">
      <c r="A49" s="65" t="s">
        <v>100</v>
      </c>
      <c r="B49" s="67">
        <v>1</v>
      </c>
      <c r="C49" s="57">
        <v>80</v>
      </c>
      <c r="D49" s="94">
        <v>160</v>
      </c>
      <c r="E49" s="35">
        <v>200</v>
      </c>
      <c r="F49" s="97">
        <v>240</v>
      </c>
      <c r="G49" s="57">
        <v>320</v>
      </c>
      <c r="H49" s="57">
        <v>400</v>
      </c>
      <c r="I49" s="57">
        <v>480</v>
      </c>
      <c r="J49" s="57">
        <v>560</v>
      </c>
      <c r="K49" s="67">
        <v>631</v>
      </c>
      <c r="L49" t="s">
        <v>157</v>
      </c>
    </row>
    <row r="50" spans="1:28" ht="19.5" customHeight="1" x14ac:dyDescent="0.25">
      <c r="A50" s="65" t="s">
        <v>95</v>
      </c>
      <c r="B50" s="54">
        <v>210</v>
      </c>
      <c r="C50" s="54">
        <v>281</v>
      </c>
      <c r="D50" s="95">
        <v>460</v>
      </c>
      <c r="E50" s="100">
        <v>503</v>
      </c>
      <c r="F50" s="98">
        <v>478</v>
      </c>
      <c r="G50" s="54">
        <v>611</v>
      </c>
      <c r="H50" s="54">
        <v>587</v>
      </c>
      <c r="I50" s="54">
        <v>410</v>
      </c>
      <c r="J50" s="54">
        <v>168</v>
      </c>
      <c r="K50" s="54">
        <v>162</v>
      </c>
      <c r="L50" s="90">
        <v>10</v>
      </c>
      <c r="M50">
        <f>SUM(3.2808*L50)</f>
        <v>32.808</v>
      </c>
      <c r="P50" s="147" t="s">
        <v>123</v>
      </c>
      <c r="Q50" s="148"/>
      <c r="R50" s="138" t="s">
        <v>127</v>
      </c>
      <c r="S50" s="139"/>
      <c r="T50" s="140"/>
      <c r="U50" s="92"/>
      <c r="V50" s="92"/>
      <c r="W50" s="92"/>
      <c r="X50" s="92"/>
      <c r="Y50" s="92"/>
      <c r="Z50" s="92"/>
      <c r="AA50" s="92"/>
      <c r="AB50" s="92"/>
    </row>
    <row r="51" spans="1:28" ht="15.75" customHeight="1" x14ac:dyDescent="0.25">
      <c r="A51" s="65" t="s">
        <v>116</v>
      </c>
      <c r="B51" s="58">
        <v>204</v>
      </c>
      <c r="C51" s="58">
        <v>236</v>
      </c>
      <c r="D51" s="58">
        <v>378</v>
      </c>
      <c r="E51" s="35">
        <v>426</v>
      </c>
      <c r="F51" s="58">
        <v>470</v>
      </c>
      <c r="G51" s="58">
        <v>578</v>
      </c>
      <c r="H51" s="58">
        <v>520</v>
      </c>
      <c r="I51" s="58">
        <v>309</v>
      </c>
      <c r="J51" s="58">
        <v>192</v>
      </c>
      <c r="K51" s="58">
        <v>183</v>
      </c>
      <c r="P51" s="147"/>
      <c r="Q51" s="148"/>
      <c r="R51" s="141"/>
      <c r="S51" s="142"/>
      <c r="T51" s="143"/>
      <c r="U51" s="92"/>
      <c r="V51" s="92"/>
      <c r="W51" s="92"/>
      <c r="X51" s="92"/>
      <c r="Y51" s="92"/>
      <c r="Z51" s="92"/>
      <c r="AA51" s="92"/>
      <c r="AB51" s="92"/>
    </row>
    <row r="52" spans="1:28" ht="15.75" customHeight="1" x14ac:dyDescent="0.25">
      <c r="A52" s="65" t="s">
        <v>115</v>
      </c>
      <c r="B52" s="54">
        <f>SUM(B51+$M$50)</f>
        <v>236.80799999999999</v>
      </c>
      <c r="C52" s="54">
        <f t="shared" ref="C52:K52" si="18">SUM(C51+$M$50)</f>
        <v>268.80799999999999</v>
      </c>
      <c r="D52" s="95">
        <f t="shared" si="18"/>
        <v>410.80799999999999</v>
      </c>
      <c r="E52" s="54">
        <f t="shared" si="18"/>
        <v>458.80799999999999</v>
      </c>
      <c r="F52" s="98">
        <f t="shared" si="18"/>
        <v>502.80799999999999</v>
      </c>
      <c r="G52" s="54">
        <f t="shared" si="18"/>
        <v>610.80799999999999</v>
      </c>
      <c r="H52" s="54">
        <f t="shared" si="18"/>
        <v>552.80799999999999</v>
      </c>
      <c r="I52" s="54">
        <f t="shared" si="18"/>
        <v>341.80799999999999</v>
      </c>
      <c r="J52" s="54">
        <f t="shared" si="18"/>
        <v>224.80799999999999</v>
      </c>
      <c r="K52" s="54">
        <f t="shared" si="18"/>
        <v>215.80799999999999</v>
      </c>
      <c r="P52" s="147"/>
      <c r="Q52" s="148"/>
      <c r="R52" s="141"/>
      <c r="S52" s="142"/>
      <c r="T52" s="143"/>
      <c r="U52" s="92"/>
      <c r="V52" s="92"/>
      <c r="W52" s="92"/>
      <c r="X52" s="92"/>
      <c r="Y52" s="92"/>
      <c r="Z52" s="92"/>
      <c r="AA52" s="92"/>
      <c r="AB52" s="92"/>
    </row>
    <row r="53" spans="1:28" ht="15.75" customHeight="1" x14ac:dyDescent="0.25">
      <c r="A53" s="65" t="s">
        <v>96</v>
      </c>
      <c r="B53" s="74">
        <f>SUM(B50-B52)</f>
        <v>-26.807999999999993</v>
      </c>
      <c r="C53" s="62">
        <f t="shared" ref="C53:K53" si="19">SUM(C50-C52)</f>
        <v>12.192000000000007</v>
      </c>
      <c r="D53" s="107">
        <f t="shared" si="19"/>
        <v>49.192000000000007</v>
      </c>
      <c r="E53" s="107">
        <f t="shared" si="19"/>
        <v>44.192000000000007</v>
      </c>
      <c r="F53" s="99">
        <f t="shared" si="19"/>
        <v>-24.807999999999993</v>
      </c>
      <c r="G53" s="63">
        <f t="shared" si="19"/>
        <v>0.19200000000000728</v>
      </c>
      <c r="H53" s="62">
        <f t="shared" si="19"/>
        <v>34.192000000000007</v>
      </c>
      <c r="I53" s="75">
        <f t="shared" si="19"/>
        <v>68.192000000000007</v>
      </c>
      <c r="J53" s="63">
        <f t="shared" si="19"/>
        <v>-56.807999999999993</v>
      </c>
      <c r="K53" s="63">
        <f t="shared" si="19"/>
        <v>-53.807999999999993</v>
      </c>
      <c r="P53" s="147"/>
      <c r="Q53" s="148"/>
      <c r="R53" s="141"/>
      <c r="S53" s="142"/>
      <c r="T53" s="143"/>
      <c r="U53" s="92"/>
      <c r="V53" s="92"/>
      <c r="W53" s="92"/>
      <c r="X53" s="92"/>
      <c r="Y53" s="92"/>
      <c r="Z53" s="92"/>
      <c r="AA53" s="92"/>
      <c r="AB53" s="92"/>
    </row>
    <row r="54" spans="1:28" ht="15" customHeight="1" x14ac:dyDescent="0.25">
      <c r="A54" s="65" t="s">
        <v>97</v>
      </c>
      <c r="B54" s="54">
        <f>SUM(B52/B50)*100</f>
        <v>112.7657142857143</v>
      </c>
      <c r="C54" s="54">
        <f>SUM(C52/C50)*100</f>
        <v>95.661209964412805</v>
      </c>
      <c r="D54" s="95">
        <f>SUM(D52/D50)*100</f>
        <v>89.306086956521739</v>
      </c>
      <c r="E54" s="95">
        <f>SUM(E52/E50)*100</f>
        <v>91.214314115308142</v>
      </c>
      <c r="F54" s="98">
        <f t="shared" ref="F54:K54" si="20">SUM(F52/F50)*100</f>
        <v>105.18995815899581</v>
      </c>
      <c r="G54" s="54">
        <f t="shared" si="20"/>
        <v>99.968576104746319</v>
      </c>
      <c r="H54" s="54">
        <f t="shared" si="20"/>
        <v>94.175127768313459</v>
      </c>
      <c r="I54" s="54">
        <f t="shared" si="20"/>
        <v>83.367804878048773</v>
      </c>
      <c r="J54" s="54">
        <f t="shared" si="20"/>
        <v>133.81428571428572</v>
      </c>
      <c r="K54" s="54">
        <f t="shared" si="20"/>
        <v>133.21481481481482</v>
      </c>
      <c r="P54" s="147" t="s">
        <v>124</v>
      </c>
      <c r="Q54" s="148"/>
      <c r="R54" s="144"/>
      <c r="S54" s="145"/>
      <c r="T54" s="146"/>
      <c r="U54" s="92"/>
      <c r="V54" s="92"/>
      <c r="W54" s="92"/>
      <c r="X54" s="92"/>
      <c r="Y54" s="92"/>
      <c r="Z54" s="92"/>
      <c r="AA54" s="92"/>
      <c r="AB54" s="92"/>
    </row>
    <row r="55" spans="1:28" ht="15" customHeight="1" x14ac:dyDescent="0.25">
      <c r="A55" s="111" t="s">
        <v>185</v>
      </c>
      <c r="P55" s="150" t="s">
        <v>125</v>
      </c>
      <c r="Q55" s="151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</row>
    <row r="56" spans="1:28" ht="15" customHeight="1" x14ac:dyDescent="0.25">
      <c r="A56" s="65" t="s">
        <v>100</v>
      </c>
      <c r="B56" s="67">
        <v>1</v>
      </c>
      <c r="C56" s="57">
        <v>80</v>
      </c>
      <c r="D56" s="94">
        <v>160</v>
      </c>
      <c r="E56" s="35">
        <v>200</v>
      </c>
      <c r="F56" s="97">
        <v>240</v>
      </c>
      <c r="G56" s="57">
        <v>320</v>
      </c>
      <c r="H56" s="57">
        <v>400</v>
      </c>
      <c r="I56" s="57">
        <v>480</v>
      </c>
      <c r="J56" s="57">
        <v>560</v>
      </c>
      <c r="K56" s="67">
        <v>631</v>
      </c>
      <c r="P56" s="150"/>
      <c r="Q56" s="151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</row>
    <row r="57" spans="1:28" ht="15" customHeight="1" x14ac:dyDescent="0.25">
      <c r="A57" s="65" t="s">
        <v>95</v>
      </c>
      <c r="B57" s="54">
        <v>210</v>
      </c>
      <c r="C57" s="54">
        <v>281</v>
      </c>
      <c r="D57" s="95">
        <v>460</v>
      </c>
      <c r="E57" s="100">
        <v>503</v>
      </c>
      <c r="F57" s="98">
        <v>478</v>
      </c>
      <c r="G57" s="54">
        <v>611</v>
      </c>
      <c r="H57" s="54">
        <v>587</v>
      </c>
      <c r="I57" s="54">
        <v>410</v>
      </c>
      <c r="J57" s="54">
        <v>168</v>
      </c>
      <c r="K57" s="54">
        <v>162</v>
      </c>
      <c r="L57" s="90">
        <v>10</v>
      </c>
      <c r="M57">
        <f>SUM(3.2808*L57)</f>
        <v>32.808</v>
      </c>
      <c r="P57" s="150"/>
      <c r="Q57" s="151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</row>
    <row r="58" spans="1:28" ht="15" customHeight="1" x14ac:dyDescent="0.25">
      <c r="A58" s="65" t="s">
        <v>116</v>
      </c>
      <c r="B58" s="58">
        <v>214</v>
      </c>
      <c r="C58" s="58">
        <v>245</v>
      </c>
      <c r="D58" s="58">
        <v>389</v>
      </c>
      <c r="E58" s="35">
        <v>435</v>
      </c>
      <c r="F58" s="58">
        <v>479</v>
      </c>
      <c r="G58" s="58">
        <v>588</v>
      </c>
      <c r="H58" s="58">
        <v>529</v>
      </c>
      <c r="I58" s="58">
        <v>320</v>
      </c>
      <c r="J58" s="58">
        <v>201</v>
      </c>
      <c r="K58" s="58">
        <v>192</v>
      </c>
      <c r="P58" s="150"/>
      <c r="Q58" s="151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</row>
    <row r="59" spans="1:28" ht="15" customHeight="1" x14ac:dyDescent="0.25">
      <c r="A59" s="65" t="s">
        <v>115</v>
      </c>
      <c r="B59" s="54">
        <f>SUM(B58+$M$57)</f>
        <v>246.80799999999999</v>
      </c>
      <c r="C59" s="54">
        <f t="shared" ref="C59:K59" si="21">SUM(C58+$M$50)</f>
        <v>277.80799999999999</v>
      </c>
      <c r="D59" s="95">
        <f t="shared" si="21"/>
        <v>421.80799999999999</v>
      </c>
      <c r="E59" s="54">
        <f t="shared" si="21"/>
        <v>467.80799999999999</v>
      </c>
      <c r="F59" s="98">
        <f t="shared" si="21"/>
        <v>511.80799999999999</v>
      </c>
      <c r="G59" s="54">
        <f t="shared" si="21"/>
        <v>620.80799999999999</v>
      </c>
      <c r="H59" s="54">
        <f t="shared" si="21"/>
        <v>561.80799999999999</v>
      </c>
      <c r="I59" s="54">
        <f t="shared" si="21"/>
        <v>352.80799999999999</v>
      </c>
      <c r="J59" s="54">
        <f t="shared" si="21"/>
        <v>233.80799999999999</v>
      </c>
      <c r="K59" s="54">
        <f t="shared" si="21"/>
        <v>224.80799999999999</v>
      </c>
      <c r="P59" s="150"/>
      <c r="Q59" s="151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</row>
    <row r="60" spans="1:28" ht="15" customHeight="1" x14ac:dyDescent="0.25">
      <c r="A60" s="65" t="s">
        <v>96</v>
      </c>
      <c r="B60" s="74">
        <f>SUM(B57-B59)</f>
        <v>-36.807999999999993</v>
      </c>
      <c r="C60" s="62">
        <f t="shared" ref="C60:K60" si="22">SUM(C57-C59)</f>
        <v>3.1920000000000073</v>
      </c>
      <c r="D60" s="108">
        <f t="shared" si="22"/>
        <v>38.192000000000007</v>
      </c>
      <c r="E60" s="107">
        <f t="shared" si="22"/>
        <v>35.192000000000007</v>
      </c>
      <c r="F60" s="109">
        <f t="shared" si="22"/>
        <v>-33.807999999999993</v>
      </c>
      <c r="G60" s="63">
        <f t="shared" si="22"/>
        <v>-9.8079999999999927</v>
      </c>
      <c r="H60" s="75">
        <f t="shared" si="22"/>
        <v>25.192000000000007</v>
      </c>
      <c r="I60" s="75">
        <f t="shared" si="22"/>
        <v>57.192000000000007</v>
      </c>
      <c r="J60" s="78">
        <f t="shared" si="22"/>
        <v>-65.807999999999993</v>
      </c>
      <c r="K60" s="78">
        <f t="shared" si="22"/>
        <v>-62.807999999999993</v>
      </c>
      <c r="P60" s="150"/>
      <c r="Q60" s="151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</row>
    <row r="61" spans="1:28" ht="15" customHeight="1" x14ac:dyDescent="0.25">
      <c r="A61" s="65" t="s">
        <v>97</v>
      </c>
      <c r="B61" s="54">
        <f>SUM(B59/B57)*100</f>
        <v>117.52761904761904</v>
      </c>
      <c r="C61" s="54">
        <f>SUM(C59/C57)*100</f>
        <v>98.864056939501779</v>
      </c>
      <c r="D61" s="95">
        <f>SUM(D59/D57)*100</f>
        <v>91.697391304347818</v>
      </c>
      <c r="E61" s="95">
        <f>SUM(E59/E57)*100</f>
        <v>93.003578528827035</v>
      </c>
      <c r="F61" s="98">
        <f t="shared" ref="F61:K61" si="23">SUM(F59/F57)*100</f>
        <v>107.07280334728033</v>
      </c>
      <c r="G61" s="54">
        <f t="shared" si="23"/>
        <v>101.60523731587561</v>
      </c>
      <c r="H61" s="54">
        <f t="shared" si="23"/>
        <v>95.708347529812613</v>
      </c>
      <c r="I61" s="54">
        <f t="shared" si="23"/>
        <v>86.05073170731707</v>
      </c>
      <c r="J61" s="54">
        <f t="shared" si="23"/>
        <v>139.17142857142858</v>
      </c>
      <c r="K61" s="54">
        <f t="shared" si="23"/>
        <v>138.77037037037036</v>
      </c>
      <c r="P61" s="150"/>
      <c r="Q61" s="151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</row>
    <row r="62" spans="1:28" x14ac:dyDescent="0.25"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</row>
    <row r="63" spans="1:28" x14ac:dyDescent="0.25">
      <c r="A63" s="111" t="s">
        <v>195</v>
      </c>
      <c r="L63" t="s">
        <v>193</v>
      </c>
    </row>
    <row r="64" spans="1:28" x14ac:dyDescent="0.25">
      <c r="A64" s="65" t="s">
        <v>100</v>
      </c>
      <c r="B64" s="67">
        <v>1</v>
      </c>
      <c r="C64" s="57">
        <v>80</v>
      </c>
      <c r="D64" s="94">
        <v>160</v>
      </c>
      <c r="E64" s="35">
        <v>200</v>
      </c>
      <c r="F64" s="97">
        <v>240</v>
      </c>
      <c r="G64" s="57">
        <v>320</v>
      </c>
      <c r="H64" s="57">
        <v>400</v>
      </c>
      <c r="I64" s="57">
        <v>480</v>
      </c>
      <c r="J64" s="57">
        <v>560</v>
      </c>
      <c r="K64" s="67">
        <v>631</v>
      </c>
    </row>
    <row r="65" spans="1:13" x14ac:dyDescent="0.25">
      <c r="A65" s="65" t="s">
        <v>95</v>
      </c>
      <c r="B65" s="54">
        <v>210</v>
      </c>
      <c r="C65" s="54">
        <v>281</v>
      </c>
      <c r="D65" s="95">
        <v>460</v>
      </c>
      <c r="E65" s="100">
        <v>503</v>
      </c>
      <c r="F65" s="98">
        <v>478</v>
      </c>
      <c r="G65" s="54">
        <v>611</v>
      </c>
      <c r="H65" s="54">
        <v>587</v>
      </c>
      <c r="I65" s="54">
        <v>410</v>
      </c>
      <c r="J65" s="54">
        <v>168</v>
      </c>
      <c r="K65" s="54">
        <v>162</v>
      </c>
      <c r="L65" s="90">
        <v>12</v>
      </c>
      <c r="M65">
        <f>SUM(3.2808*L65)</f>
        <v>39.369600000000005</v>
      </c>
    </row>
    <row r="66" spans="1:13" x14ac:dyDescent="0.25">
      <c r="A66" s="65" t="s">
        <v>116</v>
      </c>
      <c r="B66" s="58">
        <v>344</v>
      </c>
      <c r="C66" s="58">
        <v>381</v>
      </c>
      <c r="D66" s="58">
        <v>545</v>
      </c>
      <c r="E66" s="35">
        <v>545</v>
      </c>
      <c r="F66" s="58">
        <v>646</v>
      </c>
      <c r="G66" s="58">
        <v>766</v>
      </c>
      <c r="H66" s="58">
        <v>702</v>
      </c>
      <c r="I66" s="58">
        <v>474</v>
      </c>
      <c r="J66" s="58">
        <v>330</v>
      </c>
      <c r="K66" s="58">
        <v>319</v>
      </c>
    </row>
    <row r="67" spans="1:13" x14ac:dyDescent="0.25">
      <c r="A67" s="65" t="s">
        <v>115</v>
      </c>
      <c r="B67" s="54">
        <f>SUM(B66+$M$65)</f>
        <v>383.36959999999999</v>
      </c>
      <c r="C67" s="54">
        <f t="shared" ref="C67:K67" si="24">SUM(C66+$M$65)</f>
        <v>420.36959999999999</v>
      </c>
      <c r="D67" s="54">
        <f t="shared" si="24"/>
        <v>584.36959999999999</v>
      </c>
      <c r="E67" s="54">
        <f t="shared" si="24"/>
        <v>584.36959999999999</v>
      </c>
      <c r="F67" s="54">
        <f t="shared" si="24"/>
        <v>685.36959999999999</v>
      </c>
      <c r="G67" s="54">
        <f t="shared" si="24"/>
        <v>805.36959999999999</v>
      </c>
      <c r="H67" s="54">
        <f t="shared" si="24"/>
        <v>741.36959999999999</v>
      </c>
      <c r="I67" s="54">
        <f t="shared" si="24"/>
        <v>513.36959999999999</v>
      </c>
      <c r="J67" s="54">
        <f t="shared" si="24"/>
        <v>369.36959999999999</v>
      </c>
      <c r="K67" s="54">
        <f t="shared" si="24"/>
        <v>358.36959999999999</v>
      </c>
    </row>
    <row r="68" spans="1:13" x14ac:dyDescent="0.25">
      <c r="A68" s="65" t="s">
        <v>96</v>
      </c>
      <c r="B68" s="77">
        <f>SUM(B65-B67)</f>
        <v>-173.36959999999999</v>
      </c>
      <c r="C68" s="77">
        <f t="shared" ref="C68:K68" si="25">SUM(C65-C67)</f>
        <v>-139.36959999999999</v>
      </c>
      <c r="D68" s="77">
        <f t="shared" si="25"/>
        <v>-124.36959999999999</v>
      </c>
      <c r="E68" s="77">
        <f t="shared" si="25"/>
        <v>-81.369599999999991</v>
      </c>
      <c r="F68" s="77">
        <f t="shared" si="25"/>
        <v>-207.36959999999999</v>
      </c>
      <c r="G68" s="77">
        <f t="shared" si="25"/>
        <v>-194.36959999999999</v>
      </c>
      <c r="H68" s="77">
        <f t="shared" si="25"/>
        <v>-154.36959999999999</v>
      </c>
      <c r="I68" s="77">
        <f t="shared" si="25"/>
        <v>-103.36959999999999</v>
      </c>
      <c r="J68" s="77">
        <f t="shared" si="25"/>
        <v>-201.36959999999999</v>
      </c>
      <c r="K68" s="77">
        <f t="shared" si="25"/>
        <v>-196.36959999999999</v>
      </c>
    </row>
    <row r="69" spans="1:13" x14ac:dyDescent="0.25">
      <c r="A69" s="65" t="s">
        <v>97</v>
      </c>
      <c r="B69" s="54">
        <f>SUM(B67/B65)*100</f>
        <v>182.55695238095237</v>
      </c>
      <c r="C69" s="54">
        <f>SUM(C67/C65)*100</f>
        <v>149.5977224199288</v>
      </c>
      <c r="D69" s="95">
        <f>SUM(D67/D65)*100</f>
        <v>127.03686956521739</v>
      </c>
      <c r="E69" s="95">
        <f>SUM(E67/E65)*100</f>
        <v>116.17685884691849</v>
      </c>
      <c r="F69" s="98">
        <f t="shared" ref="F69:K69" si="26">SUM(F67/F65)*100</f>
        <v>143.38276150627615</v>
      </c>
      <c r="G69" s="54">
        <f t="shared" si="26"/>
        <v>131.8117184942717</v>
      </c>
      <c r="H69" s="54">
        <f t="shared" si="26"/>
        <v>126.29805792163545</v>
      </c>
      <c r="I69" s="54">
        <f t="shared" si="26"/>
        <v>125.21209756097559</v>
      </c>
      <c r="J69" s="54">
        <f t="shared" si="26"/>
        <v>219.86285714285714</v>
      </c>
      <c r="K69" s="54">
        <f t="shared" si="26"/>
        <v>221.21580246913578</v>
      </c>
    </row>
    <row r="70" spans="1:13" x14ac:dyDescent="0.25">
      <c r="A70" s="89" t="s">
        <v>194</v>
      </c>
    </row>
    <row r="71" spans="1:13" x14ac:dyDescent="0.25">
      <c r="A71" s="65" t="s">
        <v>100</v>
      </c>
      <c r="B71" s="67">
        <v>1</v>
      </c>
      <c r="C71" s="57">
        <v>80</v>
      </c>
      <c r="D71" s="94">
        <v>160</v>
      </c>
      <c r="E71" s="35">
        <v>200</v>
      </c>
      <c r="F71" s="97">
        <v>240</v>
      </c>
      <c r="G71" s="57">
        <v>320</v>
      </c>
      <c r="H71" s="57">
        <v>400</v>
      </c>
      <c r="I71" s="57">
        <v>480</v>
      </c>
      <c r="J71" s="57">
        <v>560</v>
      </c>
      <c r="K71" s="67">
        <v>631</v>
      </c>
    </row>
    <row r="72" spans="1:13" x14ac:dyDescent="0.25">
      <c r="A72" s="65" t="s">
        <v>95</v>
      </c>
      <c r="B72" s="54">
        <v>210</v>
      </c>
      <c r="C72" s="54">
        <v>281</v>
      </c>
      <c r="D72" s="95">
        <v>460</v>
      </c>
      <c r="E72" s="100">
        <v>503</v>
      </c>
      <c r="F72" s="98">
        <v>478</v>
      </c>
      <c r="G72" s="54">
        <v>611</v>
      </c>
      <c r="H72" s="54">
        <v>587</v>
      </c>
      <c r="I72" s="54">
        <v>410</v>
      </c>
      <c r="J72" s="54">
        <v>168</v>
      </c>
      <c r="K72" s="54">
        <v>162</v>
      </c>
      <c r="L72" s="90">
        <v>12</v>
      </c>
      <c r="M72">
        <f>SUM(3.2808*L72)</f>
        <v>39.369600000000005</v>
      </c>
    </row>
    <row r="73" spans="1:13" x14ac:dyDescent="0.25">
      <c r="A73" s="65" t="s">
        <v>116</v>
      </c>
      <c r="B73" s="58">
        <v>189</v>
      </c>
      <c r="C73" s="58">
        <v>238</v>
      </c>
      <c r="D73" s="58">
        <v>394</v>
      </c>
      <c r="E73" s="35">
        <v>441</v>
      </c>
      <c r="F73" s="58">
        <v>489</v>
      </c>
      <c r="G73" s="58">
        <v>607</v>
      </c>
      <c r="H73" s="58">
        <v>546</v>
      </c>
      <c r="I73" s="58">
        <v>343</v>
      </c>
      <c r="J73" s="58">
        <v>174</v>
      </c>
      <c r="K73" s="58">
        <v>168</v>
      </c>
    </row>
    <row r="74" spans="1:13" x14ac:dyDescent="0.25">
      <c r="A74" s="65" t="s">
        <v>115</v>
      </c>
      <c r="B74" s="54">
        <f t="shared" ref="B74:K74" si="27">SUM(B73+$M$65)</f>
        <v>228.36959999999999</v>
      </c>
      <c r="C74" s="54">
        <f t="shared" si="27"/>
        <v>277.36959999999999</v>
      </c>
      <c r="D74" s="54">
        <f t="shared" si="27"/>
        <v>433.36959999999999</v>
      </c>
      <c r="E74" s="54">
        <f t="shared" si="27"/>
        <v>480.36959999999999</v>
      </c>
      <c r="F74" s="54">
        <f t="shared" si="27"/>
        <v>528.36959999999999</v>
      </c>
      <c r="G74" s="54">
        <f t="shared" si="27"/>
        <v>646.36959999999999</v>
      </c>
      <c r="H74" s="54">
        <f t="shared" si="27"/>
        <v>585.36959999999999</v>
      </c>
      <c r="I74" s="54">
        <f t="shared" si="27"/>
        <v>382.36959999999999</v>
      </c>
      <c r="J74" s="54">
        <f t="shared" si="27"/>
        <v>213.36959999999999</v>
      </c>
      <c r="K74" s="54">
        <f t="shared" si="27"/>
        <v>207.36959999999999</v>
      </c>
    </row>
    <row r="75" spans="1:13" x14ac:dyDescent="0.25">
      <c r="A75" s="65" t="s">
        <v>96</v>
      </c>
      <c r="B75" s="74">
        <f t="shared" ref="B75:K75" si="28">SUM(B72-B74)</f>
        <v>-18.369599999999991</v>
      </c>
      <c r="C75" s="62">
        <f t="shared" si="28"/>
        <v>3.6304000000000087</v>
      </c>
      <c r="D75" s="62">
        <f t="shared" si="28"/>
        <v>26.630400000000009</v>
      </c>
      <c r="E75" s="62">
        <f t="shared" si="28"/>
        <v>22.630400000000009</v>
      </c>
      <c r="F75" s="74">
        <f t="shared" si="28"/>
        <v>-50.369599999999991</v>
      </c>
      <c r="G75" s="74">
        <f t="shared" si="28"/>
        <v>-35.369599999999991</v>
      </c>
      <c r="H75" s="62">
        <f t="shared" si="28"/>
        <v>1.6304000000000087</v>
      </c>
      <c r="I75" s="62">
        <f t="shared" si="28"/>
        <v>27.630400000000009</v>
      </c>
      <c r="J75" s="74">
        <f t="shared" si="28"/>
        <v>-45.369599999999991</v>
      </c>
      <c r="K75" s="74">
        <f t="shared" si="28"/>
        <v>-45.369599999999991</v>
      </c>
    </row>
    <row r="76" spans="1:13" x14ac:dyDescent="0.25">
      <c r="A76" s="65" t="s">
        <v>97</v>
      </c>
      <c r="B76" s="54">
        <f>SUM(B74/B72)*100</f>
        <v>108.74742857142856</v>
      </c>
      <c r="C76" s="54">
        <f>SUM(C74/C72)*100</f>
        <v>98.708042704626337</v>
      </c>
      <c r="D76" s="95">
        <f>SUM(D74/D72)*100</f>
        <v>94.210782608695652</v>
      </c>
      <c r="E76" s="95">
        <f>SUM(E74/E72)*100</f>
        <v>95.500914512922463</v>
      </c>
      <c r="F76" s="98">
        <f t="shared" ref="F76:K76" si="29">SUM(F74/F72)*100</f>
        <v>110.53757322175733</v>
      </c>
      <c r="G76" s="54">
        <f t="shared" si="29"/>
        <v>105.78880523731587</v>
      </c>
      <c r="H76" s="54">
        <f t="shared" si="29"/>
        <v>99.722248722316863</v>
      </c>
      <c r="I76" s="54">
        <f t="shared" si="29"/>
        <v>93.260878048780484</v>
      </c>
      <c r="J76" s="54">
        <f t="shared" si="29"/>
        <v>127.00571428571428</v>
      </c>
      <c r="K76" s="54">
        <f t="shared" si="29"/>
        <v>128.00592592592594</v>
      </c>
    </row>
    <row r="77" spans="1:13" x14ac:dyDescent="0.25">
      <c r="A77" s="89" t="s">
        <v>196</v>
      </c>
    </row>
    <row r="78" spans="1:13" x14ac:dyDescent="0.25">
      <c r="A78" s="65" t="s">
        <v>100</v>
      </c>
      <c r="B78" s="67">
        <v>1</v>
      </c>
      <c r="C78" s="57">
        <v>80</v>
      </c>
      <c r="D78" s="94">
        <v>160</v>
      </c>
      <c r="E78" s="35">
        <v>200</v>
      </c>
      <c r="F78" s="97">
        <v>240</v>
      </c>
      <c r="G78" s="57">
        <v>320</v>
      </c>
      <c r="H78" s="57">
        <v>400</v>
      </c>
      <c r="I78" s="57">
        <v>480</v>
      </c>
      <c r="J78" s="57">
        <v>560</v>
      </c>
      <c r="K78" s="67">
        <v>631</v>
      </c>
      <c r="L78" s="90">
        <v>12</v>
      </c>
      <c r="M78">
        <f>SUM(3.2808*L78)</f>
        <v>39.369600000000005</v>
      </c>
    </row>
    <row r="79" spans="1:13" x14ac:dyDescent="0.25">
      <c r="A79" s="65" t="s">
        <v>95</v>
      </c>
      <c r="B79" s="54">
        <v>210</v>
      </c>
      <c r="C79" s="54">
        <v>281</v>
      </c>
      <c r="D79" s="95">
        <v>460</v>
      </c>
      <c r="E79" s="100">
        <v>503</v>
      </c>
      <c r="F79" s="98">
        <v>478</v>
      </c>
      <c r="G79" s="54">
        <v>611</v>
      </c>
      <c r="H79" s="54">
        <v>587</v>
      </c>
      <c r="I79" s="54">
        <v>410</v>
      </c>
      <c r="J79" s="54">
        <v>168</v>
      </c>
      <c r="K79" s="54">
        <v>162</v>
      </c>
    </row>
    <row r="80" spans="1:13" x14ac:dyDescent="0.25">
      <c r="A80" s="65" t="s">
        <v>116</v>
      </c>
      <c r="B80" s="58">
        <v>183</v>
      </c>
      <c r="C80" s="58">
        <v>232</v>
      </c>
      <c r="D80" s="58">
        <v>389</v>
      </c>
      <c r="E80" s="35">
        <v>436</v>
      </c>
      <c r="F80" s="58">
        <v>484</v>
      </c>
      <c r="G80" s="58">
        <v>605</v>
      </c>
      <c r="H80" s="58">
        <v>540</v>
      </c>
      <c r="I80" s="58">
        <v>337</v>
      </c>
      <c r="J80" s="58">
        <v>166</v>
      </c>
      <c r="K80" s="58">
        <v>159</v>
      </c>
    </row>
    <row r="81" spans="1:13" x14ac:dyDescent="0.25">
      <c r="A81" s="65" t="s">
        <v>115</v>
      </c>
      <c r="B81" s="54">
        <f t="shared" ref="B81:K81" si="30">SUM(B80+$M$65)</f>
        <v>222.36959999999999</v>
      </c>
      <c r="C81" s="54">
        <f t="shared" si="30"/>
        <v>271.36959999999999</v>
      </c>
      <c r="D81" s="54">
        <f t="shared" si="30"/>
        <v>428.36959999999999</v>
      </c>
      <c r="E81" s="54">
        <f t="shared" si="30"/>
        <v>475.36959999999999</v>
      </c>
      <c r="F81" s="54">
        <f t="shared" si="30"/>
        <v>523.36959999999999</v>
      </c>
      <c r="G81" s="54">
        <f t="shared" si="30"/>
        <v>644.36959999999999</v>
      </c>
      <c r="H81" s="54">
        <f t="shared" si="30"/>
        <v>579.36959999999999</v>
      </c>
      <c r="I81" s="54">
        <f t="shared" si="30"/>
        <v>376.36959999999999</v>
      </c>
      <c r="J81" s="54">
        <f t="shared" si="30"/>
        <v>205.36959999999999</v>
      </c>
      <c r="K81" s="54">
        <f t="shared" si="30"/>
        <v>198.36959999999999</v>
      </c>
    </row>
    <row r="82" spans="1:13" x14ac:dyDescent="0.25">
      <c r="A82" s="65" t="s">
        <v>96</v>
      </c>
      <c r="B82" s="74">
        <f t="shared" ref="B82:K82" si="31">SUM(B79-B81)</f>
        <v>-12.369599999999991</v>
      </c>
      <c r="C82" s="62">
        <f t="shared" si="31"/>
        <v>9.6304000000000087</v>
      </c>
      <c r="D82" s="62">
        <f t="shared" si="31"/>
        <v>31.630400000000009</v>
      </c>
      <c r="E82" s="62">
        <f t="shared" si="31"/>
        <v>27.630400000000009</v>
      </c>
      <c r="F82" s="74">
        <f t="shared" si="31"/>
        <v>-45.369599999999991</v>
      </c>
      <c r="G82" s="74">
        <f t="shared" si="31"/>
        <v>-33.369599999999991</v>
      </c>
      <c r="H82" s="62">
        <f t="shared" si="31"/>
        <v>7.6304000000000087</v>
      </c>
      <c r="I82" s="62">
        <f t="shared" si="31"/>
        <v>33.630400000000009</v>
      </c>
      <c r="J82" s="74">
        <f t="shared" si="31"/>
        <v>-37.369599999999991</v>
      </c>
      <c r="K82" s="74">
        <f t="shared" si="31"/>
        <v>-36.369599999999991</v>
      </c>
    </row>
    <row r="83" spans="1:13" x14ac:dyDescent="0.25">
      <c r="A83" s="65" t="s">
        <v>97</v>
      </c>
      <c r="B83" s="54">
        <f>SUM(B81/B79)*100</f>
        <v>105.89028571428571</v>
      </c>
      <c r="C83" s="54">
        <f>SUM(C81/C79)*100</f>
        <v>96.572811387900344</v>
      </c>
      <c r="D83" s="95">
        <f>SUM(D81/D79)*100</f>
        <v>93.123826086956512</v>
      </c>
      <c r="E83" s="95">
        <f>SUM(E81/E79)*100</f>
        <v>94.506878727634188</v>
      </c>
      <c r="F83" s="98">
        <f t="shared" ref="F83:K83" si="32">SUM(F81/F79)*100</f>
        <v>109.49154811715481</v>
      </c>
      <c r="G83" s="54">
        <f t="shared" si="32"/>
        <v>105.46147299509001</v>
      </c>
      <c r="H83" s="54">
        <f t="shared" si="32"/>
        <v>98.700102214650769</v>
      </c>
      <c r="I83" s="54">
        <f t="shared" si="32"/>
        <v>91.797463414634137</v>
      </c>
      <c r="J83" s="54">
        <f t="shared" si="32"/>
        <v>122.24380952380952</v>
      </c>
      <c r="K83" s="54">
        <f t="shared" si="32"/>
        <v>122.45037037037036</v>
      </c>
    </row>
    <row r="84" spans="1:13" x14ac:dyDescent="0.25">
      <c r="A84" s="89" t="s">
        <v>197</v>
      </c>
      <c r="M84" t="s">
        <v>198</v>
      </c>
    </row>
    <row r="85" spans="1:13" x14ac:dyDescent="0.25">
      <c r="A85" s="65" t="s">
        <v>100</v>
      </c>
      <c r="B85" s="67">
        <v>1</v>
      </c>
      <c r="C85" s="57">
        <v>80</v>
      </c>
      <c r="D85" s="94">
        <v>160</v>
      </c>
      <c r="E85" s="35">
        <v>200</v>
      </c>
      <c r="F85" s="97">
        <v>240</v>
      </c>
      <c r="G85" s="57">
        <v>320</v>
      </c>
      <c r="H85" s="57">
        <v>400</v>
      </c>
      <c r="I85" s="57">
        <v>480</v>
      </c>
      <c r="J85" s="57">
        <v>560</v>
      </c>
      <c r="K85" s="67">
        <v>631</v>
      </c>
      <c r="L85" s="90">
        <v>11</v>
      </c>
      <c r="M85">
        <f>SUM(3.2808*L85)</f>
        <v>36.088799999999999</v>
      </c>
    </row>
    <row r="86" spans="1:13" x14ac:dyDescent="0.25">
      <c r="A86" s="65" t="s">
        <v>95</v>
      </c>
      <c r="B86" s="54">
        <v>210</v>
      </c>
      <c r="C86" s="54">
        <v>281</v>
      </c>
      <c r="D86" s="95">
        <v>460</v>
      </c>
      <c r="E86" s="100">
        <v>503</v>
      </c>
      <c r="F86" s="98">
        <v>478</v>
      </c>
      <c r="G86" s="54">
        <v>611</v>
      </c>
      <c r="H86" s="54">
        <v>587</v>
      </c>
      <c r="I86" s="54">
        <v>410</v>
      </c>
      <c r="J86" s="54">
        <v>168</v>
      </c>
      <c r="K86" s="54">
        <v>162</v>
      </c>
    </row>
    <row r="87" spans="1:13" x14ac:dyDescent="0.25">
      <c r="A87" s="65" t="s">
        <v>116</v>
      </c>
      <c r="B87" s="58">
        <v>209</v>
      </c>
      <c r="C87" s="58">
        <v>253</v>
      </c>
      <c r="D87" s="58">
        <v>402</v>
      </c>
      <c r="E87" s="35">
        <v>447</v>
      </c>
      <c r="F87" s="58">
        <v>482</v>
      </c>
      <c r="G87" s="58">
        <v>608</v>
      </c>
      <c r="H87" s="58">
        <v>540</v>
      </c>
      <c r="I87" s="58">
        <v>350</v>
      </c>
      <c r="J87" s="58">
        <v>195</v>
      </c>
      <c r="K87" s="58">
        <v>188</v>
      </c>
    </row>
    <row r="88" spans="1:13" x14ac:dyDescent="0.25">
      <c r="A88" s="65" t="s">
        <v>115</v>
      </c>
      <c r="B88" s="54">
        <f>SUM(B87+$M$85)</f>
        <v>245.08879999999999</v>
      </c>
      <c r="C88" s="54">
        <f t="shared" ref="C88:K88" si="33">SUM(C87+$M$85)</f>
        <v>289.08879999999999</v>
      </c>
      <c r="D88" s="54">
        <f t="shared" si="33"/>
        <v>438.08879999999999</v>
      </c>
      <c r="E88" s="54">
        <f t="shared" si="33"/>
        <v>483.08879999999999</v>
      </c>
      <c r="F88" s="54">
        <f t="shared" si="33"/>
        <v>518.08879999999999</v>
      </c>
      <c r="G88" s="54">
        <f t="shared" si="33"/>
        <v>644.08879999999999</v>
      </c>
      <c r="H88" s="54">
        <f t="shared" si="33"/>
        <v>576.08879999999999</v>
      </c>
      <c r="I88" s="54">
        <f t="shared" si="33"/>
        <v>386.08879999999999</v>
      </c>
      <c r="J88" s="54">
        <f t="shared" si="33"/>
        <v>231.08879999999999</v>
      </c>
      <c r="K88" s="54">
        <f t="shared" si="33"/>
        <v>224.08879999999999</v>
      </c>
    </row>
    <row r="89" spans="1:13" x14ac:dyDescent="0.25">
      <c r="A89" s="65" t="s">
        <v>96</v>
      </c>
      <c r="B89" s="74">
        <f t="shared" ref="B89:K89" si="34">SUM(B86-B88)</f>
        <v>-35.088799999999992</v>
      </c>
      <c r="C89" s="63">
        <f t="shared" si="34"/>
        <v>-8.088799999999992</v>
      </c>
      <c r="D89" s="62">
        <f t="shared" si="34"/>
        <v>21.911200000000008</v>
      </c>
      <c r="E89" s="62">
        <f t="shared" si="34"/>
        <v>19.911200000000008</v>
      </c>
      <c r="F89" s="74">
        <f t="shared" si="34"/>
        <v>-40.088799999999992</v>
      </c>
      <c r="G89" s="74">
        <f t="shared" si="34"/>
        <v>-33.088799999999992</v>
      </c>
      <c r="H89" s="62">
        <f t="shared" si="34"/>
        <v>10.911200000000008</v>
      </c>
      <c r="I89" s="62">
        <f t="shared" si="34"/>
        <v>23.911200000000008</v>
      </c>
      <c r="J89" s="74">
        <f t="shared" si="34"/>
        <v>-63.088799999999992</v>
      </c>
      <c r="K89" s="74">
        <f t="shared" si="34"/>
        <v>-62.088799999999992</v>
      </c>
    </row>
    <row r="90" spans="1:13" x14ac:dyDescent="0.25">
      <c r="A90" s="65" t="s">
        <v>97</v>
      </c>
      <c r="B90" s="54">
        <f>SUM(B88/B86)*100</f>
        <v>116.70895238095238</v>
      </c>
      <c r="C90" s="54">
        <f>SUM(C88/C86)*100</f>
        <v>102.87857651245551</v>
      </c>
      <c r="D90" s="95">
        <f>SUM(D88/D86)*100</f>
        <v>95.236695652173907</v>
      </c>
      <c r="E90" s="95">
        <f>SUM(E88/E86)*100</f>
        <v>96.041510934393642</v>
      </c>
      <c r="F90" s="98">
        <f t="shared" ref="F90:K90" si="35">SUM(F88/F86)*100</f>
        <v>108.38677824267782</v>
      </c>
      <c r="G90" s="54">
        <f t="shared" si="35"/>
        <v>105.4155155482815</v>
      </c>
      <c r="H90" s="54">
        <f t="shared" si="35"/>
        <v>98.141192504258939</v>
      </c>
      <c r="I90" s="54">
        <f t="shared" si="35"/>
        <v>94.167999999999992</v>
      </c>
      <c r="J90" s="54">
        <f t="shared" si="35"/>
        <v>137.55285714285714</v>
      </c>
      <c r="K90" s="54">
        <f t="shared" si="35"/>
        <v>138.32641975308641</v>
      </c>
    </row>
    <row r="92" spans="1:13" x14ac:dyDescent="0.25">
      <c r="A92" s="89" t="s">
        <v>199</v>
      </c>
      <c r="M92" t="s">
        <v>198</v>
      </c>
    </row>
    <row r="93" spans="1:13" x14ac:dyDescent="0.25">
      <c r="A93" s="65" t="s">
        <v>100</v>
      </c>
      <c r="B93" s="67">
        <v>1</v>
      </c>
      <c r="C93" s="57">
        <v>80</v>
      </c>
      <c r="D93" s="94">
        <v>160</v>
      </c>
      <c r="E93" s="35">
        <v>200</v>
      </c>
      <c r="F93" s="97">
        <v>240</v>
      </c>
      <c r="G93" s="57">
        <v>320</v>
      </c>
      <c r="H93" s="57">
        <v>400</v>
      </c>
      <c r="I93" s="57">
        <v>480</v>
      </c>
      <c r="J93" s="57">
        <v>560</v>
      </c>
      <c r="K93" s="67">
        <v>631</v>
      </c>
      <c r="L93" s="90">
        <v>15</v>
      </c>
      <c r="M93">
        <f>SUM(3.2808*L93)</f>
        <v>49.212000000000003</v>
      </c>
    </row>
    <row r="94" spans="1:13" x14ac:dyDescent="0.25">
      <c r="A94" s="65" t="s">
        <v>95</v>
      </c>
      <c r="B94" s="54">
        <v>210</v>
      </c>
      <c r="C94" s="54">
        <v>281</v>
      </c>
      <c r="D94" s="95">
        <v>460</v>
      </c>
      <c r="E94" s="100">
        <v>503</v>
      </c>
      <c r="F94" s="98">
        <v>478</v>
      </c>
      <c r="G94" s="54">
        <v>611</v>
      </c>
      <c r="H94" s="54">
        <v>587</v>
      </c>
      <c r="I94" s="54">
        <v>410</v>
      </c>
      <c r="J94" s="54">
        <v>168</v>
      </c>
      <c r="K94" s="54">
        <v>162</v>
      </c>
    </row>
    <row r="95" spans="1:13" x14ac:dyDescent="0.25">
      <c r="A95" s="65" t="s">
        <v>116</v>
      </c>
      <c r="B95" s="58">
        <v>197</v>
      </c>
      <c r="C95" s="58">
        <v>223</v>
      </c>
      <c r="D95" s="58">
        <v>349</v>
      </c>
      <c r="E95" s="35">
        <v>403</v>
      </c>
      <c r="F95" s="58">
        <v>445</v>
      </c>
      <c r="G95" s="58">
        <v>592</v>
      </c>
      <c r="H95" s="58">
        <v>540</v>
      </c>
      <c r="I95" s="58">
        <v>350</v>
      </c>
      <c r="J95" s="58">
        <v>195</v>
      </c>
      <c r="K95" s="58">
        <v>188</v>
      </c>
    </row>
    <row r="96" spans="1:13" x14ac:dyDescent="0.25">
      <c r="A96" s="65" t="s">
        <v>115</v>
      </c>
      <c r="B96" s="54">
        <f>SUM(B95+$M$93)</f>
        <v>246.21199999999999</v>
      </c>
      <c r="C96" s="54">
        <f t="shared" ref="C96:K96" si="36">SUM(C95+$M$85)</f>
        <v>259.08879999999999</v>
      </c>
      <c r="D96" s="54">
        <f t="shared" si="36"/>
        <v>385.08879999999999</v>
      </c>
      <c r="E96" s="54">
        <f t="shared" si="36"/>
        <v>439.08879999999999</v>
      </c>
      <c r="F96" s="54">
        <f t="shared" si="36"/>
        <v>481.08879999999999</v>
      </c>
      <c r="G96" s="54">
        <f t="shared" si="36"/>
        <v>628.08879999999999</v>
      </c>
      <c r="H96" s="54">
        <f t="shared" si="36"/>
        <v>576.08879999999999</v>
      </c>
      <c r="I96" s="54">
        <f t="shared" si="36"/>
        <v>386.08879999999999</v>
      </c>
      <c r="J96" s="54">
        <f t="shared" si="36"/>
        <v>231.08879999999999</v>
      </c>
      <c r="K96" s="54">
        <f t="shared" si="36"/>
        <v>224.08879999999999</v>
      </c>
    </row>
    <row r="97" spans="1:13" x14ac:dyDescent="0.25">
      <c r="A97" s="65" t="s">
        <v>96</v>
      </c>
      <c r="B97" s="74">
        <f t="shared" ref="B97:K97" si="37">SUM(B94-B96)</f>
        <v>-36.211999999999989</v>
      </c>
      <c r="C97" s="62">
        <f t="shared" si="37"/>
        <v>21.911200000000008</v>
      </c>
      <c r="D97" s="62">
        <f t="shared" si="37"/>
        <v>74.911200000000008</v>
      </c>
      <c r="E97" s="62">
        <f t="shared" si="37"/>
        <v>63.911200000000008</v>
      </c>
      <c r="F97" s="74">
        <f t="shared" si="37"/>
        <v>-3.088799999999992</v>
      </c>
      <c r="G97" s="74">
        <f t="shared" si="37"/>
        <v>-17.088799999999992</v>
      </c>
      <c r="H97" s="62">
        <f t="shared" si="37"/>
        <v>10.911200000000008</v>
      </c>
      <c r="I97" s="62">
        <f t="shared" si="37"/>
        <v>23.911200000000008</v>
      </c>
      <c r="J97" s="74">
        <f t="shared" si="37"/>
        <v>-63.088799999999992</v>
      </c>
      <c r="K97" s="74">
        <f t="shared" si="37"/>
        <v>-62.088799999999992</v>
      </c>
    </row>
    <row r="98" spans="1:13" x14ac:dyDescent="0.25">
      <c r="A98" s="65" t="s">
        <v>97</v>
      </c>
      <c r="B98" s="54">
        <f>SUM(B96/B94)*100</f>
        <v>117.24380952380953</v>
      </c>
      <c r="C98" s="54">
        <f>SUM(C96/C94)*100</f>
        <v>92.20241992882562</v>
      </c>
      <c r="D98" s="95">
        <f>SUM(D96/D94)*100</f>
        <v>83.714956521739126</v>
      </c>
      <c r="E98" s="95">
        <f>SUM(E96/E94)*100</f>
        <v>87.293996023856863</v>
      </c>
      <c r="F98" s="98">
        <f t="shared" ref="F98:K98" si="38">SUM(F96/F94)*100</f>
        <v>100.64619246861926</v>
      </c>
      <c r="G98" s="54">
        <f t="shared" si="38"/>
        <v>102.79685761047463</v>
      </c>
      <c r="H98" s="54">
        <f t="shared" si="38"/>
        <v>98.141192504258939</v>
      </c>
      <c r="I98" s="54">
        <f t="shared" si="38"/>
        <v>94.167999999999992</v>
      </c>
      <c r="J98" s="54">
        <f t="shared" si="38"/>
        <v>137.55285714285714</v>
      </c>
      <c r="K98" s="54">
        <f t="shared" si="38"/>
        <v>138.32641975308641</v>
      </c>
    </row>
    <row r="100" spans="1:13" x14ac:dyDescent="0.25">
      <c r="A100" s="89" t="s">
        <v>200</v>
      </c>
      <c r="M100" t="s">
        <v>198</v>
      </c>
    </row>
    <row r="101" spans="1:13" x14ac:dyDescent="0.25">
      <c r="A101" s="65" t="s">
        <v>100</v>
      </c>
      <c r="B101" s="67">
        <v>1</v>
      </c>
      <c r="C101" s="57">
        <v>80</v>
      </c>
      <c r="D101" s="94">
        <v>160</v>
      </c>
      <c r="E101" s="35">
        <v>200</v>
      </c>
      <c r="F101" s="97">
        <v>240</v>
      </c>
      <c r="G101" s="57">
        <v>320</v>
      </c>
      <c r="H101" s="57">
        <v>400</v>
      </c>
      <c r="I101" s="57">
        <v>480</v>
      </c>
      <c r="J101" s="57">
        <v>560</v>
      </c>
      <c r="K101" s="67">
        <v>631</v>
      </c>
      <c r="L101" s="90">
        <v>15</v>
      </c>
      <c r="M101">
        <f>SUM(3.2808*L101)</f>
        <v>49.212000000000003</v>
      </c>
    </row>
    <row r="102" spans="1:13" x14ac:dyDescent="0.25">
      <c r="A102" s="65" t="s">
        <v>95</v>
      </c>
      <c r="B102" s="54">
        <v>210</v>
      </c>
      <c r="C102" s="54">
        <v>281</v>
      </c>
      <c r="D102" s="95">
        <v>460</v>
      </c>
      <c r="E102" s="100">
        <v>503</v>
      </c>
      <c r="F102" s="98">
        <v>478</v>
      </c>
      <c r="G102" s="54">
        <v>611</v>
      </c>
      <c r="H102" s="54">
        <v>587</v>
      </c>
      <c r="I102" s="54">
        <v>410</v>
      </c>
      <c r="J102" s="54">
        <v>168</v>
      </c>
      <c r="K102" s="54">
        <v>162</v>
      </c>
    </row>
    <row r="103" spans="1:13" x14ac:dyDescent="0.25">
      <c r="A103" s="65" t="s">
        <v>116</v>
      </c>
      <c r="B103" s="58">
        <v>140</v>
      </c>
      <c r="C103" s="58">
        <v>166</v>
      </c>
      <c r="D103" s="58">
        <v>350</v>
      </c>
      <c r="E103" s="35">
        <v>403</v>
      </c>
      <c r="F103" s="58">
        <v>444</v>
      </c>
      <c r="G103" s="58">
        <v>594</v>
      </c>
      <c r="H103" s="58">
        <v>438</v>
      </c>
      <c r="I103" s="58">
        <v>350</v>
      </c>
      <c r="J103" s="58">
        <v>132</v>
      </c>
      <c r="K103" s="58">
        <v>188</v>
      </c>
    </row>
    <row r="104" spans="1:13" x14ac:dyDescent="0.25">
      <c r="A104" s="65" t="s">
        <v>115</v>
      </c>
      <c r="B104" s="54">
        <f>SUM(B103+$M$93)</f>
        <v>189.21199999999999</v>
      </c>
      <c r="C104" s="54">
        <f t="shared" ref="C104:K104" si="39">SUM(C103+$M$85)</f>
        <v>202.08879999999999</v>
      </c>
      <c r="D104" s="54">
        <f t="shared" si="39"/>
        <v>386.08879999999999</v>
      </c>
      <c r="E104" s="54">
        <f t="shared" si="39"/>
        <v>439.08879999999999</v>
      </c>
      <c r="F104" s="54">
        <f t="shared" si="39"/>
        <v>480.08879999999999</v>
      </c>
      <c r="G104" s="54">
        <f t="shared" si="39"/>
        <v>630.08879999999999</v>
      </c>
      <c r="H104" s="54">
        <f t="shared" si="39"/>
        <v>474.08879999999999</v>
      </c>
      <c r="I104" s="54">
        <f t="shared" si="39"/>
        <v>386.08879999999999</v>
      </c>
      <c r="J104" s="54">
        <f t="shared" si="39"/>
        <v>168.08879999999999</v>
      </c>
      <c r="K104" s="54">
        <f t="shared" si="39"/>
        <v>224.08879999999999</v>
      </c>
    </row>
    <row r="105" spans="1:13" x14ac:dyDescent="0.25">
      <c r="A105" s="65" t="s">
        <v>96</v>
      </c>
      <c r="B105" s="62">
        <f t="shared" ref="B105:K105" si="40">SUM(B102-B104)</f>
        <v>20.788000000000011</v>
      </c>
      <c r="C105" s="62">
        <f t="shared" si="40"/>
        <v>78.911200000000008</v>
      </c>
      <c r="D105" s="62">
        <f t="shared" si="40"/>
        <v>73.911200000000008</v>
      </c>
      <c r="E105" s="62">
        <f t="shared" si="40"/>
        <v>63.911200000000008</v>
      </c>
      <c r="F105" s="74">
        <f t="shared" si="40"/>
        <v>-2.088799999999992</v>
      </c>
      <c r="G105" s="74">
        <f t="shared" si="40"/>
        <v>-19.088799999999992</v>
      </c>
      <c r="H105" s="62">
        <f t="shared" si="40"/>
        <v>112.91120000000001</v>
      </c>
      <c r="I105" s="62">
        <f t="shared" si="40"/>
        <v>23.911200000000008</v>
      </c>
      <c r="J105" s="74">
        <f t="shared" si="40"/>
        <v>-8.8799999999991996E-2</v>
      </c>
      <c r="K105" s="74">
        <f t="shared" si="40"/>
        <v>-62.088799999999992</v>
      </c>
    </row>
    <row r="106" spans="1:13" x14ac:dyDescent="0.25">
      <c r="A106" s="65" t="s">
        <v>97</v>
      </c>
      <c r="B106" s="54">
        <f>SUM(B104/B102)*100</f>
        <v>90.100952380952364</v>
      </c>
      <c r="C106" s="54">
        <f>SUM(C104/C102)*100</f>
        <v>71.917722419928822</v>
      </c>
      <c r="D106" s="95">
        <f>SUM(D104/D102)*100</f>
        <v>83.932347826086954</v>
      </c>
      <c r="E106" s="95">
        <f>SUM(E104/E102)*100</f>
        <v>87.293996023856863</v>
      </c>
      <c r="F106" s="98">
        <f t="shared" ref="F106:K106" si="41">SUM(F104/F102)*100</f>
        <v>100.43698744769873</v>
      </c>
      <c r="G106" s="54">
        <f t="shared" si="41"/>
        <v>103.12418985270048</v>
      </c>
      <c r="H106" s="54">
        <f t="shared" si="41"/>
        <v>80.764701873935266</v>
      </c>
      <c r="I106" s="54">
        <f t="shared" si="41"/>
        <v>94.167999999999992</v>
      </c>
      <c r="J106" s="54">
        <f t="shared" si="41"/>
        <v>100.05285714285715</v>
      </c>
      <c r="K106" s="54">
        <f t="shared" si="41"/>
        <v>138.32641975308641</v>
      </c>
    </row>
    <row r="108" spans="1:13" x14ac:dyDescent="0.25">
      <c r="A108" s="89" t="s">
        <v>201</v>
      </c>
    </row>
    <row r="109" spans="1:13" x14ac:dyDescent="0.25">
      <c r="A109" s="65" t="s">
        <v>100</v>
      </c>
      <c r="B109" s="67">
        <v>1</v>
      </c>
      <c r="C109" s="57">
        <v>80</v>
      </c>
      <c r="D109" s="94">
        <v>160</v>
      </c>
      <c r="E109" s="35">
        <v>200</v>
      </c>
      <c r="F109" s="97">
        <v>240</v>
      </c>
      <c r="G109" s="57">
        <v>320</v>
      </c>
      <c r="H109" s="57">
        <v>400</v>
      </c>
      <c r="I109" s="57">
        <v>480</v>
      </c>
      <c r="J109" s="57">
        <v>560</v>
      </c>
      <c r="K109" s="67">
        <v>631</v>
      </c>
      <c r="L109" s="90">
        <v>12</v>
      </c>
      <c r="M109">
        <f>SUM(3.2808*L109)</f>
        <v>39.369600000000005</v>
      </c>
    </row>
    <row r="110" spans="1:13" x14ac:dyDescent="0.25">
      <c r="A110" s="65" t="s">
        <v>95</v>
      </c>
      <c r="B110" s="54">
        <v>210</v>
      </c>
      <c r="C110" s="54">
        <v>281</v>
      </c>
      <c r="D110" s="95">
        <v>460</v>
      </c>
      <c r="E110" s="100">
        <v>503</v>
      </c>
      <c r="F110" s="98">
        <v>478</v>
      </c>
      <c r="G110" s="54">
        <v>611</v>
      </c>
      <c r="H110" s="54">
        <v>587</v>
      </c>
      <c r="I110" s="54">
        <v>410</v>
      </c>
      <c r="J110" s="54">
        <v>168</v>
      </c>
      <c r="K110" s="54">
        <v>162</v>
      </c>
    </row>
    <row r="111" spans="1:13" x14ac:dyDescent="0.25">
      <c r="A111" s="65" t="s">
        <v>116</v>
      </c>
      <c r="B111" s="58">
        <v>183</v>
      </c>
      <c r="C111" s="58">
        <v>232</v>
      </c>
      <c r="D111" s="58">
        <v>389</v>
      </c>
      <c r="E111" s="35">
        <v>436</v>
      </c>
      <c r="F111" s="58">
        <v>472</v>
      </c>
      <c r="G111" s="58">
        <v>605</v>
      </c>
      <c r="H111" s="58">
        <v>530</v>
      </c>
      <c r="I111" s="58">
        <v>337</v>
      </c>
      <c r="J111" s="58">
        <v>166</v>
      </c>
      <c r="K111" s="58">
        <v>160</v>
      </c>
    </row>
    <row r="112" spans="1:13" x14ac:dyDescent="0.25">
      <c r="A112" s="65" t="s">
        <v>115</v>
      </c>
      <c r="B112" s="54">
        <f t="shared" ref="B112:K112" si="42">SUM(B111+$M$65)</f>
        <v>222.36959999999999</v>
      </c>
      <c r="C112" s="54">
        <f t="shared" si="42"/>
        <v>271.36959999999999</v>
      </c>
      <c r="D112" s="54">
        <f t="shared" si="42"/>
        <v>428.36959999999999</v>
      </c>
      <c r="E112" s="54">
        <f t="shared" si="42"/>
        <v>475.36959999999999</v>
      </c>
      <c r="F112" s="54">
        <f t="shared" si="42"/>
        <v>511.36959999999999</v>
      </c>
      <c r="G112" s="54">
        <f t="shared" si="42"/>
        <v>644.36959999999999</v>
      </c>
      <c r="H112" s="54">
        <f t="shared" si="42"/>
        <v>569.36959999999999</v>
      </c>
      <c r="I112" s="54">
        <f t="shared" si="42"/>
        <v>376.36959999999999</v>
      </c>
      <c r="J112" s="54">
        <f t="shared" si="42"/>
        <v>205.36959999999999</v>
      </c>
      <c r="K112" s="54">
        <f t="shared" si="42"/>
        <v>199.36959999999999</v>
      </c>
    </row>
    <row r="113" spans="1:11" x14ac:dyDescent="0.25">
      <c r="A113" s="115" t="s">
        <v>96</v>
      </c>
      <c r="B113" s="54">
        <f t="shared" ref="B113:K113" si="43">SUM(B110-B112)</f>
        <v>-12.369599999999991</v>
      </c>
      <c r="C113" s="54">
        <f t="shared" si="43"/>
        <v>9.6304000000000087</v>
      </c>
      <c r="D113" s="117">
        <f t="shared" si="43"/>
        <v>31.630400000000009</v>
      </c>
      <c r="E113" s="62">
        <f t="shared" si="43"/>
        <v>27.630400000000009</v>
      </c>
      <c r="F113" s="74">
        <f t="shared" si="43"/>
        <v>-33.369599999999991</v>
      </c>
      <c r="G113" s="116">
        <f t="shared" si="43"/>
        <v>-33.369599999999991</v>
      </c>
      <c r="H113" s="54">
        <f t="shared" si="43"/>
        <v>17.630400000000009</v>
      </c>
      <c r="I113" s="117">
        <f t="shared" si="43"/>
        <v>33.630400000000009</v>
      </c>
      <c r="J113" s="74">
        <f t="shared" si="43"/>
        <v>-37.369599999999991</v>
      </c>
      <c r="K113" s="74">
        <f t="shared" si="43"/>
        <v>-37.369599999999991</v>
      </c>
    </row>
    <row r="114" spans="1:11" x14ac:dyDescent="0.25">
      <c r="A114" s="65" t="s">
        <v>97</v>
      </c>
      <c r="B114" s="54">
        <f>SUM(B112/B110)*100</f>
        <v>105.89028571428571</v>
      </c>
      <c r="C114" s="54">
        <f>SUM(C112/C110)*100</f>
        <v>96.572811387900344</v>
      </c>
      <c r="D114" s="95">
        <f>SUM(D112/D110)*100</f>
        <v>93.123826086956512</v>
      </c>
      <c r="E114" s="95">
        <f>SUM(E112/E110)*100</f>
        <v>94.506878727634188</v>
      </c>
      <c r="F114" s="98">
        <f t="shared" ref="F114:K114" si="44">SUM(F112/F110)*100</f>
        <v>106.98108786610878</v>
      </c>
      <c r="G114" s="54">
        <f t="shared" si="44"/>
        <v>105.46147299509001</v>
      </c>
      <c r="H114" s="54">
        <f t="shared" si="44"/>
        <v>96.996524701873938</v>
      </c>
      <c r="I114" s="54">
        <f t="shared" si="44"/>
        <v>91.797463414634137</v>
      </c>
      <c r="J114" s="54">
        <f t="shared" si="44"/>
        <v>122.24380952380952</v>
      </c>
      <c r="K114" s="54">
        <f t="shared" si="44"/>
        <v>123.06765432098766</v>
      </c>
    </row>
  </sheetData>
  <mergeCells count="4">
    <mergeCell ref="P50:Q53"/>
    <mergeCell ref="R50:T54"/>
    <mergeCell ref="P54:Q54"/>
    <mergeCell ref="P55:Q6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Sheet1</vt:lpstr>
      <vt:lpstr>SymB1 2</vt:lpstr>
      <vt:lpstr>SymB1 3</vt:lpstr>
      <vt:lpstr>SGR</vt:lpstr>
      <vt:lpstr>SymB1 CLS</vt:lpstr>
      <vt:lpstr>SymB1 SG Test</vt:lpstr>
      <vt:lpstr>SymB1 CLS (2)</vt:lpstr>
      <vt:lpstr>SymB1 CLS Z5 R30</vt:lpstr>
      <vt:lpstr>SymB1 2Profiles </vt:lpstr>
      <vt:lpstr>SGR SymB1</vt:lpstr>
      <vt:lpstr>SGR Rising</vt:lpstr>
    </vt:vector>
  </TitlesOfParts>
  <Company>NOCS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dnc1n15</dc:creator>
  <cp:lastModifiedBy>Donald Christie</cp:lastModifiedBy>
  <dcterms:created xsi:type="dcterms:W3CDTF">2019-02-19T17:24:21Z</dcterms:created>
  <dcterms:modified xsi:type="dcterms:W3CDTF">2021-05-28T19:11:09Z</dcterms:modified>
</cp:coreProperties>
</file>