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1_Batch_Uptake_experiment/"/>
    </mc:Choice>
  </mc:AlternateContent>
  <xr:revisionPtr revIDLastSave="0" documentId="11_A45D5567E96B3E123715ACE8516ED04D31E71CDC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T1" sheetId="1" r:id="rId1"/>
    <sheet name="langfreud eq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C22" i="1"/>
  <c r="C20" i="1"/>
  <c r="K3" i="1" s="1"/>
  <c r="D20" i="1" l="1"/>
  <c r="Q12" i="1"/>
  <c r="R12" i="1" s="1"/>
  <c r="D22" i="1" l="1"/>
  <c r="C18" i="2"/>
  <c r="C19" i="2" s="1"/>
  <c r="G12" i="2" s="1"/>
  <c r="H12" i="2" s="1"/>
  <c r="A12" i="2"/>
  <c r="V2" i="1"/>
  <c r="J3" i="1"/>
  <c r="L3" i="1" s="1"/>
  <c r="J4" i="1"/>
  <c r="J5" i="1"/>
  <c r="J6" i="1"/>
  <c r="J7" i="1"/>
  <c r="J8" i="1"/>
  <c r="J9" i="1"/>
  <c r="J10" i="1"/>
  <c r="J11" i="1"/>
  <c r="J12" i="1"/>
  <c r="J2" i="1"/>
  <c r="L2" i="1" s="1"/>
  <c r="R2" i="1"/>
  <c r="T2" i="1" s="1"/>
  <c r="D25" i="1"/>
  <c r="A12" i="1"/>
  <c r="B25" i="1"/>
  <c r="Q4" i="1"/>
  <c r="R4" i="1" s="1"/>
  <c r="Q5" i="1"/>
  <c r="R5" i="1" s="1"/>
  <c r="Q6" i="1"/>
  <c r="R6" i="1" s="1"/>
  <c r="Q7" i="1"/>
  <c r="R7" i="1" s="1"/>
  <c r="Q8" i="1"/>
  <c r="R8" i="1" s="1"/>
  <c r="Q9" i="1"/>
  <c r="R9" i="1" s="1"/>
  <c r="Q10" i="1"/>
  <c r="R10" i="1" s="1"/>
  <c r="Q11" i="1"/>
  <c r="R11" i="1" s="1"/>
  <c r="Q3" i="1"/>
  <c r="I4" i="1"/>
  <c r="I5" i="1"/>
  <c r="I6" i="1"/>
  <c r="K6" i="1" s="1"/>
  <c r="L6" i="1" s="1"/>
  <c r="I7" i="1"/>
  <c r="I8" i="1"/>
  <c r="I9" i="1"/>
  <c r="K9" i="1" s="1"/>
  <c r="L9" i="1" s="1"/>
  <c r="I10" i="1"/>
  <c r="I11" i="1"/>
  <c r="I12" i="1"/>
  <c r="I15" i="1" l="1"/>
  <c r="S3" i="1"/>
  <c r="R3" i="1"/>
  <c r="K12" i="1"/>
  <c r="K7" i="1"/>
  <c r="L7" i="1" s="1"/>
  <c r="K10" i="1"/>
  <c r="L10" i="1" s="1"/>
  <c r="S11" i="1"/>
  <c r="T11" i="1" s="1"/>
  <c r="S9" i="1"/>
  <c r="T9" i="1" s="1"/>
  <c r="S5" i="1"/>
  <c r="T5" i="1" s="1"/>
  <c r="S12" i="1"/>
  <c r="T12" i="1" s="1"/>
  <c r="S8" i="1"/>
  <c r="T8" i="1" s="1"/>
  <c r="S4" i="1"/>
  <c r="T4" i="1" s="1"/>
  <c r="S7" i="1"/>
  <c r="T7" i="1" s="1"/>
  <c r="U9" i="1"/>
  <c r="V9" i="1" s="1"/>
  <c r="K8" i="1"/>
  <c r="L8" i="1" s="1"/>
  <c r="K4" i="1"/>
  <c r="S10" i="1"/>
  <c r="T10" i="1" s="1"/>
  <c r="S6" i="1"/>
  <c r="T6" i="1" s="1"/>
  <c r="K5" i="1"/>
  <c r="L5" i="1" s="1"/>
  <c r="K11" i="1"/>
  <c r="J4" i="2"/>
  <c r="K4" i="2" s="1"/>
  <c r="L4" i="2" s="1"/>
  <c r="P4" i="2" s="1"/>
  <c r="J8" i="2"/>
  <c r="K8" i="2" s="1"/>
  <c r="L8" i="2" s="1"/>
  <c r="P8" i="2" s="1"/>
  <c r="J12" i="2"/>
  <c r="K12" i="2" s="1"/>
  <c r="L12" i="2" s="1"/>
  <c r="P12" i="2" s="1"/>
  <c r="G3" i="2"/>
  <c r="H3" i="2" s="1"/>
  <c r="I3" i="2" s="1"/>
  <c r="J5" i="2"/>
  <c r="K5" i="2" s="1"/>
  <c r="L5" i="2" s="1"/>
  <c r="P5" i="2" s="1"/>
  <c r="J9" i="2"/>
  <c r="K9" i="2" s="1"/>
  <c r="L9" i="2" s="1"/>
  <c r="P9" i="2" s="1"/>
  <c r="J3" i="2"/>
  <c r="K3" i="2" s="1"/>
  <c r="L3" i="2" s="1"/>
  <c r="P3" i="2" s="1"/>
  <c r="G4" i="2"/>
  <c r="H4" i="2" s="1"/>
  <c r="I4" i="2" s="1"/>
  <c r="G6" i="2"/>
  <c r="H6" i="2" s="1"/>
  <c r="I6" i="2" s="1"/>
  <c r="G8" i="2"/>
  <c r="H8" i="2" s="1"/>
  <c r="I8" i="2" s="1"/>
  <c r="M8" i="2" s="1"/>
  <c r="O8" i="2" s="1"/>
  <c r="G10" i="2"/>
  <c r="H10" i="2" s="1"/>
  <c r="I10" i="2" s="1"/>
  <c r="M10" i="2" s="1"/>
  <c r="O10" i="2" s="1"/>
  <c r="I12" i="2"/>
  <c r="J6" i="2"/>
  <c r="K6" i="2" s="1"/>
  <c r="L6" i="2" s="1"/>
  <c r="P6" i="2" s="1"/>
  <c r="J10" i="2"/>
  <c r="K10" i="2" s="1"/>
  <c r="L10" i="2" s="1"/>
  <c r="P10" i="2" s="1"/>
  <c r="J7" i="2"/>
  <c r="K7" i="2" s="1"/>
  <c r="L7" i="2" s="1"/>
  <c r="P7" i="2" s="1"/>
  <c r="J11" i="2"/>
  <c r="K11" i="2" s="1"/>
  <c r="L11" i="2" s="1"/>
  <c r="P11" i="2" s="1"/>
  <c r="G5" i="2"/>
  <c r="H5" i="2" s="1"/>
  <c r="I5" i="2" s="1"/>
  <c r="M5" i="2" s="1"/>
  <c r="O5" i="2" s="1"/>
  <c r="G7" i="2"/>
  <c r="H7" i="2" s="1"/>
  <c r="I7" i="2" s="1"/>
  <c r="G9" i="2"/>
  <c r="H9" i="2" s="1"/>
  <c r="I9" i="2" s="1"/>
  <c r="M9" i="2" s="1"/>
  <c r="O9" i="2" s="1"/>
  <c r="G11" i="2"/>
  <c r="H11" i="2" s="1"/>
  <c r="I11" i="2" s="1"/>
  <c r="M11" i="2" s="1"/>
  <c r="O11" i="2" s="1"/>
  <c r="T3" i="1" l="1"/>
  <c r="U3" i="1"/>
  <c r="V3" i="1" s="1"/>
  <c r="U11" i="1"/>
  <c r="L11" i="1"/>
  <c r="U4" i="1"/>
  <c r="L4" i="1"/>
  <c r="U12" i="1"/>
  <c r="L12" i="1"/>
  <c r="Q8" i="2"/>
  <c r="N8" i="2"/>
  <c r="U8" i="2" s="1"/>
  <c r="Q5" i="2"/>
  <c r="N5" i="2"/>
  <c r="U5" i="2" s="1"/>
  <c r="Q11" i="2"/>
  <c r="N11" i="2"/>
  <c r="U11" i="2" s="1"/>
  <c r="Q9" i="2"/>
  <c r="N9" i="2"/>
  <c r="U9" i="2" s="1"/>
  <c r="Q10" i="2"/>
  <c r="N10" i="2"/>
  <c r="U10" i="2" s="1"/>
  <c r="U5" i="1"/>
  <c r="V5" i="1" s="1"/>
  <c r="U10" i="1"/>
  <c r="V10" i="1" s="1"/>
  <c r="U7" i="1"/>
  <c r="V7" i="1" s="1"/>
  <c r="U8" i="1"/>
  <c r="V8" i="1" s="1"/>
  <c r="S19" i="1"/>
  <c r="M7" i="2"/>
  <c r="O7" i="2" s="1"/>
  <c r="M6" i="2"/>
  <c r="O6" i="2" s="1"/>
  <c r="M12" i="2"/>
  <c r="M4" i="2"/>
  <c r="O4" i="2" s="1"/>
  <c r="M3" i="2"/>
  <c r="U6" i="1"/>
  <c r="V6" i="1" s="1"/>
  <c r="Q3" i="2" l="1"/>
  <c r="O3" i="2"/>
  <c r="N3" i="2"/>
  <c r="U3" i="2" s="1"/>
  <c r="O17" i="2"/>
  <c r="V12" i="1"/>
  <c r="V11" i="1"/>
  <c r="Q12" i="2"/>
  <c r="O12" i="2"/>
  <c r="N12" i="2"/>
  <c r="U12" i="2" s="1"/>
  <c r="V4" i="1"/>
  <c r="Q6" i="2"/>
  <c r="N6" i="2"/>
  <c r="U6" i="2" s="1"/>
  <c r="Q7" i="2"/>
  <c r="N7" i="2"/>
  <c r="Q4" i="2"/>
  <c r="N4" i="2"/>
  <c r="U4" i="2" s="1"/>
  <c r="S6" i="2" l="1"/>
  <c r="S3" i="2"/>
  <c r="S7" i="2"/>
  <c r="S5" i="2"/>
  <c r="S10" i="2"/>
  <c r="S4" i="2"/>
  <c r="S8" i="2"/>
  <c r="U7" i="2"/>
  <c r="N17" i="2"/>
</calcChain>
</file>

<file path=xl/sharedStrings.xml><?xml version="1.0" encoding="utf-8"?>
<sst xmlns="http://schemas.openxmlformats.org/spreadsheetml/2006/main" count="73" uniqueCount="57">
  <si>
    <t>Vial Label</t>
  </si>
  <si>
    <t>Mass of resin</t>
  </si>
  <si>
    <t>Mass of resin + sample</t>
  </si>
  <si>
    <t>Mass of analyte</t>
  </si>
  <si>
    <t>DC counts (Bq/g)</t>
  </si>
  <si>
    <t>BT1 M 1 min</t>
  </si>
  <si>
    <t>BT1 M 2 min</t>
  </si>
  <si>
    <t>BT1 M 5 min</t>
  </si>
  <si>
    <t>BT1 M 10 min</t>
  </si>
  <si>
    <t>BT1 M 20 min</t>
  </si>
  <si>
    <t>BT1 M 60 min</t>
  </si>
  <si>
    <t>BT1 M 120 min</t>
  </si>
  <si>
    <t>BT1 M 4 hrs</t>
  </si>
  <si>
    <t>BT1 M 7 hrs</t>
  </si>
  <si>
    <t>BT1 M 24 hrs</t>
  </si>
  <si>
    <t>Mass of resin + vial</t>
  </si>
  <si>
    <t>Sample mass</t>
  </si>
  <si>
    <t>K'</t>
  </si>
  <si>
    <t>HC DC Counts (Bq/g)</t>
  </si>
  <si>
    <t>Total in 5ml BT1</t>
  </si>
  <si>
    <t>HC DC Activity BT1 (Bq/g)</t>
  </si>
  <si>
    <t>HC DC Activity added (from B19) (Bq)</t>
  </si>
  <si>
    <t>HC DC counts total (Bq)</t>
  </si>
  <si>
    <t>Time (mins)</t>
  </si>
  <si>
    <t>σ mass</t>
  </si>
  <si>
    <t xml:space="preserve">mass </t>
  </si>
  <si>
    <t>Rel uncert DC activity</t>
  </si>
  <si>
    <t>rel uncert mass</t>
  </si>
  <si>
    <t>σ</t>
  </si>
  <si>
    <t>rel uncert HC DC count total</t>
  </si>
  <si>
    <t>σ HC DC counts (Bq/g)</t>
  </si>
  <si>
    <t>σ Dc counts (Bq/g)</t>
  </si>
  <si>
    <t>σ mass of analyte (g)</t>
  </si>
  <si>
    <t>σ mass of resin (g)</t>
  </si>
  <si>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Mass of resin + vial (g)</t>
    </r>
  </si>
  <si>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Mass of resin + sample</t>
    </r>
  </si>
  <si>
    <t>σ mass (g)</t>
  </si>
  <si>
    <t>σ K'</t>
  </si>
  <si>
    <t>Mass of sr added (mg)</t>
  </si>
  <si>
    <t>Number of Sr atoms added</t>
  </si>
  <si>
    <t xml:space="preserve">sr 90 lambda = </t>
  </si>
  <si>
    <t>sr 90 t1/2 years</t>
  </si>
  <si>
    <t>sr 90 t1/2 secs</t>
  </si>
  <si>
    <t>avogradro</t>
  </si>
  <si>
    <t>moles of Sr added</t>
  </si>
  <si>
    <t>number of atoms in liquid phase</t>
  </si>
  <si>
    <t>moles sr in liquid phase</t>
  </si>
  <si>
    <t>Mass Sr in liquid phase (mg)</t>
  </si>
  <si>
    <t>Mass Sr in solid phase (mg)</t>
  </si>
  <si>
    <t>conc Sr in liquid (mg/L)</t>
  </si>
  <si>
    <t>conc sr in solid (mg/g)</t>
  </si>
  <si>
    <t>Calibration of Sr-85 solution</t>
  </si>
  <si>
    <t>activity added</t>
  </si>
  <si>
    <t>Mass Sr in solid phase per gram resin (mg/g)</t>
  </si>
  <si>
    <t>ln(qe-qt)</t>
  </si>
  <si>
    <t>t/qt</t>
  </si>
  <si>
    <t>Mass Sr in solid phase per gram resin (g/g)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</si>
</sst>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1" xfId="0" applyFill="1" applyBorder="1"/>
    <xf numFmtId="0" fontId="0" fillId="0" borderId="0" xfId="0" applyFill="1" applyBorder="1"/>
    <xf numFmtId="164" fontId="0" fillId="0" borderId="0" xfId="0" applyNumberFormat="1"/>
    <xf numFmtId="0" fontId="0" fillId="0" borderId="1" xfId="0" applyBorder="1"/>
    <xf numFmtId="0" fontId="0" fillId="3" borderId="0" xfId="0" applyFill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'BT1'!$A$2:$A$12</c:f>
              <c:numCache>
                <c:formatCode>General</c:formatCode>
                <c:ptCount val="11"/>
                <c:pt idx="0">
                  <c:v>0</c:v>
                </c:pt>
                <c:pt idx="1">
                  <c:v>1.25</c:v>
                </c:pt>
                <c:pt idx="2">
                  <c:v>2.0830000000000002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60</c:v>
                </c:pt>
                <c:pt idx="7">
                  <c:v>120</c:v>
                </c:pt>
                <c:pt idx="8">
                  <c:v>240</c:v>
                </c:pt>
                <c:pt idx="9">
                  <c:v>420</c:v>
                </c:pt>
                <c:pt idx="10">
                  <c:v>1440</c:v>
                </c:pt>
              </c:numCache>
            </c:numRef>
          </c:xVal>
          <c:yVal>
            <c:numRef>
              <c:f>'BT1'!$U$2:$U$9</c:f>
              <c:numCache>
                <c:formatCode>General</c:formatCode>
                <c:ptCount val="8"/>
                <c:pt idx="0">
                  <c:v>0</c:v>
                </c:pt>
                <c:pt idx="1">
                  <c:v>91.905811154380089</c:v>
                </c:pt>
                <c:pt idx="2">
                  <c:v>159.41135426577861</c:v>
                </c:pt>
                <c:pt idx="3">
                  <c:v>206.0816150504422</c:v>
                </c:pt>
                <c:pt idx="4">
                  <c:v>219.99702258020108</c:v>
                </c:pt>
                <c:pt idx="5">
                  <c:v>251.80316882197678</c:v>
                </c:pt>
                <c:pt idx="6">
                  <c:v>248.03611938998367</c:v>
                </c:pt>
                <c:pt idx="7">
                  <c:v>247.30804968237413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98-445E-BD0B-CD322961D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530752"/>
        <c:axId val="457531080"/>
      </c:scatterChart>
      <c:valAx>
        <c:axId val="45753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531080"/>
        <c:crosses val="autoZero"/>
        <c:crossBetween val="midCat"/>
      </c:valAx>
      <c:valAx>
        <c:axId val="457531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53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'BT1'!$A$2:$A$12</c:f>
              <c:numCache>
                <c:formatCode>General</c:formatCode>
                <c:ptCount val="11"/>
                <c:pt idx="0">
                  <c:v>0</c:v>
                </c:pt>
                <c:pt idx="1">
                  <c:v>1.25</c:v>
                </c:pt>
                <c:pt idx="2">
                  <c:v>2.0830000000000002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60</c:v>
                </c:pt>
                <c:pt idx="7">
                  <c:v>120</c:v>
                </c:pt>
                <c:pt idx="8">
                  <c:v>240</c:v>
                </c:pt>
                <c:pt idx="9">
                  <c:v>420</c:v>
                </c:pt>
                <c:pt idx="10">
                  <c:v>1440</c:v>
                </c:pt>
              </c:numCache>
            </c:numRef>
          </c:xVal>
          <c:yVal>
            <c:numRef>
              <c:f>'BT1'!$S$2:$S$5</c:f>
              <c:numCache>
                <c:formatCode>General</c:formatCode>
                <c:ptCount val="4"/>
                <c:pt idx="0">
                  <c:v>21</c:v>
                </c:pt>
                <c:pt idx="1">
                  <c:v>8.7400301199999983</c:v>
                </c:pt>
                <c:pt idx="2">
                  <c:v>5.9165127599999998</c:v>
                </c:pt>
                <c:pt idx="3">
                  <c:v>5.0774584250000006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16-4AEA-8622-4A346FA0FB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530752"/>
        <c:axId val="457531080"/>
      </c:scatterChart>
      <c:valAx>
        <c:axId val="45753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531080"/>
        <c:crosses val="autoZero"/>
        <c:crossBetween val="midCat"/>
      </c:valAx>
      <c:valAx>
        <c:axId val="457531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53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pfo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pso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'langfreud eq'!$A$3:$A$12</c:f>
              <c:numCache>
                <c:formatCode>General</c:formatCode>
                <c:ptCount val="10"/>
                <c:pt idx="0">
                  <c:v>1.25</c:v>
                </c:pt>
                <c:pt idx="1">
                  <c:v>2.0830000000000002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60</c:v>
                </c:pt>
                <c:pt idx="6">
                  <c:v>120</c:v>
                </c:pt>
                <c:pt idx="7">
                  <c:v>240</c:v>
                </c:pt>
                <c:pt idx="8">
                  <c:v>420</c:v>
                </c:pt>
                <c:pt idx="9">
                  <c:v>1440</c:v>
                </c:pt>
              </c:numCache>
            </c:numRef>
          </c:xVal>
          <c:yVal>
            <c:numRef>
              <c:f>'langfreud eq'!$S$3:$S$12</c:f>
              <c:numCache>
                <c:formatCode>General</c:formatCode>
                <c:ptCount val="10"/>
                <c:pt idx="0">
                  <c:v>-25.422774548706993</c:v>
                </c:pt>
                <c:pt idx="1">
                  <c:v>-26.063700533628957</c:v>
                </c:pt>
                <c:pt idx="2">
                  <c:v>-27.139224077209178</c:v>
                </c:pt>
                <c:pt idx="3">
                  <c:v>-28.685815789889563</c:v>
                </c:pt>
                <c:pt idx="4">
                  <c:v>-27.921885662334777</c:v>
                </c:pt>
                <c:pt idx="5">
                  <c:v>-27.40928490041544</c:v>
                </c:pt>
                <c:pt idx="7">
                  <c:v>-26.732743882269535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F6-40AA-A8AE-BFB0CBF83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011376"/>
        <c:axId val="366011704"/>
      </c:scatterChart>
      <c:valAx>
        <c:axId val="366011376"/>
        <c:scaling>
          <c:orientation val="minMax"/>
          <c:max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11704"/>
        <c:crosses val="autoZero"/>
        <c:crossBetween val="midCat"/>
      </c:valAx>
      <c:valAx>
        <c:axId val="366011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1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PSO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'langfreud eq'!$A$3:$A$12</c:f>
              <c:numCache>
                <c:formatCode>General</c:formatCode>
                <c:ptCount val="10"/>
                <c:pt idx="0">
                  <c:v>1.25</c:v>
                </c:pt>
                <c:pt idx="1">
                  <c:v>2.0830000000000002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60</c:v>
                </c:pt>
                <c:pt idx="6">
                  <c:v>120</c:v>
                </c:pt>
                <c:pt idx="7">
                  <c:v>240</c:v>
                </c:pt>
                <c:pt idx="8">
                  <c:v>420</c:v>
                </c:pt>
                <c:pt idx="9">
                  <c:v>1440</c:v>
                </c:pt>
              </c:numCache>
            </c:numRef>
          </c:xVal>
          <c:yVal>
            <c:numRef>
              <c:f>'langfreud eq'!$U$3:$U$12</c:f>
              <c:numCache>
                <c:formatCode>0.000E+00</c:formatCode>
                <c:ptCount val="10"/>
                <c:pt idx="0">
                  <c:v>49778070.805483393</c:v>
                </c:pt>
                <c:pt idx="1">
                  <c:v>70808386.151070222</c:v>
                </c:pt>
                <c:pt idx="2">
                  <c:v>153487447.87939551</c:v>
                </c:pt>
                <c:pt idx="3">
                  <c:v>295308068.68345296</c:v>
                </c:pt>
                <c:pt idx="4">
                  <c:v>597664524.58241713</c:v>
                </c:pt>
                <c:pt idx="5">
                  <c:v>1820224669.9285793</c:v>
                </c:pt>
                <c:pt idx="6">
                  <c:v>3408978801.3245997</c:v>
                </c:pt>
                <c:pt idx="7">
                  <c:v>7557665820.749073</c:v>
                </c:pt>
                <c:pt idx="8">
                  <c:v>11759916311.481859</c:v>
                </c:pt>
                <c:pt idx="9">
                  <c:v>39812935883.57402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5E-4F1C-ABF9-290DC60AA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011376"/>
        <c:axId val="366011704"/>
      </c:scatterChart>
      <c:valAx>
        <c:axId val="366011376"/>
        <c:scaling>
          <c:orientation val="minMax"/>
          <c:max val="1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11704"/>
        <c:crosses val="autoZero"/>
        <c:crossBetween val="midCat"/>
      </c:valAx>
      <c:valAx>
        <c:axId val="366011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1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22</xdr:row>
      <xdr:rowOff>123825</xdr:rowOff>
    </xdr:from>
    <xdr:to>
      <xdr:col>12</xdr:col>
      <xdr:colOff>542926</xdr:colOff>
      <xdr:row>37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22</xdr:row>
      <xdr:rowOff>0</xdr:rowOff>
    </xdr:from>
    <xdr:to>
      <xdr:col>16</xdr:col>
      <xdr:colOff>485775</xdr:colOff>
      <xdr:row>36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1162050</xdr:colOff>
      <xdr:row>19</xdr:row>
      <xdr:rowOff>57150</xdr:rowOff>
    </xdr:from>
    <xdr:to>
      <xdr:col>15</xdr:col>
      <xdr:colOff>152400</xdr:colOff>
      <xdr:row>33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20</xdr:row>
      <xdr:rowOff>0</xdr:rowOff>
    </xdr:from>
    <xdr:to>
      <xdr:col>22</xdr:col>
      <xdr:colOff>123825</xdr:colOff>
      <xdr:row>34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tabSelected="1" zoomScale="60" zoomScaleNormal="60" workbookViewId="0">
      <selection activeCell="U7" sqref="U7"/>
    </sheetView>
  </sheetViews>
  <sheetFormatPr defaultRowHeight="15" x14ac:dyDescent="0.25"/>
  <cols>
    <col min="1" max="1" width="11.5703125" bestFit="1" customWidth="1"/>
    <col min="2" max="2" width="26.140625" bestFit="1" customWidth="1"/>
    <col min="3" max="3" width="12.5703125" bestFit="1" customWidth="1"/>
    <col min="4" max="4" width="17.28515625" bestFit="1" customWidth="1"/>
    <col min="5" max="5" width="17.85546875" bestFit="1" customWidth="1"/>
    <col min="6" max="6" width="22.42578125" bestFit="1" customWidth="1"/>
    <col min="7" max="7" width="21.140625" bestFit="1" customWidth="1"/>
    <col min="8" max="8" width="22.85546875" bestFit="1" customWidth="1"/>
    <col min="9" max="9" width="12.42578125" bestFit="1" customWidth="1"/>
    <col min="10" max="10" width="12.42578125" customWidth="1"/>
    <col min="11" max="11" width="34.140625" bestFit="1" customWidth="1"/>
    <col min="12" max="12" width="34.140625" customWidth="1"/>
    <col min="13" max="13" width="14.85546875" bestFit="1" customWidth="1"/>
    <col min="14" max="14" width="19.42578125" bestFit="1" customWidth="1"/>
    <col min="15" max="15" width="15.85546875" bestFit="1" customWidth="1"/>
    <col min="16" max="16" width="17.28515625" bestFit="1" customWidth="1"/>
    <col min="17" max="17" width="19.140625" bestFit="1" customWidth="1"/>
    <col min="18" max="18" width="20.42578125" bestFit="1" customWidth="1"/>
    <col min="19" max="19" width="21.7109375" bestFit="1" customWidth="1"/>
    <col min="20" max="20" width="25.85546875" bestFit="1" customWidth="1"/>
  </cols>
  <sheetData>
    <row r="1" spans="1:22" x14ac:dyDescent="0.25">
      <c r="A1" t="s">
        <v>23</v>
      </c>
      <c r="B1" t="s">
        <v>0</v>
      </c>
      <c r="C1" t="s">
        <v>1</v>
      </c>
      <c r="D1" s="2" t="s">
        <v>33</v>
      </c>
      <c r="E1" t="s">
        <v>15</v>
      </c>
      <c r="F1" s="3" t="s">
        <v>34</v>
      </c>
      <c r="G1" t="s">
        <v>2</v>
      </c>
      <c r="H1" s="3" t="s">
        <v>35</v>
      </c>
      <c r="I1" t="s">
        <v>16</v>
      </c>
      <c r="J1" s="2" t="s">
        <v>36</v>
      </c>
      <c r="K1" t="s">
        <v>21</v>
      </c>
      <c r="L1" s="3" t="s">
        <v>52</v>
      </c>
      <c r="M1" t="s">
        <v>3</v>
      </c>
      <c r="N1" s="2" t="s">
        <v>32</v>
      </c>
      <c r="O1" t="s">
        <v>4</v>
      </c>
      <c r="P1" s="2" t="s">
        <v>31</v>
      </c>
      <c r="Q1" t="s">
        <v>18</v>
      </c>
      <c r="R1" s="2" t="s">
        <v>30</v>
      </c>
      <c r="S1" t="s">
        <v>22</v>
      </c>
      <c r="T1" s="2" t="s">
        <v>29</v>
      </c>
      <c r="U1" t="s">
        <v>17</v>
      </c>
      <c r="V1" s="2" t="s">
        <v>37</v>
      </c>
    </row>
    <row r="2" spans="1:22" x14ac:dyDescent="0.25">
      <c r="A2">
        <v>0</v>
      </c>
      <c r="B2">
        <v>0</v>
      </c>
      <c r="C2">
        <v>0</v>
      </c>
      <c r="D2" s="3">
        <v>0</v>
      </c>
      <c r="E2">
        <v>0</v>
      </c>
      <c r="F2" s="3">
        <v>1E-4</v>
      </c>
      <c r="G2">
        <v>0</v>
      </c>
      <c r="H2" s="3">
        <v>1E-4</v>
      </c>
      <c r="I2">
        <v>0</v>
      </c>
      <c r="J2" s="3">
        <f t="shared" ref="J2:J12" si="0">SQRT((H2^2)+(F2^2))</f>
        <v>1.4142135623730951E-4</v>
      </c>
      <c r="K2">
        <v>0</v>
      </c>
      <c r="L2" s="3" t="e">
        <f>K2*SQRT(((D$20/C$20)^2)+((J2/I2)^2))</f>
        <v>#DIV/0!</v>
      </c>
      <c r="M2">
        <v>0</v>
      </c>
      <c r="N2" s="3">
        <v>1E-4</v>
      </c>
      <c r="O2">
        <v>0</v>
      </c>
      <c r="P2" s="3">
        <v>0</v>
      </c>
      <c r="Q2">
        <v>0</v>
      </c>
      <c r="R2" s="3">
        <f>P2*0.73</f>
        <v>0</v>
      </c>
      <c r="S2">
        <v>21</v>
      </c>
      <c r="T2" s="3" t="e">
        <f>S2*SQRT(((R2/Q2)^2)+((J2/I2)^2))</f>
        <v>#DIV/0!</v>
      </c>
      <c r="U2">
        <v>0</v>
      </c>
      <c r="V2" s="3" t="e">
        <f>#REF!*U2</f>
        <v>#REF!</v>
      </c>
    </row>
    <row r="3" spans="1:22" x14ac:dyDescent="0.25">
      <c r="A3">
        <v>1.25</v>
      </c>
      <c r="B3" t="s">
        <v>5</v>
      </c>
      <c r="C3">
        <v>0.1007</v>
      </c>
      <c r="D3" s="3">
        <v>1E-4</v>
      </c>
      <c r="E3">
        <v>6.2408999999999999</v>
      </c>
      <c r="F3" s="3">
        <v>1E-4</v>
      </c>
      <c r="G3">
        <v>12.5093</v>
      </c>
      <c r="H3" s="3">
        <v>1E-4</v>
      </c>
      <c r="I3">
        <f t="shared" ref="I3:I12" si="1">G3-E3</f>
        <v>6.2683999999999997</v>
      </c>
      <c r="J3" s="3">
        <f t="shared" si="0"/>
        <v>1.4142135623730951E-4</v>
      </c>
      <c r="K3">
        <f t="shared" ref="K3:K12" si="2">I3*$C$20</f>
        <v>21.644158359999999</v>
      </c>
      <c r="L3" s="3">
        <f>K3*SQRT(((D$20/C$20)^2)+((J3/I3)^2))</f>
        <v>1.4642983214213778</v>
      </c>
      <c r="M3">
        <v>5.7340999999999998</v>
      </c>
      <c r="N3" s="3">
        <v>1E-4</v>
      </c>
      <c r="O3">
        <v>1.91</v>
      </c>
      <c r="P3" s="3">
        <v>0.15</v>
      </c>
      <c r="Q3">
        <f t="shared" ref="Q3:Q12" si="3">O3*0.73</f>
        <v>1.3942999999999999</v>
      </c>
      <c r="R3" s="3">
        <f>Q3*SQRT(((P3/O3)^2))</f>
        <v>0.10949999999999999</v>
      </c>
      <c r="S3">
        <f t="shared" ref="S3:S12" si="4">Q3*I3</f>
        <v>8.7400301199999983</v>
      </c>
      <c r="T3" s="3">
        <f>S3*SQRT(((R3/Q3)^2)+((J3/I3)^2))</f>
        <v>0.68638982832315454</v>
      </c>
      <c r="U3">
        <f t="shared" ref="U3:U12" si="5">((K3-S3)/S3)*(I3/C3)</f>
        <v>91.905811154380089</v>
      </c>
      <c r="V3" s="3">
        <f>U3*SQRT(((L3/K3)^2)+((T3/S3)^2)+((J3/I3)^2)+((D3/C3)^2))</f>
        <v>9.5270237864402976</v>
      </c>
    </row>
    <row r="4" spans="1:22" x14ac:dyDescent="0.25">
      <c r="A4">
        <v>2.0830000000000002</v>
      </c>
      <c r="B4" t="s">
        <v>6</v>
      </c>
      <c r="C4">
        <v>0.1051</v>
      </c>
      <c r="D4" s="3">
        <v>1E-4</v>
      </c>
      <c r="E4">
        <v>6.2575000000000003</v>
      </c>
      <c r="F4" s="3">
        <v>1E-4</v>
      </c>
      <c r="G4">
        <v>12.5403</v>
      </c>
      <c r="H4" s="3">
        <v>1E-4</v>
      </c>
      <c r="I4">
        <f t="shared" si="1"/>
        <v>6.2827999999999999</v>
      </c>
      <c r="J4" s="3">
        <f t="shared" si="0"/>
        <v>1.4142135623730951E-4</v>
      </c>
      <c r="K4">
        <f t="shared" si="2"/>
        <v>21.693880119999999</v>
      </c>
      <c r="L4" s="3">
        <f t="shared" ref="L4:L12" si="6">K4*SQRT(((D$20/C$20)^2)+((J4/I4)^2))</f>
        <v>1.4676621612347625</v>
      </c>
      <c r="M4">
        <v>5.6662999999999997</v>
      </c>
      <c r="N4" s="3">
        <v>1E-4</v>
      </c>
      <c r="O4">
        <v>1.29</v>
      </c>
      <c r="P4" s="3">
        <v>0.12</v>
      </c>
      <c r="Q4">
        <f t="shared" si="3"/>
        <v>0.94169999999999998</v>
      </c>
      <c r="R4" s="3">
        <f t="shared" ref="R4:R12" si="7">Q4*SQRT(((P4/O4)^2))</f>
        <v>8.7599999999999997E-2</v>
      </c>
      <c r="S4">
        <f t="shared" si="4"/>
        <v>5.9165127599999998</v>
      </c>
      <c r="T4" s="3">
        <f t="shared" ref="T4:T11" si="8">S4*SQRT(((R4/Q4)^2)+((J4/I4)^2))</f>
        <v>0.55037329611268038</v>
      </c>
      <c r="U4">
        <f t="shared" si="5"/>
        <v>159.41135426577861</v>
      </c>
      <c r="V4" s="3">
        <f t="shared" ref="V4:V12" si="9">U4*SQRT(((L4/K4)^2)+((T4/S4)^2)+((J4/I4)^2)+((D4/C4)^2))</f>
        <v>18.336601601489122</v>
      </c>
    </row>
    <row r="5" spans="1:22" x14ac:dyDescent="0.25">
      <c r="A5">
        <v>5</v>
      </c>
      <c r="B5" t="s">
        <v>7</v>
      </c>
      <c r="C5">
        <v>0.1002</v>
      </c>
      <c r="D5" s="3">
        <v>1E-4</v>
      </c>
      <c r="E5">
        <v>6.2645999999999997</v>
      </c>
      <c r="F5" s="3">
        <v>1E-4</v>
      </c>
      <c r="G5">
        <v>12.559100000000001</v>
      </c>
      <c r="H5" s="3">
        <v>1E-4</v>
      </c>
      <c r="I5">
        <f t="shared" si="1"/>
        <v>6.2945000000000011</v>
      </c>
      <c r="J5" s="3">
        <f t="shared" si="0"/>
        <v>1.4142135623730951E-4</v>
      </c>
      <c r="K5">
        <f t="shared" si="2"/>
        <v>21.734279050000005</v>
      </c>
      <c r="L5" s="3">
        <f t="shared" si="6"/>
        <v>1.4703952810837664</v>
      </c>
      <c r="M5">
        <v>5.6833999999999998</v>
      </c>
      <c r="N5" s="3">
        <v>1E-4</v>
      </c>
      <c r="O5">
        <v>1.105</v>
      </c>
      <c r="P5" s="3">
        <v>8.5999999999999993E-2</v>
      </c>
      <c r="Q5">
        <f t="shared" si="3"/>
        <v>0.80664999999999998</v>
      </c>
      <c r="R5" s="3">
        <f t="shared" si="7"/>
        <v>6.2780000000000002E-2</v>
      </c>
      <c r="S5">
        <f t="shared" si="4"/>
        <v>5.0774584250000006</v>
      </c>
      <c r="T5" s="3">
        <f t="shared" si="8"/>
        <v>0.39516872646598517</v>
      </c>
      <c r="U5">
        <f t="shared" si="5"/>
        <v>206.0816150504422</v>
      </c>
      <c r="V5" s="3">
        <f t="shared" si="9"/>
        <v>21.25257003863387</v>
      </c>
    </row>
    <row r="6" spans="1:22" x14ac:dyDescent="0.25">
      <c r="A6">
        <v>10</v>
      </c>
      <c r="B6" t="s">
        <v>8</v>
      </c>
      <c r="C6">
        <v>9.7199999999999995E-2</v>
      </c>
      <c r="D6" s="3">
        <v>1E-4</v>
      </c>
      <c r="E6">
        <v>6.2691999999999997</v>
      </c>
      <c r="F6" s="3">
        <v>1E-4</v>
      </c>
      <c r="G6">
        <v>12.5661</v>
      </c>
      <c r="H6" s="3">
        <v>1E-4</v>
      </c>
      <c r="I6">
        <f t="shared" si="1"/>
        <v>6.2969000000000008</v>
      </c>
      <c r="J6" s="3">
        <f t="shared" si="0"/>
        <v>1.4142135623730951E-4</v>
      </c>
      <c r="K6">
        <f t="shared" si="2"/>
        <v>21.742566010000004</v>
      </c>
      <c r="L6" s="3">
        <f t="shared" si="6"/>
        <v>1.4709559210528622</v>
      </c>
      <c r="M6">
        <v>5.6874000000000002</v>
      </c>
      <c r="N6" s="3">
        <v>1E-4</v>
      </c>
      <c r="O6">
        <v>1.0760000000000001</v>
      </c>
      <c r="P6" s="3">
        <v>9.6000000000000002E-2</v>
      </c>
      <c r="Q6">
        <f t="shared" si="3"/>
        <v>0.78548000000000007</v>
      </c>
      <c r="R6" s="3">
        <f t="shared" si="7"/>
        <v>7.0080000000000003E-2</v>
      </c>
      <c r="S6">
        <f t="shared" si="4"/>
        <v>4.9460890120000007</v>
      </c>
      <c r="T6" s="3">
        <f t="shared" si="8"/>
        <v>0.44128676598135841</v>
      </c>
      <c r="U6">
        <f t="shared" si="5"/>
        <v>219.99702258020108</v>
      </c>
      <c r="V6" s="3">
        <f t="shared" si="9"/>
        <v>24.633885858545256</v>
      </c>
    </row>
    <row r="7" spans="1:22" x14ac:dyDescent="0.25">
      <c r="A7">
        <v>20</v>
      </c>
      <c r="B7" t="s">
        <v>9</v>
      </c>
      <c r="C7">
        <v>0.1022</v>
      </c>
      <c r="D7" s="3">
        <v>1E-4</v>
      </c>
      <c r="E7">
        <v>6.2427000000000001</v>
      </c>
      <c r="F7" s="3">
        <v>1E-4</v>
      </c>
      <c r="G7">
        <v>12.532400000000001</v>
      </c>
      <c r="H7" s="3">
        <v>1E-4</v>
      </c>
      <c r="I7">
        <f t="shared" si="1"/>
        <v>6.2897000000000007</v>
      </c>
      <c r="J7" s="3">
        <f t="shared" si="0"/>
        <v>1.4142135623730951E-4</v>
      </c>
      <c r="K7">
        <f t="shared" si="2"/>
        <v>21.717705130000002</v>
      </c>
      <c r="L7" s="3">
        <f t="shared" si="6"/>
        <v>1.4692740011456458</v>
      </c>
      <c r="M7">
        <v>5.6858000000000004</v>
      </c>
      <c r="N7" s="3">
        <v>1E-4</v>
      </c>
      <c r="O7">
        <v>0.92900000000000005</v>
      </c>
      <c r="P7" s="3">
        <v>7.9000000000000001E-2</v>
      </c>
      <c r="Q7">
        <f t="shared" si="3"/>
        <v>0.67817000000000005</v>
      </c>
      <c r="R7" s="3">
        <f t="shared" si="7"/>
        <v>5.7670000000000006E-2</v>
      </c>
      <c r="S7">
        <f t="shared" si="4"/>
        <v>4.2654858490000009</v>
      </c>
      <c r="T7" s="3">
        <f t="shared" si="8"/>
        <v>0.36272701167935789</v>
      </c>
      <c r="U7">
        <f t="shared" si="5"/>
        <v>251.80316882197678</v>
      </c>
      <c r="V7" s="3">
        <f t="shared" si="9"/>
        <v>27.363638119404662</v>
      </c>
    </row>
    <row r="8" spans="1:22" x14ac:dyDescent="0.25">
      <c r="A8">
        <v>60</v>
      </c>
      <c r="B8" t="s">
        <v>10</v>
      </c>
      <c r="C8">
        <v>0.1038</v>
      </c>
      <c r="D8" s="3">
        <v>1E-4</v>
      </c>
      <c r="E8">
        <v>6.2530999999999999</v>
      </c>
      <c r="F8" s="3">
        <v>1E-4</v>
      </c>
      <c r="G8">
        <v>12.5457</v>
      </c>
      <c r="H8" s="3">
        <v>1E-4</v>
      </c>
      <c r="I8">
        <f t="shared" si="1"/>
        <v>6.2926000000000002</v>
      </c>
      <c r="J8" s="3">
        <f t="shared" si="0"/>
        <v>1.4142135623730951E-4</v>
      </c>
      <c r="K8">
        <f t="shared" si="2"/>
        <v>21.727718540000001</v>
      </c>
      <c r="L8" s="3">
        <f t="shared" si="6"/>
        <v>1.4699514411082486</v>
      </c>
      <c r="M8">
        <v>5.6547999999999998</v>
      </c>
      <c r="N8" s="3">
        <v>1E-4</v>
      </c>
      <c r="O8">
        <v>0.92900000000000005</v>
      </c>
      <c r="P8" s="3">
        <v>0.08</v>
      </c>
      <c r="Q8">
        <f t="shared" si="3"/>
        <v>0.67817000000000005</v>
      </c>
      <c r="R8" s="3">
        <f t="shared" si="7"/>
        <v>5.8400000000000001E-2</v>
      </c>
      <c r="S8">
        <f t="shared" si="4"/>
        <v>4.267452542</v>
      </c>
      <c r="T8" s="3">
        <f t="shared" si="8"/>
        <v>0.36748785251509541</v>
      </c>
      <c r="U8">
        <f t="shared" si="5"/>
        <v>248.03611938998367</v>
      </c>
      <c r="V8" s="3">
        <f t="shared" si="9"/>
        <v>27.163674163589629</v>
      </c>
    </row>
    <row r="9" spans="1:22" x14ac:dyDescent="0.25">
      <c r="A9">
        <v>120</v>
      </c>
      <c r="B9" t="s">
        <v>11</v>
      </c>
      <c r="C9">
        <v>9.5399999999999999E-2</v>
      </c>
      <c r="D9" s="3">
        <v>1E-4</v>
      </c>
      <c r="E9">
        <v>6.2380000000000004</v>
      </c>
      <c r="F9" s="3">
        <v>1E-4</v>
      </c>
      <c r="G9">
        <v>12.523199999999999</v>
      </c>
      <c r="H9" s="3">
        <v>1E-4</v>
      </c>
      <c r="I9">
        <f t="shared" si="1"/>
        <v>6.2851999999999988</v>
      </c>
      <c r="J9" s="3">
        <f t="shared" si="0"/>
        <v>1.4142135623730951E-4</v>
      </c>
      <c r="K9">
        <f t="shared" si="2"/>
        <v>21.702167079999995</v>
      </c>
      <c r="L9" s="3">
        <f t="shared" si="6"/>
        <v>1.4682228012037426</v>
      </c>
      <c r="M9">
        <v>5.6863999999999999</v>
      </c>
      <c r="N9" s="3">
        <v>1E-4</v>
      </c>
      <c r="O9">
        <v>0.995</v>
      </c>
      <c r="P9" s="3">
        <v>9.8000000000000004E-2</v>
      </c>
      <c r="Q9">
        <f t="shared" si="3"/>
        <v>0.72634999999999994</v>
      </c>
      <c r="R9" s="3">
        <f t="shared" si="7"/>
        <v>7.1540000000000006E-2</v>
      </c>
      <c r="S9">
        <f t="shared" si="4"/>
        <v>4.5652550199999986</v>
      </c>
      <c r="T9" s="3">
        <f t="shared" si="8"/>
        <v>0.44964321973339899</v>
      </c>
      <c r="U9">
        <f t="shared" si="5"/>
        <v>247.30804968237413</v>
      </c>
      <c r="V9" s="3">
        <f t="shared" si="9"/>
        <v>29.55184387886565</v>
      </c>
    </row>
    <row r="10" spans="1:22" x14ac:dyDescent="0.25">
      <c r="A10">
        <v>240</v>
      </c>
      <c r="B10" t="s">
        <v>12</v>
      </c>
      <c r="C10">
        <v>0.10879999999999999</v>
      </c>
      <c r="D10" s="3">
        <v>1E-4</v>
      </c>
      <c r="E10">
        <v>6.3246000000000002</v>
      </c>
      <c r="F10" s="3">
        <v>1E-4</v>
      </c>
      <c r="G10">
        <v>12.6126</v>
      </c>
      <c r="H10" s="3">
        <v>1E-4</v>
      </c>
      <c r="I10">
        <f t="shared" si="1"/>
        <v>6.2880000000000003</v>
      </c>
      <c r="J10" s="3">
        <f t="shared" si="0"/>
        <v>1.4142135623730951E-4</v>
      </c>
      <c r="K10">
        <f t="shared" si="2"/>
        <v>21.711835200000003</v>
      </c>
      <c r="L10" s="3">
        <f t="shared" si="6"/>
        <v>1.4688768811675839</v>
      </c>
      <c r="M10">
        <v>5.6905000000000001</v>
      </c>
      <c r="N10" s="3">
        <v>1E-4</v>
      </c>
      <c r="O10">
        <v>0.88900000000000001</v>
      </c>
      <c r="P10" s="3">
        <v>7.4999999999999997E-2</v>
      </c>
      <c r="Q10">
        <f t="shared" si="3"/>
        <v>0.64897000000000005</v>
      </c>
      <c r="R10" s="3">
        <f t="shared" si="7"/>
        <v>5.475E-2</v>
      </c>
      <c r="S10">
        <f t="shared" si="4"/>
        <v>4.0807233600000004</v>
      </c>
      <c r="T10" s="3">
        <f t="shared" si="8"/>
        <v>0.34426801223355213</v>
      </c>
      <c r="U10">
        <f t="shared" si="5"/>
        <v>249.704393568451</v>
      </c>
      <c r="V10" s="3">
        <f t="shared" si="9"/>
        <v>27.004088064083138</v>
      </c>
    </row>
    <row r="11" spans="1:22" x14ac:dyDescent="0.25">
      <c r="A11">
        <v>420</v>
      </c>
      <c r="B11" t="s">
        <v>13</v>
      </c>
      <c r="C11">
        <v>9.2600000000000002E-2</v>
      </c>
      <c r="D11" s="3">
        <v>1E-4</v>
      </c>
      <c r="E11">
        <v>6.2885999999999997</v>
      </c>
      <c r="F11" s="3">
        <v>1E-4</v>
      </c>
      <c r="G11">
        <v>12.567399999999999</v>
      </c>
      <c r="H11" s="3">
        <v>1E-4</v>
      </c>
      <c r="I11">
        <f t="shared" si="1"/>
        <v>6.2787999999999995</v>
      </c>
      <c r="J11" s="3">
        <f t="shared" si="0"/>
        <v>1.4142135623730951E-4</v>
      </c>
      <c r="K11">
        <f t="shared" si="2"/>
        <v>21.680068519999999</v>
      </c>
      <c r="L11" s="3">
        <f t="shared" si="6"/>
        <v>1.4667277612865142</v>
      </c>
      <c r="M11">
        <v>5.8098000000000001</v>
      </c>
      <c r="N11" s="3">
        <v>1E-4</v>
      </c>
      <c r="O11">
        <v>1.048</v>
      </c>
      <c r="P11" s="3">
        <v>8.4000000000000005E-2</v>
      </c>
      <c r="Q11">
        <f t="shared" si="3"/>
        <v>0.76504000000000005</v>
      </c>
      <c r="R11" s="3">
        <f t="shared" si="7"/>
        <v>6.1320000000000013E-2</v>
      </c>
      <c r="S11">
        <f t="shared" si="4"/>
        <v>4.803533152</v>
      </c>
      <c r="T11" s="3">
        <f t="shared" si="8"/>
        <v>0.38501603120160638</v>
      </c>
      <c r="U11">
        <f t="shared" si="5"/>
        <v>238.22545463538486</v>
      </c>
      <c r="V11" s="3">
        <f t="shared" si="9"/>
        <v>24.988231395439652</v>
      </c>
    </row>
    <row r="12" spans="1:22" x14ac:dyDescent="0.25">
      <c r="A12">
        <f>60*24</f>
        <v>1440</v>
      </c>
      <c r="B12" t="s">
        <v>14</v>
      </c>
      <c r="C12">
        <v>9.2899999999999996E-2</v>
      </c>
      <c r="D12" s="3">
        <v>1E-4</v>
      </c>
      <c r="E12">
        <v>6.3201999999999998</v>
      </c>
      <c r="F12" s="3">
        <v>1E-4</v>
      </c>
      <c r="G12">
        <v>12.609</v>
      </c>
      <c r="H12" s="3">
        <v>1E-4</v>
      </c>
      <c r="I12">
        <f t="shared" si="1"/>
        <v>6.2888000000000002</v>
      </c>
      <c r="J12" s="3">
        <f t="shared" si="0"/>
        <v>1.4142135623730951E-4</v>
      </c>
      <c r="K12">
        <f t="shared" si="2"/>
        <v>21.714597520000002</v>
      </c>
      <c r="L12" s="3">
        <f t="shared" si="6"/>
        <v>1.4690637611572583</v>
      </c>
      <c r="M12">
        <v>5.7680999999999996</v>
      </c>
      <c r="N12" s="3">
        <v>1E-4</v>
      </c>
      <c r="O12">
        <v>0.995</v>
      </c>
      <c r="P12" s="3">
        <v>9.2999999999999999E-2</v>
      </c>
      <c r="Q12">
        <f t="shared" si="3"/>
        <v>0.72634999999999994</v>
      </c>
      <c r="R12" s="3">
        <f t="shared" si="7"/>
        <v>6.7889999999999992E-2</v>
      </c>
      <c r="S12">
        <f t="shared" si="4"/>
        <v>4.5678698799999999</v>
      </c>
      <c r="T12" s="3">
        <f>S12*SQRT(((R12/Q12)^2)+((J12/I12)^2))</f>
        <v>0.42694664435714902</v>
      </c>
      <c r="U12">
        <f t="shared" si="5"/>
        <v>254.10873528027653</v>
      </c>
      <c r="V12" s="3">
        <f t="shared" si="9"/>
        <v>29.320965045719657</v>
      </c>
    </row>
    <row r="15" spans="1:22" x14ac:dyDescent="0.25">
      <c r="I15">
        <f>SUM(I3:I12)+C21</f>
        <v>69.040800000000004</v>
      </c>
    </row>
    <row r="17" spans="2:19" x14ac:dyDescent="0.25">
      <c r="B17" s="6" t="s">
        <v>51</v>
      </c>
      <c r="C17" s="6"/>
      <c r="D17" s="6"/>
    </row>
    <row r="18" spans="2:19" x14ac:dyDescent="0.25">
      <c r="B18" s="6"/>
      <c r="C18" s="6"/>
      <c r="D18" s="2" t="s">
        <v>28</v>
      </c>
      <c r="H18" s="1"/>
    </row>
    <row r="19" spans="2:19" x14ac:dyDescent="0.25">
      <c r="B19" s="6"/>
      <c r="C19" s="6">
        <v>4.7300000000000004</v>
      </c>
      <c r="D19" s="3">
        <v>0.32</v>
      </c>
      <c r="S19">
        <f>SUM(S3:S12)</f>
        <v>51.230410120000002</v>
      </c>
    </row>
    <row r="20" spans="2:19" x14ac:dyDescent="0.25">
      <c r="B20" s="6" t="s">
        <v>20</v>
      </c>
      <c r="C20" s="6">
        <f>(C19*0.73)</f>
        <v>3.4529000000000001</v>
      </c>
      <c r="D20" s="3">
        <f>C20*SQRT(((D19/C19)^2))</f>
        <v>0.23359999999999997</v>
      </c>
    </row>
    <row r="21" spans="2:19" x14ac:dyDescent="0.25">
      <c r="B21" s="6" t="s">
        <v>25</v>
      </c>
      <c r="C21" s="6">
        <v>6.1750999999999996</v>
      </c>
      <c r="D21" s="3">
        <v>1E-4</v>
      </c>
    </row>
    <row r="22" spans="2:19" x14ac:dyDescent="0.25">
      <c r="B22" s="6" t="s">
        <v>19</v>
      </c>
      <c r="C22" s="6">
        <f>(4.73*0.73)*6.1751</f>
        <v>21.322002789999999</v>
      </c>
      <c r="D22" s="3">
        <f>C22*SQRT(((D21/C21)^2)+((D20/C20)^2))</f>
        <v>1.4425034013257898</v>
      </c>
    </row>
    <row r="23" spans="2:19" x14ac:dyDescent="0.25">
      <c r="F23" s="4"/>
      <c r="G23" s="4"/>
    </row>
    <row r="24" spans="2:19" x14ac:dyDescent="0.25">
      <c r="B24" s="2" t="s">
        <v>26</v>
      </c>
      <c r="C24" s="2" t="s">
        <v>24</v>
      </c>
      <c r="D24" s="3" t="s">
        <v>27</v>
      </c>
      <c r="F24" s="4"/>
      <c r="G24" s="4"/>
      <c r="H24" s="4"/>
    </row>
    <row r="25" spans="2:19" x14ac:dyDescent="0.25">
      <c r="B25" s="3">
        <f>D19*0.73/C20</f>
        <v>6.765327695560254E-2</v>
      </c>
      <c r="C25" s="3">
        <v>1E-4</v>
      </c>
      <c r="D25" s="3">
        <f>C25/C21</f>
        <v>1.6194069731664268E-5</v>
      </c>
      <c r="F25" s="4"/>
      <c r="G25" s="4"/>
      <c r="H25" s="4"/>
    </row>
    <row r="26" spans="2:19" x14ac:dyDescent="0.25">
      <c r="F26" s="4"/>
      <c r="G26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4"/>
  <sheetViews>
    <sheetView workbookViewId="0">
      <pane xSplit="2" ySplit="1" topLeftCell="N2" activePane="bottomRight" state="frozen"/>
      <selection pane="topRight" activeCell="C1" sqref="C1"/>
      <selection pane="bottomLeft" activeCell="A2" sqref="A2"/>
      <selection pane="bottomRight" activeCell="B33" sqref="B33"/>
    </sheetView>
  </sheetViews>
  <sheetFormatPr defaultRowHeight="15" x14ac:dyDescent="0.25"/>
  <cols>
    <col min="1" max="1" width="11.5703125" bestFit="1" customWidth="1"/>
    <col min="2" max="2" width="13.7109375" bestFit="1" customWidth="1"/>
    <col min="3" max="3" width="12.5703125" bestFit="1" customWidth="1"/>
    <col min="4" max="4" width="12.42578125" bestFit="1" customWidth="1"/>
    <col min="5" max="5" width="34.140625" bestFit="1" customWidth="1"/>
    <col min="6" max="6" width="21.7109375" bestFit="1" customWidth="1"/>
    <col min="7" max="7" width="25" bestFit="1" customWidth="1"/>
    <col min="8" max="9" width="20.5703125" bestFit="1" customWidth="1"/>
    <col min="10" max="10" width="30.28515625" bestFit="1" customWidth="1"/>
    <col min="11" max="11" width="22.28515625" bestFit="1" customWidth="1"/>
    <col min="12" max="12" width="26.140625" bestFit="1" customWidth="1"/>
    <col min="13" max="13" width="25.140625" bestFit="1" customWidth="1"/>
    <col min="14" max="14" width="40.7109375" bestFit="1" customWidth="1"/>
    <col min="15" max="15" width="39" bestFit="1" customWidth="1"/>
    <col min="16" max="16" width="21.5703125" bestFit="1" customWidth="1"/>
    <col min="17" max="17" width="20.5703125" bestFit="1" customWidth="1"/>
    <col min="21" max="21" width="9.5703125" bestFit="1" customWidth="1"/>
  </cols>
  <sheetData>
    <row r="1" spans="1:21" x14ac:dyDescent="0.25">
      <c r="A1" t="s">
        <v>23</v>
      </c>
      <c r="B1" t="s">
        <v>0</v>
      </c>
      <c r="C1" t="s">
        <v>1</v>
      </c>
      <c r="D1" t="s">
        <v>16</v>
      </c>
      <c r="E1" t="s">
        <v>21</v>
      </c>
      <c r="F1" t="s">
        <v>22</v>
      </c>
      <c r="G1" t="s">
        <v>39</v>
      </c>
      <c r="H1" t="s">
        <v>44</v>
      </c>
      <c r="I1" t="s">
        <v>38</v>
      </c>
      <c r="J1" t="s">
        <v>45</v>
      </c>
      <c r="K1" t="s">
        <v>46</v>
      </c>
      <c r="L1" t="s">
        <v>47</v>
      </c>
      <c r="M1" t="s">
        <v>48</v>
      </c>
      <c r="N1" t="s">
        <v>53</v>
      </c>
      <c r="O1" t="s">
        <v>56</v>
      </c>
      <c r="P1" t="s">
        <v>49</v>
      </c>
      <c r="Q1" t="s">
        <v>50</v>
      </c>
      <c r="S1" t="s">
        <v>54</v>
      </c>
      <c r="U1" t="s">
        <v>55</v>
      </c>
    </row>
    <row r="2" spans="1:21" x14ac:dyDescent="0.25">
      <c r="A2">
        <v>0</v>
      </c>
      <c r="B2">
        <v>0</v>
      </c>
      <c r="C2">
        <v>0</v>
      </c>
      <c r="D2">
        <v>0</v>
      </c>
      <c r="E2">
        <v>0</v>
      </c>
      <c r="F2">
        <v>21</v>
      </c>
    </row>
    <row r="3" spans="1:21" x14ac:dyDescent="0.25">
      <c r="A3">
        <v>1.25</v>
      </c>
      <c r="B3" t="s">
        <v>5</v>
      </c>
      <c r="C3">
        <v>0.1007</v>
      </c>
      <c r="D3">
        <v>6.2683999999999997</v>
      </c>
      <c r="E3">
        <v>21.644158359999999</v>
      </c>
      <c r="F3">
        <v>8.7400301199999983</v>
      </c>
      <c r="G3">
        <f>E3/$C$19</f>
        <v>28379954614.719799</v>
      </c>
      <c r="H3" s="5">
        <f>G3/$C$24</f>
        <v>4.712712489990003E-14</v>
      </c>
      <c r="I3" s="5">
        <f>(H3*90)*1000</f>
        <v>4.2414412409910028E-9</v>
      </c>
      <c r="J3">
        <f>F3/$C$19</f>
        <v>11459981673.174379</v>
      </c>
      <c r="K3" s="5">
        <f>J3/$C$24</f>
        <v>1.9030192084314809E-14</v>
      </c>
      <c r="L3">
        <f>(K3*90)*1000</f>
        <v>1.7127172875883328E-9</v>
      </c>
      <c r="M3" s="5">
        <f>I3-L3</f>
        <v>2.5287239534026698E-9</v>
      </c>
      <c r="N3" s="5">
        <f>M3/C3</f>
        <v>2.5111459318795133E-8</v>
      </c>
      <c r="O3" s="5">
        <f>(M3/1000)/C3</f>
        <v>2.511145931879513E-11</v>
      </c>
      <c r="P3">
        <f>L3/(D3/1000)</f>
        <v>2.7323037578781396E-7</v>
      </c>
      <c r="Q3" s="5">
        <f>M3/C3</f>
        <v>2.5111459318795133E-8</v>
      </c>
      <c r="S3">
        <f>LN(O$17-O3)</f>
        <v>-25.422774548706993</v>
      </c>
      <c r="U3" s="5">
        <f>A3/N3</f>
        <v>49778070.805483393</v>
      </c>
    </row>
    <row r="4" spans="1:21" x14ac:dyDescent="0.25">
      <c r="A4">
        <v>2.0830000000000002</v>
      </c>
      <c r="B4" t="s">
        <v>6</v>
      </c>
      <c r="C4">
        <v>0.1051</v>
      </c>
      <c r="D4">
        <v>6.2827999999999999</v>
      </c>
      <c r="E4">
        <v>21.693880119999999</v>
      </c>
      <c r="F4">
        <v>5.9165127599999998</v>
      </c>
      <c r="G4">
        <f t="shared" ref="G4:G11" si="0">E4/$C$19</f>
        <v>28445150094.659172</v>
      </c>
      <c r="H4" s="5">
        <f t="shared" ref="H4:H11" si="1">G4/$C$24</f>
        <v>4.723538707183522E-14</v>
      </c>
      <c r="I4" s="5">
        <f t="shared" ref="I4:I12" si="2">(H4*90)*1000</f>
        <v>4.2511848364651692E-9</v>
      </c>
      <c r="J4">
        <f t="shared" ref="J4:J12" si="3">F4/$C$19</f>
        <v>7757768207.6343203</v>
      </c>
      <c r="K4" s="5">
        <f t="shared" ref="K4:K12" si="4">J4/$C$24</f>
        <v>1.2882378292318698E-14</v>
      </c>
      <c r="L4">
        <f t="shared" ref="L4:L12" si="5">(K4*90)*1000</f>
        <v>1.1594140463086828E-9</v>
      </c>
      <c r="M4" s="5">
        <f t="shared" ref="M4:M12" si="6">I4-L4</f>
        <v>3.0917707901564864E-9</v>
      </c>
      <c r="N4" s="5">
        <f t="shared" ref="N4:N12" si="7">M4/C4</f>
        <v>2.9417419506722041E-8</v>
      </c>
      <c r="O4" s="5">
        <f t="shared" ref="O4:O12" si="8">(M4/1000)/C4</f>
        <v>2.9417419506722038E-11</v>
      </c>
      <c r="P4">
        <f t="shared" ref="P4:P12" si="9">L4/(D4/1000)</f>
        <v>1.845377930713508E-7</v>
      </c>
      <c r="Q4" s="5">
        <f t="shared" ref="Q4:Q12" si="10">M4/C4</f>
        <v>2.9417419506722041E-8</v>
      </c>
      <c r="S4">
        <f t="shared" ref="S4:S10" si="11">LN(O$17-O4)</f>
        <v>-26.063700533628957</v>
      </c>
      <c r="U4" s="5">
        <f t="shared" ref="U4:U12" si="12">A4/N4</f>
        <v>70808386.151070222</v>
      </c>
    </row>
    <row r="5" spans="1:21" x14ac:dyDescent="0.25">
      <c r="A5">
        <v>5</v>
      </c>
      <c r="B5" t="s">
        <v>7</v>
      </c>
      <c r="C5">
        <v>0.1002</v>
      </c>
      <c r="D5">
        <v>6.2945000000000011</v>
      </c>
      <c r="E5">
        <v>21.734279050000005</v>
      </c>
      <c r="F5">
        <v>5.0774584250000006</v>
      </c>
      <c r="G5">
        <f t="shared" si="0"/>
        <v>28498121422.109921</v>
      </c>
      <c r="H5" s="5">
        <f t="shared" si="1"/>
        <v>4.7323350086532579E-14</v>
      </c>
      <c r="I5" s="5">
        <f t="shared" si="2"/>
        <v>4.2591015077879323E-9</v>
      </c>
      <c r="J5">
        <f t="shared" si="3"/>
        <v>6657594962.2476654</v>
      </c>
      <c r="K5" s="5">
        <f t="shared" si="4"/>
        <v>1.105545493564873E-14</v>
      </c>
      <c r="L5">
        <f t="shared" si="5"/>
        <v>9.9499094420838553E-10</v>
      </c>
      <c r="M5" s="5">
        <f t="shared" si="6"/>
        <v>3.264110563579547E-9</v>
      </c>
      <c r="N5" s="5">
        <f t="shared" si="7"/>
        <v>3.2575953728338791E-8</v>
      </c>
      <c r="O5" s="5">
        <f t="shared" si="8"/>
        <v>3.2575953728338793E-11</v>
      </c>
      <c r="P5">
        <f t="shared" si="9"/>
        <v>1.5807307080918029E-7</v>
      </c>
      <c r="Q5" s="5">
        <f t="shared" si="10"/>
        <v>3.2575953728338791E-8</v>
      </c>
      <c r="S5">
        <f t="shared" si="11"/>
        <v>-27.139224077209178</v>
      </c>
      <c r="U5" s="5">
        <f t="shared" si="12"/>
        <v>153487447.87939551</v>
      </c>
    </row>
    <row r="6" spans="1:21" x14ac:dyDescent="0.25">
      <c r="A6">
        <v>10</v>
      </c>
      <c r="B6" t="s">
        <v>8</v>
      </c>
      <c r="C6">
        <v>9.7199999999999995E-2</v>
      </c>
      <c r="D6">
        <v>6.2969000000000008</v>
      </c>
      <c r="E6">
        <v>21.742566010000004</v>
      </c>
      <c r="F6">
        <v>4.9460890120000007</v>
      </c>
      <c r="G6">
        <f t="shared" si="0"/>
        <v>28508987335.433151</v>
      </c>
      <c r="H6" s="5">
        <f t="shared" si="1"/>
        <v>4.7341393781855112E-14</v>
      </c>
      <c r="I6" s="5">
        <f t="shared" si="2"/>
        <v>4.26072544036696E-9</v>
      </c>
      <c r="J6">
        <f t="shared" si="3"/>
        <v>6485342573.5573082</v>
      </c>
      <c r="K6" s="5">
        <f t="shared" si="4"/>
        <v>1.0769416429022431E-14</v>
      </c>
      <c r="L6">
        <f t="shared" si="5"/>
        <v>9.6924747861201873E-10</v>
      </c>
      <c r="M6" s="5">
        <f t="shared" si="6"/>
        <v>3.2914779617549413E-9</v>
      </c>
      <c r="N6" s="5">
        <f t="shared" si="7"/>
        <v>3.3862941993363594E-8</v>
      </c>
      <c r="O6" s="5">
        <f t="shared" si="8"/>
        <v>3.3862941993363593E-11</v>
      </c>
      <c r="P6">
        <f t="shared" si="9"/>
        <v>1.5392454677889414E-7</v>
      </c>
      <c r="Q6" s="5">
        <f t="shared" si="10"/>
        <v>3.3862941993363594E-8</v>
      </c>
      <c r="S6">
        <f t="shared" si="11"/>
        <v>-28.685815789889563</v>
      </c>
      <c r="U6" s="5">
        <f t="shared" si="12"/>
        <v>295308068.68345296</v>
      </c>
    </row>
    <row r="7" spans="1:21" x14ac:dyDescent="0.25">
      <c r="A7">
        <v>20</v>
      </c>
      <c r="B7" t="s">
        <v>9</v>
      </c>
      <c r="C7">
        <v>0.1022</v>
      </c>
      <c r="D7">
        <v>6.2897000000000007</v>
      </c>
      <c r="E7">
        <v>21.717705130000002</v>
      </c>
      <c r="F7">
        <v>4.2654858490000009</v>
      </c>
      <c r="G7">
        <f t="shared" si="0"/>
        <v>28476389595.463459</v>
      </c>
      <c r="H7" s="5">
        <f t="shared" si="1"/>
        <v>4.7287262695887507E-14</v>
      </c>
      <c r="I7" s="5">
        <f t="shared" si="2"/>
        <v>4.255853642629876E-9</v>
      </c>
      <c r="J7">
        <f t="shared" si="3"/>
        <v>5592931487.1428242</v>
      </c>
      <c r="K7" s="5">
        <f t="shared" si="4"/>
        <v>9.2874983180717761E-15</v>
      </c>
      <c r="L7">
        <f t="shared" si="5"/>
        <v>8.358748486264599E-10</v>
      </c>
      <c r="M7" s="5">
        <f t="shared" si="6"/>
        <v>3.4199787940034162E-9</v>
      </c>
      <c r="N7" s="5">
        <f t="shared" si="7"/>
        <v>3.3463588982420902E-8</v>
      </c>
      <c r="O7" s="5">
        <f t="shared" si="8"/>
        <v>3.3463588982420904E-11</v>
      </c>
      <c r="P7">
        <f t="shared" si="9"/>
        <v>1.3289582152192631E-7</v>
      </c>
      <c r="Q7" s="5">
        <f t="shared" si="10"/>
        <v>3.3463588982420902E-8</v>
      </c>
      <c r="S7">
        <f t="shared" si="11"/>
        <v>-27.921885662334777</v>
      </c>
      <c r="U7" s="5">
        <f t="shared" si="12"/>
        <v>597664524.58241713</v>
      </c>
    </row>
    <row r="8" spans="1:21" x14ac:dyDescent="0.25">
      <c r="A8">
        <v>60</v>
      </c>
      <c r="B8" t="s">
        <v>10</v>
      </c>
      <c r="C8">
        <v>0.1038</v>
      </c>
      <c r="D8">
        <v>6.2926000000000002</v>
      </c>
      <c r="E8">
        <v>21.727718540000001</v>
      </c>
      <c r="F8">
        <v>4.267452542</v>
      </c>
      <c r="G8">
        <f t="shared" si="0"/>
        <v>28489519240.729027</v>
      </c>
      <c r="H8" s="5">
        <f t="shared" si="1"/>
        <v>4.7309065494402234E-14</v>
      </c>
      <c r="I8" s="5">
        <f t="shared" si="2"/>
        <v>4.2578158944962016E-9</v>
      </c>
      <c r="J8">
        <f t="shared" si="3"/>
        <v>5595510227.1960392</v>
      </c>
      <c r="K8" s="5">
        <f t="shared" si="4"/>
        <v>9.2917805167652589E-15</v>
      </c>
      <c r="L8">
        <f t="shared" si="5"/>
        <v>8.3626024650887331E-10</v>
      </c>
      <c r="M8" s="5">
        <f t="shared" si="6"/>
        <v>3.4215556479873283E-9</v>
      </c>
      <c r="N8" s="5">
        <f t="shared" si="7"/>
        <v>3.2962963853442466E-8</v>
      </c>
      <c r="O8" s="5">
        <f t="shared" si="8"/>
        <v>3.2962963853442466E-11</v>
      </c>
      <c r="P8">
        <f t="shared" si="9"/>
        <v>1.3289582152192626E-7</v>
      </c>
      <c r="Q8" s="5">
        <f t="shared" si="10"/>
        <v>3.2962963853442466E-8</v>
      </c>
      <c r="S8">
        <f t="shared" si="11"/>
        <v>-27.40928490041544</v>
      </c>
      <c r="U8" s="5">
        <f t="shared" si="12"/>
        <v>1820224669.9285793</v>
      </c>
    </row>
    <row r="9" spans="1:21" x14ac:dyDescent="0.25">
      <c r="A9">
        <v>120</v>
      </c>
      <c r="B9" t="s">
        <v>11</v>
      </c>
      <c r="C9">
        <v>9.5399999999999999E-2</v>
      </c>
      <c r="D9">
        <v>6.2851999999999988</v>
      </c>
      <c r="E9">
        <v>21.702167079999995</v>
      </c>
      <c r="F9">
        <v>4.5652550199999986</v>
      </c>
      <c r="G9">
        <f t="shared" si="0"/>
        <v>28456016007.982399</v>
      </c>
      <c r="H9" s="5">
        <f t="shared" si="1"/>
        <v>4.7253430767157753E-14</v>
      </c>
      <c r="I9" s="5">
        <f t="shared" si="2"/>
        <v>4.2528087690441978E-9</v>
      </c>
      <c r="J9">
        <f t="shared" si="3"/>
        <v>5985990682.4402714</v>
      </c>
      <c r="K9" s="5">
        <f t="shared" si="4"/>
        <v>9.9402037237467132E-15</v>
      </c>
      <c r="L9">
        <f t="shared" si="5"/>
        <v>8.9461833513720412E-10</v>
      </c>
      <c r="M9" s="5">
        <f t="shared" si="6"/>
        <v>3.3581904339069937E-9</v>
      </c>
      <c r="N9" s="5">
        <f t="shared" si="7"/>
        <v>3.5201157588123621E-8</v>
      </c>
      <c r="O9" s="5">
        <f t="shared" si="8"/>
        <v>3.5201157588123626E-11</v>
      </c>
      <c r="P9">
        <f t="shared" si="9"/>
        <v>1.4233729000464651E-7</v>
      </c>
      <c r="Q9" s="5">
        <f t="shared" si="10"/>
        <v>3.5201157588123621E-8</v>
      </c>
      <c r="U9" s="5">
        <f t="shared" si="12"/>
        <v>3408978801.3245997</v>
      </c>
    </row>
    <row r="10" spans="1:21" x14ac:dyDescent="0.25">
      <c r="A10">
        <v>240</v>
      </c>
      <c r="B10" t="s">
        <v>12</v>
      </c>
      <c r="C10">
        <v>0.10879999999999999</v>
      </c>
      <c r="D10">
        <v>6.2880000000000003</v>
      </c>
      <c r="E10">
        <v>21.711835200000003</v>
      </c>
      <c r="F10">
        <v>4.0807233600000004</v>
      </c>
      <c r="G10">
        <f t="shared" si="0"/>
        <v>28468692906.859509</v>
      </c>
      <c r="H10" s="5">
        <f t="shared" si="1"/>
        <v>4.7274481745034057E-14</v>
      </c>
      <c r="I10" s="5">
        <f t="shared" si="2"/>
        <v>4.2547033570530651E-9</v>
      </c>
      <c r="J10">
        <f t="shared" si="3"/>
        <v>5350669766.2152433</v>
      </c>
      <c r="K10" s="5">
        <f t="shared" si="4"/>
        <v>8.8852038628615797E-15</v>
      </c>
      <c r="L10">
        <f t="shared" si="5"/>
        <v>7.9966834765754215E-10</v>
      </c>
      <c r="M10" s="5">
        <f t="shared" si="6"/>
        <v>3.4550350093955229E-9</v>
      </c>
      <c r="N10" s="5">
        <f t="shared" si="7"/>
        <v>3.1755836483414737E-8</v>
      </c>
      <c r="O10" s="5">
        <f t="shared" si="8"/>
        <v>3.1755836483414737E-11</v>
      </c>
      <c r="P10">
        <f t="shared" si="9"/>
        <v>1.2717371941118673E-7</v>
      </c>
      <c r="Q10" s="5">
        <f t="shared" si="10"/>
        <v>3.1755836483414737E-8</v>
      </c>
      <c r="S10">
        <f t="shared" si="11"/>
        <v>-26.732743882269535</v>
      </c>
      <c r="U10" s="5">
        <f t="shared" si="12"/>
        <v>7557665820.749073</v>
      </c>
    </row>
    <row r="11" spans="1:21" x14ac:dyDescent="0.25">
      <c r="A11">
        <v>420</v>
      </c>
      <c r="B11" t="s">
        <v>13</v>
      </c>
      <c r="C11">
        <v>9.2600000000000002E-2</v>
      </c>
      <c r="D11">
        <v>6.2787999999999995</v>
      </c>
      <c r="E11">
        <v>21.680068519999999</v>
      </c>
      <c r="F11">
        <v>4.803533152</v>
      </c>
      <c r="G11">
        <f t="shared" si="0"/>
        <v>28427040239.120457</v>
      </c>
      <c r="H11" s="5">
        <f t="shared" si="1"/>
        <v>4.7205314246297665E-14</v>
      </c>
      <c r="I11" s="5">
        <f t="shared" si="2"/>
        <v>4.2484782821667897E-9</v>
      </c>
      <c r="J11">
        <f t="shared" si="3"/>
        <v>6298422446.2152729</v>
      </c>
      <c r="K11" s="5">
        <f t="shared" si="4"/>
        <v>1.0459021000025362E-14</v>
      </c>
      <c r="L11">
        <f t="shared" si="5"/>
        <v>9.4131189000228268E-10</v>
      </c>
      <c r="M11" s="5">
        <f t="shared" si="6"/>
        <v>3.3071663921645072E-9</v>
      </c>
      <c r="N11" s="5">
        <f t="shared" si="7"/>
        <v>3.5714539872186902E-8</v>
      </c>
      <c r="O11" s="5">
        <f t="shared" si="8"/>
        <v>3.5714539872186904E-11</v>
      </c>
      <c r="P11">
        <f t="shared" si="9"/>
        <v>1.4991907530137651E-7</v>
      </c>
      <c r="Q11" s="5">
        <f t="shared" si="10"/>
        <v>3.5714539872186902E-8</v>
      </c>
      <c r="U11" s="5">
        <f t="shared" si="12"/>
        <v>11759916311.481859</v>
      </c>
    </row>
    <row r="12" spans="1:21" s="7" customFormat="1" x14ac:dyDescent="0.25">
      <c r="A12" s="7">
        <f>60*24</f>
        <v>1440</v>
      </c>
      <c r="B12" s="7" t="s">
        <v>14</v>
      </c>
      <c r="C12" s="7">
        <v>9.2899999999999996E-2</v>
      </c>
      <c r="D12" s="7">
        <v>6.2888000000000002</v>
      </c>
      <c r="E12" s="7">
        <v>21.714597520000002</v>
      </c>
      <c r="F12" s="7">
        <v>4.5678698799999999</v>
      </c>
      <c r="G12" s="7">
        <f>E12/$C$19</f>
        <v>28472314877.967247</v>
      </c>
      <c r="H12" s="8">
        <f>G12/$C$24</f>
        <v>4.7280496310141555E-14</v>
      </c>
      <c r="I12" s="8">
        <f t="shared" si="2"/>
        <v>4.2552446679127394E-9</v>
      </c>
      <c r="J12" s="7">
        <f t="shared" si="3"/>
        <v>5989419303.0819044</v>
      </c>
      <c r="K12" s="8">
        <f t="shared" si="4"/>
        <v>9.9458972153469022E-15</v>
      </c>
      <c r="L12" s="7">
        <f t="shared" si="5"/>
        <v>8.9513074938122126E-10</v>
      </c>
      <c r="M12" s="8">
        <f t="shared" si="6"/>
        <v>3.3601139185315182E-9</v>
      </c>
      <c r="N12" s="8">
        <f t="shared" si="7"/>
        <v>3.6169148746302676E-8</v>
      </c>
      <c r="O12" s="8">
        <f t="shared" si="8"/>
        <v>3.6169148746302668E-11</v>
      </c>
      <c r="P12" s="7">
        <f t="shared" si="9"/>
        <v>1.4233729000464656E-7</v>
      </c>
      <c r="Q12" s="8">
        <f t="shared" si="10"/>
        <v>3.6169148746302676E-8</v>
      </c>
      <c r="U12" s="8">
        <f t="shared" si="12"/>
        <v>39812935883.57402</v>
      </c>
    </row>
    <row r="13" spans="1:21" x14ac:dyDescent="0.25">
      <c r="H13" s="5"/>
    </row>
    <row r="17" spans="2:15" x14ac:dyDescent="0.25">
      <c r="B17" t="s">
        <v>41</v>
      </c>
      <c r="C17">
        <v>28.8</v>
      </c>
      <c r="N17" s="5">
        <f>AVERAGE(N7:N12)</f>
        <v>3.4211205920981885E-8</v>
      </c>
      <c r="O17" s="5">
        <f>AVERAGE(O7:O12)</f>
        <v>3.4211205920981881E-11</v>
      </c>
    </row>
    <row r="18" spans="2:15" x14ac:dyDescent="0.25">
      <c r="B18" t="s">
        <v>42</v>
      </c>
      <c r="C18">
        <f>C17*365.25*24*60*60</f>
        <v>908858880.00000012</v>
      </c>
    </row>
    <row r="19" spans="2:15" x14ac:dyDescent="0.25">
      <c r="B19" t="s">
        <v>40</v>
      </c>
      <c r="C19">
        <f>LN(2)/C18</f>
        <v>7.6265655297326821E-10</v>
      </c>
    </row>
    <row r="24" spans="2:15" x14ac:dyDescent="0.25">
      <c r="B24" t="s">
        <v>43</v>
      </c>
      <c r="C24" s="5">
        <v>6.0220000000000003E+23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BT1</vt:lpstr>
      <vt:lpstr>langfreud eq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2019-01-24T12:37:21Z</dcterms:created>
  <dcterms:modified xsi:type="dcterms:W3CDTF">2022-06-06T14:24:22Z</dcterms:modified>
</cp:coreProperties>
</file>