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99bd94eae897b9ca/Documents/PhD/Working file/Research data/1_Sr_separation_from_cementitious_matrices/Data/1_Batch_Uptake_experiment/"/>
    </mc:Choice>
  </mc:AlternateContent>
  <xr:revisionPtr revIDLastSave="0" documentId="11_DE455D84E3606034C4933C105BF4EFAC80F4DA2B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T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" i="1" l="1"/>
  <c r="V2" i="1" l="1"/>
  <c r="J12" i="1"/>
  <c r="J11" i="1"/>
  <c r="J10" i="1"/>
  <c r="J9" i="1"/>
  <c r="J8" i="1"/>
  <c r="J7" i="1"/>
  <c r="J6" i="1"/>
  <c r="J5" i="1"/>
  <c r="J4" i="1"/>
  <c r="J3" i="1"/>
  <c r="J2" i="1"/>
  <c r="T2" i="1" s="1"/>
  <c r="C20" i="1"/>
  <c r="A12" i="1"/>
  <c r="Q4" i="1"/>
  <c r="R4" i="1" s="1"/>
  <c r="Q5" i="1"/>
  <c r="R5" i="1" s="1"/>
  <c r="Q6" i="1"/>
  <c r="R6" i="1" s="1"/>
  <c r="Q7" i="1"/>
  <c r="R7" i="1" s="1"/>
  <c r="Q8" i="1"/>
  <c r="R8" i="1" s="1"/>
  <c r="Q9" i="1"/>
  <c r="R9" i="1" s="1"/>
  <c r="Q10" i="1"/>
  <c r="R10" i="1" s="1"/>
  <c r="Q11" i="1"/>
  <c r="R11" i="1" s="1"/>
  <c r="Q12" i="1"/>
  <c r="R12" i="1" s="1"/>
  <c r="Q3" i="1"/>
  <c r="R3" i="1" s="1"/>
  <c r="I4" i="1"/>
  <c r="I5" i="1"/>
  <c r="I6" i="1"/>
  <c r="I7" i="1"/>
  <c r="K7" i="1" s="1"/>
  <c r="I8" i="1"/>
  <c r="I9" i="1"/>
  <c r="I10" i="1"/>
  <c r="I11" i="1"/>
  <c r="K11" i="1" s="1"/>
  <c r="I12" i="1"/>
  <c r="I3" i="1"/>
  <c r="C22" i="1" l="1"/>
  <c r="D20" i="1"/>
  <c r="L11" i="1"/>
  <c r="L7" i="1"/>
  <c r="K8" i="1"/>
  <c r="L8" i="1" s="1"/>
  <c r="K4" i="1"/>
  <c r="L4" i="1" s="1"/>
  <c r="K10" i="1"/>
  <c r="L10" i="1" s="1"/>
  <c r="K6" i="1"/>
  <c r="S6" i="1"/>
  <c r="T6" i="1" s="1"/>
  <c r="K12" i="1"/>
  <c r="L12" i="1" s="1"/>
  <c r="K9" i="1"/>
  <c r="L9" i="1" s="1"/>
  <c r="S10" i="1"/>
  <c r="T10" i="1" s="1"/>
  <c r="S5" i="1"/>
  <c r="T5" i="1" s="1"/>
  <c r="I16" i="1"/>
  <c r="G23" i="1" s="1"/>
  <c r="S7" i="1"/>
  <c r="T7" i="1" s="1"/>
  <c r="S3" i="1"/>
  <c r="T3" i="1" s="1"/>
  <c r="S11" i="1"/>
  <c r="S12" i="1"/>
  <c r="T12" i="1" s="1"/>
  <c r="S8" i="1"/>
  <c r="T8" i="1" s="1"/>
  <c r="S4" i="1"/>
  <c r="T4" i="1" s="1"/>
  <c r="S9" i="1"/>
  <c r="T9" i="1" s="1"/>
  <c r="K3" i="1"/>
  <c r="L3" i="1" s="1"/>
  <c r="K5" i="1"/>
  <c r="L5" i="1" s="1"/>
  <c r="U11" i="1" l="1"/>
  <c r="T11" i="1"/>
  <c r="L6" i="1"/>
  <c r="U7" i="1"/>
  <c r="V7" i="1" s="1"/>
  <c r="D22" i="1"/>
  <c r="U4" i="1"/>
  <c r="V4" i="1" s="1"/>
  <c r="U10" i="1"/>
  <c r="V10" i="1" s="1"/>
  <c r="U9" i="1"/>
  <c r="V9" i="1" s="1"/>
  <c r="U8" i="1"/>
  <c r="V8" i="1" s="1"/>
  <c r="U6" i="1"/>
  <c r="V6" i="1" s="1"/>
  <c r="U3" i="1"/>
  <c r="V3" i="1" s="1"/>
  <c r="U12" i="1"/>
  <c r="V12" i="1" s="1"/>
  <c r="U5" i="1"/>
  <c r="V5" i="1" s="1"/>
  <c r="S18" i="1"/>
  <c r="S22" i="1" s="1"/>
  <c r="V11" i="1" l="1"/>
</calcChain>
</file>

<file path=xl/sharedStrings.xml><?xml version="1.0" encoding="utf-8"?>
<sst xmlns="http://schemas.openxmlformats.org/spreadsheetml/2006/main" count="37" uniqueCount="37">
  <si>
    <t>Vial Label</t>
  </si>
  <si>
    <t>Mass of resin</t>
  </si>
  <si>
    <t>Mass of resin + sample</t>
  </si>
  <si>
    <t>Mass of analyte</t>
  </si>
  <si>
    <t>DC counts (Bq/g)</t>
  </si>
  <si>
    <t>Mass of resin + vial</t>
  </si>
  <si>
    <t>Sample mass</t>
  </si>
  <si>
    <t>K'</t>
  </si>
  <si>
    <t>HC DC Counts (Bq/g)</t>
  </si>
  <si>
    <t>HC DC Activity added (from B19) (Bq)</t>
  </si>
  <si>
    <t>HC DC counts total (Bq)</t>
  </si>
  <si>
    <t>Time (mins)</t>
  </si>
  <si>
    <t>BT2 M 1 min</t>
  </si>
  <si>
    <t>BT2 M 2 min</t>
  </si>
  <si>
    <t>BT2 M 5 min</t>
  </si>
  <si>
    <t>BT2 M 10 min</t>
  </si>
  <si>
    <t>BT2 M 20 min</t>
  </si>
  <si>
    <t>BT2 M 60 min</t>
  </si>
  <si>
    <t>BT2 M 120 min</t>
  </si>
  <si>
    <t>BT2 M 4 hrs</t>
  </si>
  <si>
    <t>BT2 M 7 hrs</t>
  </si>
  <si>
    <t>BT2 M 24 hrs</t>
  </si>
  <si>
    <t>Total in 5ml BT2</t>
  </si>
  <si>
    <t>HC DC Activity BT2 (Bq/g)</t>
  </si>
  <si>
    <t>σ K'</t>
  </si>
  <si>
    <t>rel uncert HC DC count total</t>
  </si>
  <si>
    <t>σ HC DC counts (Bq/g)</t>
  </si>
  <si>
    <t>σ Dc counts (Bq/g)</t>
  </si>
  <si>
    <t>σ mass of analyte (g)</t>
  </si>
  <si>
    <t>rel uncert activity added</t>
  </si>
  <si>
    <t>σ mass (g)</t>
  </si>
  <si>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Mass of resin + sample</t>
    </r>
  </si>
  <si>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Mass of resin + vial (g)</t>
    </r>
  </si>
  <si>
    <t>σ mass of resin (g)</t>
  </si>
  <si>
    <t xml:space="preserve">Mass </t>
  </si>
  <si>
    <t>σ</t>
  </si>
  <si>
    <t>Calibration of sample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</si>
</sst>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/>
    <xf numFmtId="0" fontId="0" fillId="2" borderId="1" xfId="0" applyFill="1" applyBorder="1"/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BT2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'BT2'!$A$2:$A$12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60</c:v>
                </c:pt>
                <c:pt idx="7">
                  <c:v>120</c:v>
                </c:pt>
                <c:pt idx="8">
                  <c:v>240</c:v>
                </c:pt>
                <c:pt idx="9">
                  <c:v>420</c:v>
                </c:pt>
                <c:pt idx="10">
                  <c:v>1440</c:v>
                </c:pt>
              </c:numCache>
            </c:numRef>
          </c:xVal>
          <c:yVal>
            <c:numRef>
              <c:f>'BT2'!$U$2:$U$9</c:f>
              <c:numCache>
                <c:formatCode>General</c:formatCode>
                <c:ptCount val="8"/>
                <c:pt idx="0">
                  <c:v>0</c:v>
                </c:pt>
                <c:pt idx="1">
                  <c:v>34.981955457089555</c:v>
                </c:pt>
                <c:pt idx="2">
                  <c:v>59.598379896867542</c:v>
                </c:pt>
                <c:pt idx="3">
                  <c:v>88.404811223048668</c:v>
                </c:pt>
                <c:pt idx="4">
                  <c:v>95.574540174249762</c:v>
                </c:pt>
                <c:pt idx="5">
                  <c:v>71.27573285140987</c:v>
                </c:pt>
                <c:pt idx="6">
                  <c:v>96.048391914766498</c:v>
                </c:pt>
                <c:pt idx="7">
                  <c:v>97.155873512681012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98-445E-BD0B-CD322961D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530752"/>
        <c:axId val="457531080"/>
      </c:scatterChart>
      <c:valAx>
        <c:axId val="457530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531080"/>
        <c:crosses val="autoZero"/>
        <c:crossBetween val="midCat"/>
      </c:valAx>
      <c:valAx>
        <c:axId val="457531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530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BT2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'BT2'!$A$2:$A$12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60</c:v>
                </c:pt>
                <c:pt idx="7">
                  <c:v>120</c:v>
                </c:pt>
                <c:pt idx="8">
                  <c:v>240</c:v>
                </c:pt>
                <c:pt idx="9">
                  <c:v>420</c:v>
                </c:pt>
                <c:pt idx="10">
                  <c:v>1440</c:v>
                </c:pt>
              </c:numCache>
            </c:numRef>
          </c:xVal>
          <c:yVal>
            <c:numRef>
              <c:f>'BT2'!$S$2:$S$6</c:f>
              <c:numCache>
                <c:formatCode>General</c:formatCode>
                <c:ptCount val="5"/>
                <c:pt idx="0">
                  <c:v>19</c:v>
                </c:pt>
                <c:pt idx="1">
                  <c:v>12.122158079999998</c:v>
                </c:pt>
                <c:pt idx="2">
                  <c:v>10.086325319999998</c:v>
                </c:pt>
                <c:pt idx="3">
                  <c:v>8.1306378000000006</c:v>
                </c:pt>
                <c:pt idx="4">
                  <c:v>7.5616319999999986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A3-4E3C-8AA1-7385C22780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530752"/>
        <c:axId val="457531080"/>
      </c:scatterChart>
      <c:valAx>
        <c:axId val="457530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531080"/>
        <c:crosses val="autoZero"/>
        <c:crossBetween val="midCat"/>
      </c:valAx>
      <c:valAx>
        <c:axId val="45753108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530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19</xdr:row>
      <xdr:rowOff>38100</xdr:rowOff>
    </xdr:from>
    <xdr:to>
      <xdr:col>10</xdr:col>
      <xdr:colOff>952500</xdr:colOff>
      <xdr:row>33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20</xdr:row>
      <xdr:rowOff>0</xdr:rowOff>
    </xdr:from>
    <xdr:to>
      <xdr:col>14</xdr:col>
      <xdr:colOff>0</xdr:colOff>
      <xdr:row>34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5"/>
  <sheetViews>
    <sheetView tabSelected="1" zoomScale="70" zoomScaleNormal="70" workbookViewId="0">
      <selection activeCell="K3" sqref="K3"/>
    </sheetView>
  </sheetViews>
  <sheetFormatPr defaultRowHeight="15" x14ac:dyDescent="0.25"/>
  <cols>
    <col min="1" max="1" width="11.5703125" bestFit="1" customWidth="1"/>
    <col min="2" max="2" width="29.140625" bestFit="1" customWidth="1"/>
    <col min="3" max="3" width="12.5703125" bestFit="1" customWidth="1"/>
    <col min="4" max="4" width="17.28515625" bestFit="1" customWidth="1"/>
    <col min="5" max="5" width="17.85546875" bestFit="1" customWidth="1"/>
    <col min="6" max="6" width="22.42578125" bestFit="1" customWidth="1"/>
    <col min="7" max="7" width="21.140625" bestFit="1" customWidth="1"/>
    <col min="8" max="8" width="22.85546875" bestFit="1" customWidth="1"/>
    <col min="9" max="9" width="12.42578125" bestFit="1" customWidth="1"/>
    <col min="10" max="10" width="12.42578125" customWidth="1"/>
    <col min="11" max="11" width="35.85546875" bestFit="1" customWidth="1"/>
    <col min="12" max="12" width="22.85546875" bestFit="1" customWidth="1"/>
    <col min="13" max="13" width="15.85546875" bestFit="1" customWidth="1"/>
    <col min="14" max="14" width="20.28515625" bestFit="1" customWidth="1"/>
    <col min="15" max="15" width="15.85546875" bestFit="1" customWidth="1"/>
    <col min="16" max="16" width="17.28515625" bestFit="1" customWidth="1"/>
    <col min="17" max="17" width="21" bestFit="1" customWidth="1"/>
    <col min="18" max="18" width="22.42578125" bestFit="1" customWidth="1"/>
    <col min="19" max="19" width="21.7109375" bestFit="1" customWidth="1"/>
    <col min="20" max="20" width="27.7109375" bestFit="1" customWidth="1"/>
    <col min="22" max="22" width="12" bestFit="1" customWidth="1"/>
  </cols>
  <sheetData>
    <row r="1" spans="1:22" x14ac:dyDescent="0.25">
      <c r="A1" t="s">
        <v>11</v>
      </c>
      <c r="B1" t="s">
        <v>0</v>
      </c>
      <c r="C1" t="s">
        <v>1</v>
      </c>
      <c r="D1" s="1" t="s">
        <v>33</v>
      </c>
      <c r="E1" t="s">
        <v>5</v>
      </c>
      <c r="F1" s="2" t="s">
        <v>32</v>
      </c>
      <c r="G1" t="s">
        <v>2</v>
      </c>
      <c r="H1" s="2" t="s">
        <v>31</v>
      </c>
      <c r="I1" t="s">
        <v>6</v>
      </c>
      <c r="J1" s="1" t="s">
        <v>30</v>
      </c>
      <c r="K1" t="s">
        <v>9</v>
      </c>
      <c r="L1" s="2" t="s">
        <v>29</v>
      </c>
      <c r="M1" t="s">
        <v>3</v>
      </c>
      <c r="N1" s="1" t="s">
        <v>28</v>
      </c>
      <c r="O1" t="s">
        <v>4</v>
      </c>
      <c r="P1" s="1" t="s">
        <v>27</v>
      </c>
      <c r="Q1" t="s">
        <v>8</v>
      </c>
      <c r="R1" s="1" t="s">
        <v>26</v>
      </c>
      <c r="S1" t="s">
        <v>10</v>
      </c>
      <c r="T1" s="1" t="s">
        <v>25</v>
      </c>
      <c r="U1" t="s">
        <v>7</v>
      </c>
      <c r="V1" s="1" t="s">
        <v>24</v>
      </c>
    </row>
    <row r="2" spans="1:22" x14ac:dyDescent="0.25">
      <c r="A2">
        <v>0</v>
      </c>
      <c r="B2">
        <v>0</v>
      </c>
      <c r="C2">
        <v>0</v>
      </c>
      <c r="D2" s="2">
        <v>1E-4</v>
      </c>
      <c r="E2">
        <v>0</v>
      </c>
      <c r="F2" s="2">
        <v>1E-4</v>
      </c>
      <c r="G2">
        <v>0</v>
      </c>
      <c r="H2" s="2">
        <v>1E-4</v>
      </c>
      <c r="I2">
        <v>0</v>
      </c>
      <c r="J2" s="2">
        <f t="shared" ref="J2:J12" si="0">SQRT((H2^2)+(F2^2))</f>
        <v>1.4142135623730951E-4</v>
      </c>
      <c r="K2">
        <v>0</v>
      </c>
      <c r="L2" s="2"/>
      <c r="M2">
        <v>0</v>
      </c>
      <c r="N2" s="2">
        <v>1E-4</v>
      </c>
      <c r="O2">
        <v>0</v>
      </c>
      <c r="P2" s="2">
        <v>0</v>
      </c>
      <c r="Q2">
        <v>0</v>
      </c>
      <c r="R2" s="2" t="e">
        <f>Q2*SQRT((P2/O2)^2)</f>
        <v>#DIV/0!</v>
      </c>
      <c r="S2">
        <v>19</v>
      </c>
      <c r="T2" s="2" t="e">
        <f>S2*SQRT(((R2/Q2)^2)+((J2/I2)^2))</f>
        <v>#DIV/0!</v>
      </c>
      <c r="U2">
        <v>0</v>
      </c>
      <c r="V2" s="2" t="e">
        <f>#REF!*U2</f>
        <v>#REF!</v>
      </c>
    </row>
    <row r="3" spans="1:22" x14ac:dyDescent="0.25">
      <c r="A3">
        <v>1</v>
      </c>
      <c r="B3" t="s">
        <v>12</v>
      </c>
      <c r="C3">
        <v>0.1072</v>
      </c>
      <c r="D3" s="2">
        <v>1E-4</v>
      </c>
      <c r="E3">
        <v>6.266</v>
      </c>
      <c r="F3" s="2">
        <v>1E-4</v>
      </c>
      <c r="G3">
        <v>12.752599999999999</v>
      </c>
      <c r="H3" s="2">
        <v>1E-4</v>
      </c>
      <c r="I3">
        <f t="shared" ref="I3:I12" si="1">G3-E3</f>
        <v>6.4865999999999993</v>
      </c>
      <c r="J3" s="2">
        <f t="shared" si="0"/>
        <v>1.4142135623730951E-4</v>
      </c>
      <c r="K3">
        <f t="shared" ref="K3:K12" si="2">I3*$C$20</f>
        <v>19.130280719999998</v>
      </c>
      <c r="L3" s="2">
        <f>K3*SQRT(((J3/I3)^2)+((D$20/C$20)^2))</f>
        <v>1.3732132833388921</v>
      </c>
      <c r="M3">
        <v>5.8059000000000003</v>
      </c>
      <c r="N3" s="2">
        <v>1E-4</v>
      </c>
      <c r="O3">
        <v>2.56</v>
      </c>
      <c r="P3" s="2">
        <v>0.2</v>
      </c>
      <c r="Q3">
        <f>O3*0.73</f>
        <v>1.8688</v>
      </c>
      <c r="R3" s="2">
        <f>Q3*SQRT((P3/O3)^2)</f>
        <v>0.14599999999999999</v>
      </c>
      <c r="S3">
        <f t="shared" ref="S3:S12" si="3">Q3*I3</f>
        <v>12.122158079999998</v>
      </c>
      <c r="T3" s="2">
        <f>S3*SQRT(((R3/Q3)^2)+((J3/I3)^2))</f>
        <v>0.9470436368770071</v>
      </c>
      <c r="U3">
        <f t="shared" ref="U3:U12" si="4">((K3-S3)/S3)*(I3/C3)</f>
        <v>34.981955457089555</v>
      </c>
      <c r="V3" s="2">
        <f>U3*SQRT(((L3/K3)^2)+((T3/S3)^2)+((J3/I3)^2)+((D3/C3)^2))</f>
        <v>3.7115621213015708</v>
      </c>
    </row>
    <row r="4" spans="1:22" x14ac:dyDescent="0.25">
      <c r="A4">
        <v>2</v>
      </c>
      <c r="B4" t="s">
        <v>13</v>
      </c>
      <c r="C4">
        <v>9.7600000000000006E-2</v>
      </c>
      <c r="D4" s="2">
        <v>1E-4</v>
      </c>
      <c r="E4">
        <v>6.3113000000000001</v>
      </c>
      <c r="F4" s="2">
        <v>1E-4</v>
      </c>
      <c r="G4">
        <v>12.7981</v>
      </c>
      <c r="H4" s="2">
        <v>1E-4</v>
      </c>
      <c r="I4">
        <f t="shared" si="1"/>
        <v>6.4867999999999997</v>
      </c>
      <c r="J4" s="2">
        <f t="shared" si="0"/>
        <v>1.4142135623730951E-4</v>
      </c>
      <c r="K4">
        <f t="shared" si="2"/>
        <v>19.130870559999998</v>
      </c>
      <c r="L4" s="2">
        <f t="shared" ref="L4:L12" si="5">K4*SQRT(((J4/I4)^2)+((D$20/C$20)^2))</f>
        <v>1.3732556233369391</v>
      </c>
      <c r="M4">
        <v>5.8532999999999999</v>
      </c>
      <c r="N4" s="2">
        <v>1E-4</v>
      </c>
      <c r="O4">
        <v>2.13</v>
      </c>
      <c r="P4" s="2">
        <v>0.17</v>
      </c>
      <c r="Q4">
        <f t="shared" ref="Q4:Q12" si="6">O4*0.73</f>
        <v>1.5548999999999999</v>
      </c>
      <c r="R4" s="2">
        <f t="shared" ref="R4:R12" si="7">Q4*SQRT((P4/O4)^2)</f>
        <v>0.12410000000000002</v>
      </c>
      <c r="S4">
        <f t="shared" si="3"/>
        <v>10.086325319999998</v>
      </c>
      <c r="T4" s="2">
        <f t="shared" ref="T4:T12" si="8">S4*SQRT(((R4/Q4)^2)+((J4/I4)^2))</f>
        <v>0.80501191003327055</v>
      </c>
      <c r="U4">
        <f t="shared" si="4"/>
        <v>59.598379896867542</v>
      </c>
      <c r="V4" s="2">
        <f t="shared" ref="V4:V12" si="9">U4*SQRT(((L4/K4)^2)+((T4/S4)^2)+((J4/I4)^2)+((D4/C4)^2))</f>
        <v>6.3978022879503262</v>
      </c>
    </row>
    <row r="5" spans="1:22" x14ac:dyDescent="0.25">
      <c r="A5">
        <v>5</v>
      </c>
      <c r="B5" t="s">
        <v>14</v>
      </c>
      <c r="C5">
        <v>9.8799999999999999E-2</v>
      </c>
      <c r="D5" s="2">
        <v>1E-4</v>
      </c>
      <c r="E5">
        <v>6.3171999999999997</v>
      </c>
      <c r="F5" s="2">
        <v>1E-4</v>
      </c>
      <c r="G5">
        <v>12.7927</v>
      </c>
      <c r="H5" s="2">
        <v>1E-4</v>
      </c>
      <c r="I5">
        <f t="shared" si="1"/>
        <v>6.4755000000000003</v>
      </c>
      <c r="J5" s="2">
        <f t="shared" si="0"/>
        <v>1.4142135623730951E-4</v>
      </c>
      <c r="K5">
        <f t="shared" si="2"/>
        <v>19.097544599999999</v>
      </c>
      <c r="L5" s="2">
        <f t="shared" si="5"/>
        <v>1.3708634134474649</v>
      </c>
      <c r="M5">
        <v>5.8620999999999999</v>
      </c>
      <c r="N5" s="2">
        <v>1E-4</v>
      </c>
      <c r="O5">
        <v>1.72</v>
      </c>
      <c r="P5" s="2">
        <v>0.13</v>
      </c>
      <c r="Q5">
        <f t="shared" si="6"/>
        <v>1.2556</v>
      </c>
      <c r="R5" s="2">
        <f t="shared" si="7"/>
        <v>9.4900000000000012E-2</v>
      </c>
      <c r="S5">
        <f t="shared" si="3"/>
        <v>8.1306378000000006</v>
      </c>
      <c r="T5" s="2">
        <f t="shared" si="8"/>
        <v>0.61452497565447228</v>
      </c>
      <c r="U5">
        <f t="shared" si="4"/>
        <v>88.404811223048668</v>
      </c>
      <c r="V5" s="2">
        <f t="shared" si="9"/>
        <v>9.215434855324359</v>
      </c>
    </row>
    <row r="6" spans="1:22" x14ac:dyDescent="0.25">
      <c r="A6">
        <v>10</v>
      </c>
      <c r="B6" t="s">
        <v>15</v>
      </c>
      <c r="C6">
        <v>0.1033</v>
      </c>
      <c r="D6" s="2">
        <v>1E-4</v>
      </c>
      <c r="E6">
        <v>6.2747999999999999</v>
      </c>
      <c r="F6" s="2">
        <v>1E-4</v>
      </c>
      <c r="G6">
        <v>12.748799999999999</v>
      </c>
      <c r="H6" s="2">
        <v>1E-4</v>
      </c>
      <c r="I6">
        <f t="shared" si="1"/>
        <v>6.4739999999999993</v>
      </c>
      <c r="J6" s="2">
        <f t="shared" si="0"/>
        <v>1.4142135623730951E-4</v>
      </c>
      <c r="K6">
        <f t="shared" si="2"/>
        <v>19.093120799999998</v>
      </c>
      <c r="L6" s="2">
        <f t="shared" si="5"/>
        <v>1.3705458634621654</v>
      </c>
      <c r="M6">
        <v>5.8010000000000002</v>
      </c>
      <c r="N6" s="2">
        <v>1E-4</v>
      </c>
      <c r="O6">
        <v>1.6</v>
      </c>
      <c r="P6" s="2">
        <v>0.13</v>
      </c>
      <c r="Q6">
        <f t="shared" si="6"/>
        <v>1.1679999999999999</v>
      </c>
      <c r="R6" s="2">
        <f t="shared" si="7"/>
        <v>9.4899999999999998E-2</v>
      </c>
      <c r="S6">
        <f t="shared" si="3"/>
        <v>7.5616319999999986</v>
      </c>
      <c r="T6" s="2">
        <f t="shared" si="8"/>
        <v>0.614382622204795</v>
      </c>
      <c r="U6">
        <f t="shared" si="4"/>
        <v>95.574540174249762</v>
      </c>
      <c r="V6" s="2">
        <f t="shared" si="9"/>
        <v>10.36231760118616</v>
      </c>
    </row>
    <row r="7" spans="1:22" x14ac:dyDescent="0.25">
      <c r="A7">
        <v>20</v>
      </c>
      <c r="B7" t="s">
        <v>16</v>
      </c>
      <c r="C7">
        <v>9.5500000000000002E-2</v>
      </c>
      <c r="D7" s="2">
        <v>1E-4</v>
      </c>
      <c r="E7">
        <v>6.2363999999999997</v>
      </c>
      <c r="F7" s="2">
        <v>1E-4</v>
      </c>
      <c r="G7">
        <v>12.714399999999999</v>
      </c>
      <c r="H7" s="2">
        <v>1E-4</v>
      </c>
      <c r="I7">
        <f t="shared" si="1"/>
        <v>6.4779999999999998</v>
      </c>
      <c r="J7" s="2">
        <f t="shared" si="0"/>
        <v>1.4142135623730951E-4</v>
      </c>
      <c r="K7">
        <f t="shared" si="2"/>
        <v>19.104917599999997</v>
      </c>
      <c r="L7" s="2">
        <f t="shared" si="5"/>
        <v>1.3713926634229787</v>
      </c>
      <c r="M7">
        <v>5.7888000000000002</v>
      </c>
      <c r="N7" s="2">
        <v>1E-4</v>
      </c>
      <c r="O7">
        <v>1.97</v>
      </c>
      <c r="P7" s="2">
        <v>0.14000000000000001</v>
      </c>
      <c r="Q7">
        <f t="shared" si="6"/>
        <v>1.4380999999999999</v>
      </c>
      <c r="R7" s="2">
        <f t="shared" si="7"/>
        <v>0.1022</v>
      </c>
      <c r="S7">
        <f t="shared" si="3"/>
        <v>9.3160118000000001</v>
      </c>
      <c r="T7" s="2">
        <f t="shared" si="8"/>
        <v>0.66205163123822319</v>
      </c>
      <c r="U7">
        <f t="shared" si="4"/>
        <v>71.27573285140987</v>
      </c>
      <c r="V7" s="2">
        <f t="shared" si="9"/>
        <v>7.1999617909440206</v>
      </c>
    </row>
    <row r="8" spans="1:22" x14ac:dyDescent="0.25">
      <c r="A8">
        <v>60</v>
      </c>
      <c r="B8" t="s">
        <v>17</v>
      </c>
      <c r="C8">
        <v>9.6799999999999997E-2</v>
      </c>
      <c r="D8" s="2">
        <v>1E-4</v>
      </c>
      <c r="E8">
        <v>6.2423999999999999</v>
      </c>
      <c r="F8" s="2">
        <v>1E-4</v>
      </c>
      <c r="G8">
        <v>12.7272</v>
      </c>
      <c r="H8" s="2">
        <v>1E-4</v>
      </c>
      <c r="I8">
        <f t="shared" si="1"/>
        <v>6.4847999999999999</v>
      </c>
      <c r="J8" s="2">
        <f t="shared" si="0"/>
        <v>1.4142135623730951E-4</v>
      </c>
      <c r="K8">
        <f t="shared" si="2"/>
        <v>19.124972159999999</v>
      </c>
      <c r="L8" s="2">
        <f t="shared" si="5"/>
        <v>1.3728322233564734</v>
      </c>
      <c r="M8">
        <v>5.8057999999999996</v>
      </c>
      <c r="N8" s="2">
        <v>1E-4</v>
      </c>
      <c r="O8">
        <v>1.66</v>
      </c>
      <c r="P8" s="2">
        <v>0.14000000000000001</v>
      </c>
      <c r="Q8">
        <f t="shared" si="6"/>
        <v>1.2118</v>
      </c>
      <c r="R8" s="2">
        <f t="shared" si="7"/>
        <v>0.10220000000000001</v>
      </c>
      <c r="S8">
        <f t="shared" si="3"/>
        <v>7.8582806399999994</v>
      </c>
      <c r="T8" s="2">
        <f t="shared" si="8"/>
        <v>0.66274658215717597</v>
      </c>
      <c r="U8">
        <f t="shared" si="4"/>
        <v>96.048391914766498</v>
      </c>
      <c r="V8" s="2">
        <f t="shared" si="9"/>
        <v>10.637782507053652</v>
      </c>
    </row>
    <row r="9" spans="1:22" x14ac:dyDescent="0.25">
      <c r="A9">
        <v>120</v>
      </c>
      <c r="B9" t="s">
        <v>18</v>
      </c>
      <c r="C9">
        <v>9.9400000000000002E-2</v>
      </c>
      <c r="D9" s="2">
        <v>1E-4</v>
      </c>
      <c r="E9">
        <v>6.2355</v>
      </c>
      <c r="F9" s="2">
        <v>1E-4</v>
      </c>
      <c r="G9">
        <v>12.7003</v>
      </c>
      <c r="H9" s="2">
        <v>1E-4</v>
      </c>
      <c r="I9">
        <f t="shared" si="1"/>
        <v>6.4648000000000003</v>
      </c>
      <c r="J9" s="2">
        <f t="shared" si="0"/>
        <v>1.4142135623730951E-4</v>
      </c>
      <c r="K9">
        <f t="shared" si="2"/>
        <v>19.06598816</v>
      </c>
      <c r="L9" s="2">
        <f t="shared" si="5"/>
        <v>1.3685982235524776</v>
      </c>
      <c r="M9">
        <v>5.8116000000000003</v>
      </c>
      <c r="N9" s="2">
        <v>1E-4</v>
      </c>
      <c r="O9">
        <v>1.62</v>
      </c>
      <c r="P9" s="2">
        <v>0.14000000000000001</v>
      </c>
      <c r="Q9">
        <f t="shared" si="6"/>
        <v>1.1826000000000001</v>
      </c>
      <c r="R9" s="2">
        <f t="shared" si="7"/>
        <v>0.10220000000000001</v>
      </c>
      <c r="S9">
        <f t="shared" si="3"/>
        <v>7.6452724800000009</v>
      </c>
      <c r="T9" s="2">
        <f t="shared" si="8"/>
        <v>0.66070258116750913</v>
      </c>
      <c r="U9">
        <f t="shared" si="4"/>
        <v>97.155873512681012</v>
      </c>
      <c r="V9" s="2">
        <f t="shared" si="9"/>
        <v>10.91526603381039</v>
      </c>
    </row>
    <row r="10" spans="1:22" x14ac:dyDescent="0.25">
      <c r="A10">
        <v>240</v>
      </c>
      <c r="B10" t="s">
        <v>19</v>
      </c>
      <c r="C10">
        <v>9.9500000000000005E-2</v>
      </c>
      <c r="D10" s="2">
        <v>1E-4</v>
      </c>
      <c r="E10">
        <v>6.2350000000000003</v>
      </c>
      <c r="F10" s="2">
        <v>1E-4</v>
      </c>
      <c r="G10">
        <v>12.7361</v>
      </c>
      <c r="H10" s="2">
        <v>1E-4</v>
      </c>
      <c r="I10">
        <f t="shared" si="1"/>
        <v>6.5011000000000001</v>
      </c>
      <c r="J10" s="2">
        <f t="shared" si="0"/>
        <v>1.4142135623730951E-4</v>
      </c>
      <c r="K10">
        <f t="shared" si="2"/>
        <v>19.17304412</v>
      </c>
      <c r="L10" s="2">
        <f t="shared" si="5"/>
        <v>1.3762829331976218</v>
      </c>
      <c r="M10">
        <v>5.9393000000000002</v>
      </c>
      <c r="N10" s="2">
        <v>1E-4</v>
      </c>
      <c r="O10">
        <v>1.68</v>
      </c>
      <c r="P10" s="2">
        <v>0.15</v>
      </c>
      <c r="Q10">
        <f t="shared" si="6"/>
        <v>1.2263999999999999</v>
      </c>
      <c r="R10" s="2">
        <f t="shared" si="7"/>
        <v>0.1095</v>
      </c>
      <c r="S10">
        <f t="shared" si="3"/>
        <v>7.9729490399999996</v>
      </c>
      <c r="T10" s="2">
        <f t="shared" si="8"/>
        <v>0.71187047112823942</v>
      </c>
      <c r="U10">
        <f t="shared" si="4"/>
        <v>91.783895668820293</v>
      </c>
      <c r="V10" s="2">
        <f t="shared" si="9"/>
        <v>10.515419150891596</v>
      </c>
    </row>
    <row r="11" spans="1:22" x14ac:dyDescent="0.25">
      <c r="A11">
        <v>420</v>
      </c>
      <c r="B11" t="s">
        <v>20</v>
      </c>
      <c r="C11">
        <v>9.7500000000000003E-2</v>
      </c>
      <c r="D11" s="2">
        <v>1E-4</v>
      </c>
      <c r="E11">
        <v>6.2316000000000003</v>
      </c>
      <c r="F11" s="2">
        <v>1E-4</v>
      </c>
      <c r="G11">
        <v>12.988200000000001</v>
      </c>
      <c r="H11" s="2">
        <v>1E-4</v>
      </c>
      <c r="I11">
        <f t="shared" si="1"/>
        <v>6.7566000000000006</v>
      </c>
      <c r="J11" s="2">
        <f t="shared" si="0"/>
        <v>1.4142135623730951E-4</v>
      </c>
      <c r="K11">
        <f t="shared" si="2"/>
        <v>19.926564720000002</v>
      </c>
      <c r="L11" s="2">
        <f>K11*SQRT(((J11/I11)^2)+((D$20/C$20)^2))</f>
        <v>1.4303722808078116</v>
      </c>
      <c r="M11">
        <v>5.9180999999999999</v>
      </c>
      <c r="N11" s="2">
        <v>1E-4</v>
      </c>
      <c r="O11">
        <v>1.53</v>
      </c>
      <c r="P11" s="2">
        <v>0.14000000000000001</v>
      </c>
      <c r="Q11">
        <f t="shared" si="6"/>
        <v>1.1169</v>
      </c>
      <c r="R11" s="2">
        <f t="shared" si="7"/>
        <v>0.10220000000000001</v>
      </c>
      <c r="S11">
        <f t="shared" si="3"/>
        <v>7.5464465400000007</v>
      </c>
      <c r="T11" s="2">
        <f t="shared" si="8"/>
        <v>0.69052453806547864</v>
      </c>
      <c r="U11">
        <f t="shared" si="4"/>
        <v>113.68571141277023</v>
      </c>
      <c r="V11" s="2">
        <f t="shared" si="9"/>
        <v>13.222084406606106</v>
      </c>
    </row>
    <row r="12" spans="1:22" x14ac:dyDescent="0.25">
      <c r="A12">
        <f>60*24</f>
        <v>1440</v>
      </c>
      <c r="B12" t="s">
        <v>21</v>
      </c>
      <c r="C12">
        <v>0.1019</v>
      </c>
      <c r="D12" s="2">
        <v>1E-4</v>
      </c>
      <c r="E12">
        <v>6.3091999999999997</v>
      </c>
      <c r="F12" s="2">
        <v>1E-4</v>
      </c>
      <c r="G12">
        <v>12.7989</v>
      </c>
      <c r="H12" s="2">
        <v>1E-4</v>
      </c>
      <c r="I12">
        <f t="shared" si="1"/>
        <v>6.4897</v>
      </c>
      <c r="J12" s="2">
        <f t="shared" si="0"/>
        <v>1.4142135623730951E-4</v>
      </c>
      <c r="K12">
        <f t="shared" si="2"/>
        <v>19.139423239999999</v>
      </c>
      <c r="L12" s="2">
        <f t="shared" si="5"/>
        <v>1.3738695533086367</v>
      </c>
      <c r="M12">
        <v>5.9134000000000002</v>
      </c>
      <c r="N12" s="2">
        <v>1E-4</v>
      </c>
      <c r="O12">
        <v>1.54</v>
      </c>
      <c r="P12" s="2">
        <v>0.12</v>
      </c>
      <c r="Q12">
        <f t="shared" si="6"/>
        <v>1.1242000000000001</v>
      </c>
      <c r="R12" s="2">
        <f t="shared" si="7"/>
        <v>8.7600000000000011E-2</v>
      </c>
      <c r="S12">
        <f t="shared" si="3"/>
        <v>7.295720740000001</v>
      </c>
      <c r="T12" s="2">
        <f t="shared" si="8"/>
        <v>0.56849774223097083</v>
      </c>
      <c r="U12">
        <f t="shared" si="4"/>
        <v>103.38790257828526</v>
      </c>
      <c r="V12" s="2">
        <f t="shared" si="9"/>
        <v>10.953993808867867</v>
      </c>
    </row>
    <row r="16" spans="1:22" x14ac:dyDescent="0.25">
      <c r="I16">
        <f>SUM(I3:I12)+C21</f>
        <v>71.604399999999998</v>
      </c>
    </row>
    <row r="17" spans="2:19" x14ac:dyDescent="0.25">
      <c r="B17" s="3" t="s">
        <v>36</v>
      </c>
      <c r="C17" s="3"/>
      <c r="D17" s="3"/>
    </row>
    <row r="18" spans="2:19" x14ac:dyDescent="0.25">
      <c r="B18" s="3"/>
      <c r="C18" s="3"/>
      <c r="D18" s="4" t="s">
        <v>35</v>
      </c>
      <c r="S18">
        <f>SUM(S3:S12)</f>
        <v>85.535434440000003</v>
      </c>
    </row>
    <row r="19" spans="2:19" x14ac:dyDescent="0.25">
      <c r="B19" s="3"/>
      <c r="C19" s="3">
        <v>4.04</v>
      </c>
      <c r="D19" s="3">
        <v>0.28999999999999998</v>
      </c>
    </row>
    <row r="20" spans="2:19" x14ac:dyDescent="0.25">
      <c r="B20" s="3" t="s">
        <v>23</v>
      </c>
      <c r="C20" s="3">
        <f>(4.04*0.73)</f>
        <v>2.9491999999999998</v>
      </c>
      <c r="D20" s="3">
        <f>C20*SQRT(((D19/C19)^2))</f>
        <v>0.21169999999999997</v>
      </c>
    </row>
    <row r="21" spans="2:19" x14ac:dyDescent="0.25">
      <c r="B21" s="3" t="s">
        <v>34</v>
      </c>
      <c r="C21" s="3">
        <v>6.5065</v>
      </c>
      <c r="D21" s="3">
        <v>1E-4</v>
      </c>
    </row>
    <row r="22" spans="2:19" x14ac:dyDescent="0.25">
      <c r="B22" s="3" t="s">
        <v>22</v>
      </c>
      <c r="C22" s="3">
        <f>C20*6.5065</f>
        <v>19.188969799999999</v>
      </c>
      <c r="D22" s="3">
        <f>C22*SQRT(((D21/C21)^2)+((D20/C20)^2))</f>
        <v>1.3774260815725861</v>
      </c>
      <c r="S22" t="e">
        <f>S18+G23</f>
        <v>#REF!</v>
      </c>
    </row>
    <row r="23" spans="2:19" x14ac:dyDescent="0.25">
      <c r="G23" t="e">
        <f>(#REF!-I16)*C20</f>
        <v>#REF!</v>
      </c>
    </row>
    <row r="24" spans="2:19" x14ac:dyDescent="0.25">
      <c r="B24" s="1"/>
      <c r="C24" s="1"/>
      <c r="D24" s="2"/>
    </row>
    <row r="25" spans="2:19" x14ac:dyDescent="0.25">
      <c r="B25" s="2"/>
      <c r="C25" s="2"/>
      <c r="D25" s="2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BT2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2019-01-24T12:37:21Z</dcterms:created>
  <dcterms:modified xsi:type="dcterms:W3CDTF">2022-06-06T14:36:03Z</dcterms:modified>
</cp:coreProperties>
</file>