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 codeName="{B6124F1A-AFFB-F854-7757-9A1D4C6FC43C}"/>
  <workbookPr codeName="ThisWorkbook"/>
  <bookViews>
    <workbookView xWindow="65416" yWindow="65416" windowWidth="20730" windowHeight="11760" tabRatio="785" activeTab="0"/>
  </bookViews>
  <sheets>
    <sheet name="Contents" sheetId="19" r:id="rId1"/>
    <sheet name="SAMPLES" sheetId="1" r:id="rId2"/>
    <sheet name="Blank samples" sheetId="20" r:id="rId3"/>
    <sheet name="MP by Colour" sheetId="2" r:id="rId4"/>
    <sheet name="Colour_Data_Vis" sheetId="3" r:id="rId5"/>
    <sheet name="MP by Fraction" sheetId="4" r:id="rId6"/>
    <sheet name="MPsediment ratio" sheetId="5" r:id="rId7"/>
    <sheet name="Normality_Test" sheetId="17" r:id="rId8"/>
    <sheet name="Sheet9_HID" sheetId="18" state="hidden" r:id="rId9"/>
    <sheet name="Kruskal-Wallis Stations" sheetId="14" r:id="rId10"/>
    <sheet name="Kruskal-SurfacewrtSubsurface" sheetId="12" r:id="rId11"/>
    <sheet name="MP by morphology" sheetId="7" r:id="rId12"/>
  </sheets>
  <definedNames>
    <definedName name="tab20211008_072702_RunProcANO_69_1" localSheetId="7" hidden="1">'Normality_Test'!#REF!</definedName>
    <definedName name="tab20211008_072702_RunProcANO_69_2" localSheetId="7" hidden="1">'Normality_Test'!#REF!</definedName>
    <definedName name="tab20211008_072702_RunProcANO_69_3" localSheetId="7" hidden="1">'Normality_Test'!#REF!</definedName>
    <definedName name="tab20211008_072702_RunProcANO_69_4" localSheetId="7" hidden="1">'Normality_Test'!#REF!</definedName>
    <definedName name="tab20211008_072702_RunProcANO_69_5" localSheetId="7" hidden="1">'Normality_Test'!#REF!</definedName>
    <definedName name="tab20211008_072702_RunProcANO_78_1" localSheetId="7" hidden="1">'Normality_Test'!#REF!</definedName>
    <definedName name="tab20211008_072702_RunProcANO_85_1" localSheetId="7" hidden="1">'Normality_Test'!#REF!</definedName>
    <definedName name="tab20211008_072702_RunProcANO_89_1" localSheetId="7" hidden="1">'Normality_Test'!#REF!</definedName>
    <definedName name="tab20211008_072702_RunProcANO_91_1" localSheetId="7" hidden="1">'Normality_Test'!#REF!</definedName>
    <definedName name="xdata1" localSheetId="8" hidden="1">'Sheet9_HID'!$C$1:$C$70</definedName>
    <definedName name="xdata1" hidden="1">#REF!</definedName>
    <definedName name="xdata2" localSheetId="8" hidden="1">'Sheet9_HID'!$G$1:$G$70</definedName>
    <definedName name="xdata2" hidden="1">#REF!</definedName>
    <definedName name="ydata1" localSheetId="8" hidden="1">'Sheet9_HID'!$D$1:$D$70</definedName>
    <definedName name="ydata1" hidden="1">#REF!</definedName>
    <definedName name="ydata2" localSheetId="8" hidden="1">'Sheet9_HID'!$H$1:$H$70</definedName>
    <definedName name="ydata2" hidden="1">#REF!</definedName>
  </definedNames>
  <calcPr calcId="181029"/>
  <extLst/>
</workbook>
</file>

<file path=xl/sharedStrings.xml><?xml version="1.0" encoding="utf-8"?>
<sst xmlns="http://schemas.openxmlformats.org/spreadsheetml/2006/main" count="799" uniqueCount="246">
  <si>
    <t>SAMPLE ID</t>
  </si>
  <si>
    <t>MS01A</t>
  </si>
  <si>
    <t>MS01B</t>
  </si>
  <si>
    <t>MD01A</t>
  </si>
  <si>
    <t>MD01B</t>
  </si>
  <si>
    <t>MS02A</t>
  </si>
  <si>
    <t>MS02B</t>
  </si>
  <si>
    <t>MD02A</t>
  </si>
  <si>
    <t>MD02B</t>
  </si>
  <si>
    <t>MS03A</t>
  </si>
  <si>
    <t>MS03B</t>
  </si>
  <si>
    <t>MD03A</t>
  </si>
  <si>
    <t>MD03B</t>
  </si>
  <si>
    <t>MS04A</t>
  </si>
  <si>
    <t>MS04B</t>
  </si>
  <si>
    <t>MD04A</t>
  </si>
  <si>
    <t>MD04B</t>
  </si>
  <si>
    <t>MS05A</t>
  </si>
  <si>
    <t>MS05B</t>
  </si>
  <si>
    <t>MD05A</t>
  </si>
  <si>
    <t>MD05B</t>
  </si>
  <si>
    <t>Crude Mass (g)</t>
  </si>
  <si>
    <t>% Moisture</t>
  </si>
  <si>
    <t xml:space="preserve">Moisture adjusted mass (g) </t>
  </si>
  <si>
    <t>&gt;5.6mm</t>
  </si>
  <si>
    <t>Mass of fraction (g)</t>
  </si>
  <si>
    <t>Fragment</t>
  </si>
  <si>
    <t>Fibre/Filament</t>
  </si>
  <si>
    <t>Foam</t>
  </si>
  <si>
    <t>Pellet/Bead</t>
  </si>
  <si>
    <t>Film</t>
  </si>
  <si>
    <t>Other</t>
  </si>
  <si>
    <t>TOTAL</t>
  </si>
  <si>
    <t>Blue</t>
  </si>
  <si>
    <t>Red</t>
  </si>
  <si>
    <t>Yellow</t>
  </si>
  <si>
    <t>White</t>
  </si>
  <si>
    <t xml:space="preserve">Black </t>
  </si>
  <si>
    <t>Brown</t>
  </si>
  <si>
    <t>Opaque</t>
  </si>
  <si>
    <t>Grey</t>
  </si>
  <si>
    <t>Green</t>
  </si>
  <si>
    <t>Transparent</t>
  </si>
  <si>
    <t>Orange</t>
  </si>
  <si>
    <t>Cream</t>
  </si>
  <si>
    <t>Metallic</t>
  </si>
  <si>
    <t>Multi-coloured</t>
  </si>
  <si>
    <t xml:space="preserve">&gt;2mm </t>
  </si>
  <si>
    <t>Purple</t>
  </si>
  <si>
    <t>Pink</t>
  </si>
  <si>
    <t>&gt;1mm</t>
  </si>
  <si>
    <t>Colour</t>
  </si>
  <si>
    <t xml:space="preserve">Pink </t>
  </si>
  <si>
    <t>Total crude mass</t>
  </si>
  <si>
    <t>5.6mm</t>
  </si>
  <si>
    <t>2mm</t>
  </si>
  <si>
    <t>1mm</t>
  </si>
  <si>
    <t xml:space="preserve">Station </t>
  </si>
  <si>
    <t>Total Mass of Plastic (g)</t>
  </si>
  <si>
    <t>Dry weight mass of sediments (g)</t>
  </si>
  <si>
    <t>% Mass of MP in sample</t>
  </si>
  <si>
    <t>mg MP/kg dry sediment</t>
  </si>
  <si>
    <t>Surface</t>
  </si>
  <si>
    <t>Pellet</t>
  </si>
  <si>
    <t>Total</t>
  </si>
  <si>
    <t xml:space="preserve">Mass of dry sediment (g) </t>
  </si>
  <si>
    <t>Particles/kg dry sed</t>
  </si>
  <si>
    <t>Sediment horizon</t>
  </si>
  <si>
    <t>surface</t>
  </si>
  <si>
    <t>sub-surface</t>
  </si>
  <si>
    <t>Sediment code</t>
  </si>
  <si>
    <t>A</t>
  </si>
  <si>
    <t>B</t>
  </si>
  <si>
    <t>Control</t>
  </si>
  <si>
    <t>Sampling Locations</t>
  </si>
  <si>
    <t>Hotspot 1</t>
  </si>
  <si>
    <t>Least Polluted</t>
  </si>
  <si>
    <t>Hotspot 2</t>
  </si>
  <si>
    <t>Hotspot 3</t>
  </si>
  <si>
    <t>Surface Duplicates</t>
  </si>
  <si>
    <t>Subsurface</t>
  </si>
  <si>
    <t>Significance level (%): 5</t>
  </si>
  <si>
    <t>Summary statistics:</t>
  </si>
  <si>
    <t>Variable</t>
  </si>
  <si>
    <t>Observations</t>
  </si>
  <si>
    <t>Obs. with missing data</t>
  </si>
  <si>
    <t>Obs. without missing data</t>
  </si>
  <si>
    <t>Minimum</t>
  </si>
  <si>
    <t>Maximum</t>
  </si>
  <si>
    <t>Mean</t>
  </si>
  <si>
    <t>Std. deviation</t>
  </si>
  <si>
    <t>Summary statistics (Subsamples):</t>
  </si>
  <si>
    <t/>
  </si>
  <si>
    <t>1</t>
  </si>
  <si>
    <t>2</t>
  </si>
  <si>
    <t>3</t>
  </si>
  <si>
    <t>4</t>
  </si>
  <si>
    <t>5</t>
  </si>
  <si>
    <t>Categories</t>
  </si>
  <si>
    <t>Counts</t>
  </si>
  <si>
    <t>Frequencies</t>
  </si>
  <si>
    <t>%</t>
  </si>
  <si>
    <t>Summary statistics (Data / Subsamples):</t>
  </si>
  <si>
    <t>p-value (one-tailed)</t>
  </si>
  <si>
    <t>alpha</t>
  </si>
  <si>
    <t>Test interpretation:</t>
  </si>
  <si>
    <t>H0: The samples come from the same population.</t>
  </si>
  <si>
    <t>Ha: The samples do not come from the same population.</t>
  </si>
  <si>
    <t>As the computed p-value is lower than the significance level alpha=0.05, one should reject the null hypothesis H0, and accept the alternative hypothesis Ha.</t>
  </si>
  <si>
    <t xml:space="preserve"> </t>
  </si>
  <si>
    <t>Multiple pairwise comparisons using Dunn's procedure / Two-tailed test:</t>
  </si>
  <si>
    <t>Sample</t>
  </si>
  <si>
    <t>Frequency</t>
  </si>
  <si>
    <t>Sum of ranks</t>
  </si>
  <si>
    <t>Mean of ranks</t>
  </si>
  <si>
    <t>Groups</t>
  </si>
  <si>
    <t>Differences:</t>
  </si>
  <si>
    <t>p-values:</t>
  </si>
  <si>
    <t>Bonferroni corrected significance level: 0.005</t>
  </si>
  <si>
    <t>Significant differences:</t>
  </si>
  <si>
    <t>No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</si>
  <si>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</si>
  <si>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</si>
  <si>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</si>
  <si>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</si>
  <si>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</si>
  <si>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</si>
  <si>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</si>
  <si>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</si>
  <si>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</si>
  <si>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</si>
  <si>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Data: Workbook = Microplastics Samples Sorted (version 1).xlsb / Sheet = MPsediment ratio / Range = 'MPsediment ratio'!$D$54:$D$64,'MPsediment ratio'!$F$54:$F$64 / 10 rows and 2 columns</t>
  </si>
  <si>
    <t>Sample identifiers: Workbook = Microplastics Samples Sorted (version 1).xlsb / Sheet = MPsediment ratio / Range = 'MPsediment ratio'!$C$54:$C$64 / 10 rows and 1 column</t>
  </si>
  <si>
    <t>p-value: Exact p-value</t>
  </si>
  <si>
    <t>Surface | Sample-A</t>
  </si>
  <si>
    <t>Surface | Sample-B</t>
  </si>
  <si>
    <t>Subsurface | Sample-A</t>
  </si>
  <si>
    <t>Subsurface | Sample-B</t>
  </si>
  <si>
    <t>Results for variable Surface:</t>
  </si>
  <si>
    <t>Kruskal-Wallis test / Two-tailed test (Surface):</t>
  </si>
  <si>
    <t>K</t>
  </si>
  <si>
    <t>The p-value is computed using an exact method. Time elapsed: 0s.</t>
  </si>
  <si>
    <t>Results for variable Subsurface:</t>
  </si>
  <si>
    <t>Kruskal-Wallis test / Two-tailed test (Subsurface):</t>
  </si>
  <si>
    <t>As the computed p-value is greater than the significance level alpha=0.05, one cannot reject the null hypothesis H0.</t>
  </si>
  <si>
    <t>Summary (p-values):</t>
  </si>
  <si>
    <t>Kruskal-Wallis</t>
  </si>
  <si>
    <r>
      <t>XLSTAT 2021.3.1.1183 - Comparison of k samples (Kruskal-Wallis, Friedman, ...) - Start time: 09/15/2021 at 08:19:04 / End time: 09/15/2021 at 08:19:07</t>
    </r>
    <r>
      <rPr>
        <sz val="11"/>
        <color rgb="FFFFFFFF"/>
        <rFont val="Arial"/>
        <family val="2"/>
      </rPr>
      <t xml:space="preserve"> / Microsoft Excel 16.014326</t>
    </r>
  </si>
  <si>
    <t>Data: Workbook = Microplastics Samples Sorted (version 1).xlsb / Sheet = MPsediment ratio / Range = 'MPsediment ratio'!$A$3:$A$23,'MPsediment ratio'!$J$3:$J$23 / 20 rows and 2 columns</t>
  </si>
  <si>
    <t>Sample identifiers: Workbook = Microplastics Samples Sorted (version 1).xlsb / Sheet = MPsediment ratio / Range = 'MPsediment ratio'!$A$3:$A$23 / 20 rows and 1 column</t>
  </si>
  <si>
    <t>Station</t>
  </si>
  <si>
    <t>Station | Station-1</t>
  </si>
  <si>
    <t>Station | Station-2</t>
  </si>
  <si>
    <t>Station | Station-3</t>
  </si>
  <si>
    <t>Station | Station-4</t>
  </si>
  <si>
    <t>Station | Station-5</t>
  </si>
  <si>
    <t>mg MP/kg dry sediment | Station-1</t>
  </si>
  <si>
    <t>mg MP/kg dry sediment | Station-2</t>
  </si>
  <si>
    <t>mg MP/kg dry sediment | Station-3</t>
  </si>
  <si>
    <t>mg MP/kg dry sediment | Station-4</t>
  </si>
  <si>
    <t>mg MP/kg dry sediment | Station-5</t>
  </si>
  <si>
    <t>Results for variable Station:</t>
  </si>
  <si>
    <t>Kruskal-Wallis test / Two-tailed test (Station):</t>
  </si>
  <si>
    <t>Ties have been detected in the data and the appropriate corrections have been applied.</t>
  </si>
  <si>
    <t>C</t>
  </si>
  <si>
    <t>Pairwise comparisons (Station):</t>
  </si>
  <si>
    <t>Yes</t>
  </si>
  <si>
    <t>Results for variable mg MP/kg dry sediment:</t>
  </si>
  <si>
    <t>Kruskal-Wallis test / Two-tailed test (mg MP/kg dry sediment):</t>
  </si>
  <si>
    <t>The p-value is computed using an exact method. Time elapsed: 14s.</t>
  </si>
  <si>
    <t>Pairwise comparisons (mg MP/kg dry sediment):</t>
  </si>
  <si>
    <r>
      <t>XLSTAT 2021.3.1.1183 - Comparison of k samples (Kruskal-Wallis, Friedman, ...) - Start time: 09/16/2021 at 01:52:54 / End time: 09/16/2021 at 01:53:24</t>
    </r>
    <r>
      <rPr>
        <sz val="11"/>
        <color rgb="FFFFFFFF"/>
        <rFont val="Arial"/>
        <family val="2"/>
      </rPr>
      <t xml:space="preserve"> / Microsoft Excel 16.014326</t>
    </r>
  </si>
  <si>
    <t>S1A</t>
  </si>
  <si>
    <t>SS1A</t>
  </si>
  <si>
    <t>S1B</t>
  </si>
  <si>
    <t>SS1B</t>
  </si>
  <si>
    <t>S3A</t>
  </si>
  <si>
    <t>SS3A</t>
  </si>
  <si>
    <t>S3B</t>
  </si>
  <si>
    <t>SS3B</t>
  </si>
  <si>
    <t>S4A</t>
  </si>
  <si>
    <t>SS4A</t>
  </si>
  <si>
    <t>S4B</t>
  </si>
  <si>
    <t>SS4B</t>
  </si>
  <si>
    <t>S2A</t>
  </si>
  <si>
    <t>SS2A</t>
  </si>
  <si>
    <t>S2B</t>
  </si>
  <si>
    <t>SS2B</t>
  </si>
  <si>
    <t>S5A</t>
  </si>
  <si>
    <t>SS5A</t>
  </si>
  <si>
    <t>S5B</t>
  </si>
  <si>
    <t>SS5B</t>
  </si>
  <si>
    <t>Y / Dependent variables: Workbook = Chessel Bay Microplastics results_Stats(AutoRecovered) (version 2).xlsb / Sheet = MPsediment ratio / Range = 'MPsediment ratio'!$J$3:$J$23 / 20 rows and 1 column</t>
  </si>
  <si>
    <t>X / Qualitative: Workbook = Chessel Bay Microplastics results_Stats(AutoRecovered) (version 2).xlsb / Sheet = MPsediment ratio / Range = 'MPsediment ratio'!$A$3:$A$23 / 20 rows and 1 column</t>
  </si>
  <si>
    <t>Constraints: an=0</t>
  </si>
  <si>
    <t>Confidence interval (%): 95</t>
  </si>
  <si>
    <t>Tolerance: 0.0001</t>
  </si>
  <si>
    <t>Use least squares means: Yes</t>
  </si>
  <si>
    <t>Summary statistics (Quantitative data):</t>
  </si>
  <si>
    <t>Summary statistics (Qualitative data):</t>
  </si>
  <si>
    <t>Standard error</t>
  </si>
  <si>
    <t>Lower bound (95%)</t>
  </si>
  <si>
    <t>Upper bound (95%)</t>
  </si>
  <si>
    <t>Test assumptions:</t>
  </si>
  <si>
    <t>Test on the normality of the residuals (Shapiro-Wilk) (mg MP/kg dry sediment):</t>
  </si>
  <si>
    <t>W</t>
  </si>
  <si>
    <t>p-value (Two-tailed)</t>
  </si>
  <si>
    <t>H0: The residuals follow a Normal distribution.</t>
  </si>
  <si>
    <t>Ha: The residuals do not follow a Normal distribution.</t>
  </si>
  <si>
    <t>LS Means for factor Station:</t>
  </si>
  <si>
    <t>Category</t>
  </si>
  <si>
    <t>LS mean</t>
  </si>
  <si>
    <r>
      <t>XLSTAT 2021.3.1.1183 - Normality Tests - Start time: 9/13/2021 at 12:32:33 / End time: 9/13/2021 at 12:33:09</t>
    </r>
    <r>
      <rPr>
        <sz val="11"/>
        <color rgb="FFFFFFFF"/>
        <rFont val="Arial"/>
        <family val="2"/>
      </rPr>
      <t xml:space="preserve"> / Microsoft Excel 16.014430</t>
    </r>
  </si>
  <si>
    <t>RAW Data</t>
  </si>
  <si>
    <t>MP by Colour</t>
  </si>
  <si>
    <t>MP by Size Fraction</t>
  </si>
  <si>
    <t>MP by Morphology</t>
  </si>
  <si>
    <t>Contents Page</t>
  </si>
  <si>
    <t>DATA</t>
  </si>
  <si>
    <t>Worksheet Reference</t>
  </si>
  <si>
    <t>SAMPLES!A1</t>
  </si>
  <si>
    <t>MP by Colour'!A1</t>
  </si>
  <si>
    <t>MP by Fraction'!A1</t>
  </si>
  <si>
    <t>MP by morphology'!A1</t>
  </si>
  <si>
    <t>Statistics</t>
  </si>
  <si>
    <t>Normality Tests</t>
  </si>
  <si>
    <t>Kruskal Wallis Tests for:</t>
  </si>
  <si>
    <t>Stations</t>
  </si>
  <si>
    <t>Normality_Test!A1</t>
  </si>
  <si>
    <t>Kruskal-Wallis Stations'!A1</t>
  </si>
  <si>
    <t>MP Sediment ratio</t>
  </si>
  <si>
    <t>MPsediment ratio'!A1</t>
  </si>
  <si>
    <t>[Surface/Sub-surface]</t>
  </si>
  <si>
    <t>Kruskal-SurfacewrtSubsurface'!A1</t>
  </si>
  <si>
    <t xml:space="preserve">Blank </t>
  </si>
  <si>
    <t>Count of Microplastics</t>
  </si>
  <si>
    <t>Date</t>
  </si>
  <si>
    <t>13.07.2021</t>
  </si>
  <si>
    <t>Morphologies present</t>
  </si>
  <si>
    <t>30.07.2021</t>
  </si>
  <si>
    <t>14.07.2021</t>
  </si>
  <si>
    <t>23.07.2021</t>
  </si>
  <si>
    <t>07.08.2021</t>
  </si>
  <si>
    <t>23.08.2021</t>
  </si>
  <si>
    <t>31.08.2021</t>
  </si>
  <si>
    <t>Zero plastics identified after exposing sample to air and passing through sieve cascade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</si>
</sst>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0"/>
    <numFmt numFmtId="165" formatCode="0.0000"/>
    <numFmt numFmtId="166" formatCode="0.000%"/>
    <numFmt numFmtId="167" formatCode="0.000"/>
    <numFmt numFmtId="168" formatCode="[&lt;0.0001]&quot;&lt;0.0001&quot;;0.000"/>
  </numFmts>
  <fonts count="32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name val="Arial"/>
      <family val="2"/>
    </font>
    <font>
      <sz val="11"/>
      <color rgb="FFFFFFFF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i/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008941"/>
      <name val="Arial"/>
      <family val="2"/>
    </font>
    <font>
      <b/>
      <sz val="28"/>
      <color theme="1"/>
      <name val="Arial"/>
      <family val="2"/>
    </font>
    <font>
      <sz val="14"/>
      <color rgb="FF1A1A1A"/>
      <name val="Arial"/>
      <family val="2"/>
    </font>
    <font>
      <sz val="7"/>
      <name val="Arial"/>
      <family val="2"/>
    </font>
    <font>
      <sz val="11"/>
      <color rgb="FF1A1A1A"/>
      <name val="Arial"/>
      <family val="2"/>
    </font>
    <font>
      <b/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14"/>
      <color theme="1" tint="0.35"/>
      <name val="Calibri"/>
      <family val="2"/>
    </font>
    <font>
      <sz val="9"/>
      <color theme="1" tint="0.35"/>
      <name val="Calibri"/>
      <family val="2"/>
    </font>
    <font>
      <b/>
      <sz val="14"/>
      <color rgb="FF000000"/>
      <name val="Calibri"/>
      <family val="2"/>
    </font>
    <font>
      <sz val="16"/>
      <color theme="1"/>
      <name val="+mn-cs"/>
      <family val="2"/>
    </font>
    <font>
      <b/>
      <sz val="16"/>
      <color rgb="FF000000"/>
      <name val="Calibri"/>
      <family val="2"/>
    </font>
    <font>
      <sz val="12"/>
      <color theme="1"/>
      <name val="+mn-cs"/>
      <family val="2"/>
    </font>
    <font>
      <sz val="9"/>
      <name val="+mn-cs"/>
      <family val="2"/>
    </font>
    <font>
      <b/>
      <i/>
      <sz val="14"/>
      <name val="Calibri"/>
      <family val="2"/>
    </font>
    <font>
      <sz val="16"/>
      <name val="Calibri"/>
      <family val="2"/>
    </font>
    <font>
      <u val="single"/>
      <sz val="16"/>
      <name val="Calibri"/>
      <family val="2"/>
    </font>
    <font>
      <sz val="11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D41A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ck">
        <color rgb="FF000000"/>
      </bottom>
    </border>
    <border>
      <left/>
      <right/>
      <top/>
      <bottom style="thin">
        <color rgb="FF000000"/>
      </bottom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4" fontId="2" fillId="0" borderId="0" xfId="0" applyNumberFormat="1" applyFont="1"/>
    <xf numFmtId="166" fontId="2" fillId="0" borderId="1" xfId="0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4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6" xfId="0" applyNumberFormat="1" applyFont="1" applyBorder="1" applyAlignment="1">
      <alignment/>
    </xf>
    <xf numFmtId="0" fontId="0" fillId="0" borderId="5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6" xfId="0" applyNumberFormat="1" applyFont="1" applyBorder="1" applyAlignment="1">
      <alignment horizontal="left"/>
    </xf>
    <xf numFmtId="49" fontId="0" fillId="0" borderId="6" xfId="0" applyNumberFormat="1" applyFont="1" applyBorder="1" applyAlignment="1">
      <alignment/>
    </xf>
    <xf numFmtId="167" fontId="0" fillId="0" borderId="5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0" fillId="0" borderId="6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167" fontId="0" fillId="0" borderId="4" xfId="0" applyNumberFormat="1" applyFont="1" applyBorder="1" applyAlignment="1">
      <alignment horizontal="right"/>
    </xf>
    <xf numFmtId="167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/>
    </xf>
    <xf numFmtId="167" fontId="0" fillId="0" borderId="6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6" xfId="0" applyNumberFormat="1" applyFont="1" applyBorder="1" applyAlignment="1">
      <alignment horizontal="center"/>
    </xf>
    <xf numFmtId="167" fontId="0" fillId="0" borderId="5" xfId="0" applyNumberFormat="1" applyFont="1" applyBorder="1" applyAlignment="1">
      <alignment horizontal="center"/>
    </xf>
    <xf numFmtId="167" fontId="0" fillId="0" borderId="6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 vertical="center" wrapText="1"/>
    </xf>
    <xf numFmtId="167" fontId="0" fillId="0" borderId="8" xfId="0" applyNumberFormat="1" applyFont="1" applyBorder="1" applyAlignment="1">
      <alignment horizontal="center"/>
    </xf>
    <xf numFmtId="167" fontId="0" fillId="0" borderId="9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167" fontId="0" fillId="0" borderId="5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6" xfId="0" applyNumberFormat="1" applyFont="1" applyBorder="1" applyAlignment="1">
      <alignment horizontal="right"/>
    </xf>
    <xf numFmtId="0" fontId="11" fillId="0" borderId="5" xfId="0" applyNumberFormat="1" applyFont="1" applyFill="1" applyBorder="1" applyAlignment="1">
      <alignment horizontal="right"/>
    </xf>
    <xf numFmtId="168" fontId="9" fillId="5" borderId="0" xfId="0" applyNumberFormat="1" applyFont="1" applyFill="1" applyAlignment="1">
      <alignment horizontal="right"/>
    </xf>
    <xf numFmtId="168" fontId="9" fillId="5" borderId="5" xfId="0" applyNumberFormat="1" applyFont="1" applyFill="1" applyBorder="1" applyAlignment="1">
      <alignment horizontal="right"/>
    </xf>
    <xf numFmtId="0" fontId="11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 horizontal="right"/>
    </xf>
    <xf numFmtId="168" fontId="0" fillId="0" borderId="5" xfId="0" applyNumberFormat="1" applyFont="1" applyFill="1" applyBorder="1" applyAlignment="1">
      <alignment horizontal="right"/>
    </xf>
    <xf numFmtId="168" fontId="11" fillId="0" borderId="0" xfId="0" applyNumberFormat="1" applyFont="1" applyFill="1" applyAlignment="1">
      <alignment horizontal="right"/>
    </xf>
    <xf numFmtId="168" fontId="9" fillId="5" borderId="6" xfId="0" applyNumberFormat="1" applyFont="1" applyFill="1" applyBorder="1" applyAlignment="1">
      <alignment horizontal="right"/>
    </xf>
    <xf numFmtId="168" fontId="11" fillId="0" borderId="6" xfId="0" applyNumberFormat="1" applyFont="1" applyFill="1" applyBorder="1" applyAlignment="1">
      <alignment horizontal="right"/>
    </xf>
    <xf numFmtId="0" fontId="11" fillId="0" borderId="6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168" fontId="0" fillId="0" borderId="6" xfId="0" applyNumberFormat="1" applyFont="1" applyBorder="1" applyAlignment="1">
      <alignment/>
    </xf>
    <xf numFmtId="168" fontId="3" fillId="0" borderId="5" xfId="0" applyNumberFormat="1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2" fillId="0" borderId="11" xfId="0" applyFont="1" applyFill="1" applyBorder="1"/>
    <xf numFmtId="0" fontId="4" fillId="0" borderId="11" xfId="0" applyFont="1" applyFill="1" applyBorder="1"/>
    <xf numFmtId="0" fontId="0" fillId="0" borderId="11" xfId="0" applyFont="1" applyFill="1" applyBorder="1"/>
    <xf numFmtId="0" fontId="0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/>
    <xf numFmtId="0" fontId="0" fillId="0" borderId="12" xfId="0" applyFont="1" applyFill="1" applyBorder="1"/>
    <xf numFmtId="0" fontId="2" fillId="0" borderId="12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/>
    </xf>
    <xf numFmtId="0" fontId="2" fillId="0" borderId="0" xfId="0" applyFont="1" applyFill="1"/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3" fillId="0" borderId="0" xfId="0" applyFont="1" applyFill="1" applyAlignment="1">
      <alignment/>
    </xf>
    <xf numFmtId="0" fontId="3" fillId="0" borderId="13" xfId="0" applyFont="1" applyFill="1" applyBorder="1"/>
    <xf numFmtId="0" fontId="2" fillId="0" borderId="13" xfId="0" applyFont="1" applyFill="1" applyBorder="1"/>
    <xf numFmtId="0" fontId="5" fillId="0" borderId="0" xfId="0" applyFont="1" applyFill="1"/>
    <xf numFmtId="0" fontId="2" fillId="0" borderId="0" xfId="0" applyFont="1" applyFill="1" applyAlignment="1">
      <alignment/>
    </xf>
    <xf numFmtId="0" fontId="7" fillId="0" borderId="13" xfId="0" applyFont="1" applyFill="1" applyBorder="1"/>
    <xf numFmtId="0" fontId="5" fillId="6" borderId="14" xfId="0" applyFont="1" applyFill="1" applyBorder="1"/>
    <xf numFmtId="0" fontId="4" fillId="6" borderId="15" xfId="0" applyFont="1" applyFill="1" applyBorder="1"/>
    <xf numFmtId="0" fontId="4" fillId="6" borderId="15" xfId="0" applyFont="1" applyFill="1" applyBorder="1" applyAlignment="1">
      <alignment/>
    </xf>
    <xf numFmtId="0" fontId="4" fillId="6" borderId="16" xfId="0" applyFont="1" applyFill="1" applyBorder="1"/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4" xfId="0" applyNumberFormat="1" applyFont="1" applyBorder="1" applyAlignment="1">
      <alignment horizontal="right"/>
    </xf>
    <xf numFmtId="167" fontId="3" fillId="0" borderId="5" xfId="0" applyNumberFormat="1" applyFont="1" applyBorder="1" applyAlignment="1">
      <alignment horizontal="right"/>
    </xf>
    <xf numFmtId="167" fontId="3" fillId="0" borderId="0" xfId="0" applyNumberFormat="1" applyFont="1" applyAlignment="1">
      <alignment horizontal="right"/>
    </xf>
    <xf numFmtId="167" fontId="3" fillId="0" borderId="6" xfId="0" applyNumberFormat="1" applyFont="1" applyBorder="1" applyAlignment="1">
      <alignment horizontal="right"/>
    </xf>
    <xf numFmtId="168" fontId="10" fillId="5" borderId="0" xfId="0" applyNumberFormat="1" applyFont="1" applyFill="1" applyAlignment="1">
      <alignment horizontal="right"/>
    </xf>
    <xf numFmtId="168" fontId="10" fillId="5" borderId="5" xfId="0" applyNumberFormat="1" applyFont="1" applyFill="1" applyBorder="1" applyAlignment="1">
      <alignment horizontal="right"/>
    </xf>
    <xf numFmtId="168" fontId="10" fillId="5" borderId="6" xfId="0" applyNumberFormat="1" applyFont="1" applyFill="1" applyBorder="1" applyAlignment="1">
      <alignment horizontal="right"/>
    </xf>
    <xf numFmtId="0" fontId="3" fillId="0" borderId="5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6" xfId="0" applyNumberFormat="1" applyFont="1" applyBorder="1" applyAlignment="1">
      <alignment horizontal="center"/>
    </xf>
    <xf numFmtId="168" fontId="3" fillId="0" borderId="6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4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/>
    </xf>
    <xf numFmtId="0" fontId="14" fillId="0" borderId="17" xfId="0" applyNumberFormat="1" applyFont="1" applyBorder="1" applyAlignment="1">
      <alignment/>
    </xf>
    <xf numFmtId="167" fontId="14" fillId="0" borderId="17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3" fillId="0" borderId="0" xfId="20" applyAlignment="1">
      <alignment/>
    </xf>
    <xf numFmtId="0" fontId="13" fillId="0" borderId="0" xfId="20" applyAlignment="1" quotePrefix="1">
      <alignment/>
    </xf>
    <xf numFmtId="0" fontId="6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Relationship Id="rId2" Type="http://schemas.openxmlformats.org/officeDocument/2006/relationships/image" Target="../media/image4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5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Relationship Id="rId2" Type="http://schemas.openxmlformats.org/officeDocument/2006/relationships/image" Target="../media/image9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10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Relationship Id="rId2" Type="http://schemas.openxmlformats.org/officeDocument/2006/relationships/image" Target="../media/image11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Relationship Id="rId2" Type="http://schemas.openxmlformats.org/officeDocument/2006/relationships/image" Target="../media/image12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Colour_Data_Vis!$B$3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C000"/>
              </a:solidFill>
            </c:spPr>
          </c:dPt>
          <c:dPt>
            <c:idx val="4"/>
            <c:spPr>
              <a:solidFill>
                <a:srgbClr val="434343"/>
              </a:solidFill>
            </c:spPr>
          </c:dPt>
          <c:dPt>
            <c:idx val="5"/>
            <c:spPr>
              <a:solidFill>
                <a:srgbClr val="70AD47"/>
              </a:solidFill>
            </c:spPr>
          </c:dPt>
          <c:dPt>
            <c:idx val="6"/>
            <c:spPr>
              <a:solidFill>
                <a:srgbClr val="7C9CD6"/>
              </a:solidFill>
            </c:spPr>
          </c:dPt>
          <c:dPt>
            <c:idx val="7"/>
            <c:spPr>
              <a:solidFill>
                <a:srgbClr val="B7B7B7"/>
              </a:solidFill>
            </c:spPr>
          </c:dPt>
          <c:dPt>
            <c:idx val="8"/>
            <c:spPr>
              <a:solidFill>
                <a:srgbClr val="93C47D"/>
              </a:solidFill>
            </c:spPr>
          </c:dPt>
          <c:dPt>
            <c:idx val="9"/>
            <c:spPr>
              <a:solidFill>
                <a:srgbClr val="FFD34D"/>
              </a:solidFill>
            </c:spPr>
          </c:dPt>
          <c:dPt>
            <c:idx val="10"/>
            <c:spPr>
              <a:solidFill>
                <a:srgbClr val="8CB9E2"/>
              </a:solidFill>
            </c:spPr>
          </c:dPt>
          <c:dPt>
            <c:idx val="11"/>
            <c:spPr>
              <a:solidFill>
                <a:srgbClr val="9BC67E"/>
              </a:solidFill>
            </c:spPr>
          </c:dPt>
          <c:dPt>
            <c:idx val="12"/>
            <c:spPr>
              <a:solidFill>
                <a:srgbClr val="B4C7E7"/>
              </a:solidFill>
            </c:spPr>
          </c:dPt>
          <c:dPt>
            <c:idx val="13"/>
            <c:spPr>
              <a:solidFill>
                <a:srgbClr val="F8CBAD"/>
              </a:solidFill>
            </c:spPr>
          </c:dPt>
          <c:dPt>
            <c:idx val="14"/>
            <c:spPr>
              <a:solidFill>
                <a:srgbClr val="DBDBDB"/>
              </a:solidFill>
            </c:spPr>
          </c:dPt>
          <c:dPt>
            <c:idx val="15"/>
            <c:spPr>
              <a:solidFill>
                <a:srgbClr val="FFE6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Colour_Data_Vis!$A$4:$A$19</c:f>
              <c:strCache/>
            </c:strRef>
          </c:cat>
          <c:val>
            <c:numRef>
              <c:f>Colour_Data_Vis!$B$4:$B$19</c:f>
              <c:numCache/>
            </c:numRef>
          </c:val>
        </c:ser>
        <c:holeSize val="50"/>
      </c:doughnutChart>
    </c:plotArea>
    <c:legend>
      <c:legendPos val="r"/>
      <c:layout/>
      <c:overlay val="0"/>
      <c:txPr>
        <a:bodyPr vert="horz" rot="0"/>
        <a:lstStyle/>
        <a:p>
          <a:pPr>
            <a:defRPr lang="en-US" cap="none" b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Box plots (Station)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6125"/>
          <c:w val="0.8945"/>
          <c:h val="0.72175"/>
        </c:manualLayout>
      </c:layout>
      <c:scatterChart>
        <c:scatterStyle val="lineMarker"/>
        <c:varyColors val="0"/>
        <c:ser>
          <c:idx val="0"/>
          <c:order val="0"/>
          <c:tx>
            <c:v>Mean</c:v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FF373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xVal>
          <c:yVal>
            <c:numLit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yVal>
          <c:smooth val="0"/>
        </c:ser>
        <c:ser>
          <c:idx val="1"/>
          <c:order val="1"/>
          <c:tx>
            <c:v>Minimum/Maximum</c:v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10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  <c:pt idx="6">
                <c:v>4</c:v>
              </c:pt>
              <c:pt idx="7">
                <c:v>4</c:v>
              </c:pt>
              <c:pt idx="8">
                <c:v>5</c:v>
              </c:pt>
              <c:pt idx="9">
                <c:v>5</c:v>
              </c:pt>
            </c:numLit>
          </c:xVal>
          <c:yVal>
            <c:numLit>
              <c:ptCount val="10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  <c:pt idx="6">
                <c:v>4</c:v>
              </c:pt>
              <c:pt idx="7">
                <c:v>4</c:v>
              </c:pt>
              <c:pt idx="8">
                <c:v>5</c:v>
              </c:pt>
              <c:pt idx="9">
                <c:v>5</c:v>
              </c:pt>
            </c:numLit>
          </c:yVal>
          <c:smooth val="0"/>
        </c:ser>
        <c:ser>
          <c:idx val="2"/>
          <c:order val="2"/>
          <c:tx>
            <c:v/>
          </c:tx>
          <c:spPr>
            <a:ln w="6350">
              <a:solidFill>
                <a:srgbClr val="A7DA7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3"/>
              <c:pt idx="0">
                <c:v>0.9</c:v>
              </c:pt>
              <c:pt idx="1">
                <c:v>1.1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1.25</c:v>
              </c:pt>
              <c:pt idx="8">
                <c:v>1.25</c:v>
              </c:pt>
              <c:pt idx="9">
                <c:v>1.25</c:v>
              </c:pt>
              <c:pt idx="10">
                <c:v>1</c:v>
              </c:pt>
              <c:pt idx="11">
                <c:v>1</c:v>
              </c:pt>
              <c:pt idx="12">
                <c:v>1.1</c:v>
              </c:pt>
              <c:pt idx="13">
                <c:v>0.9</c:v>
              </c:pt>
              <c:pt idx="14">
                <c:v>1</c:v>
              </c:pt>
              <c:pt idx="15">
                <c:v>1</c:v>
              </c:pt>
              <c:pt idx="16">
                <c:v>0.75</c:v>
              </c:pt>
              <c:pt idx="17">
                <c:v>0.75</c:v>
              </c:pt>
              <c:pt idx="18">
                <c:v>0.75</c:v>
              </c:pt>
              <c:pt idx="19">
                <c:v>1.25</c:v>
              </c:pt>
              <c:pt idx="20">
                <c:v>0.75</c:v>
              </c:pt>
              <c:pt idx="21">
                <c:v>0.75</c:v>
              </c:pt>
              <c:pt idx="22">
                <c:v>0.75</c:v>
              </c:pt>
            </c:numLit>
          </c:xVal>
          <c:yVal>
            <c:numLit>
              <c:ptCount val="2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</c:numLit>
          </c:yVal>
          <c:smooth val="0"/>
        </c:ser>
        <c:ser>
          <c:idx val="3"/>
          <c:order val="3"/>
          <c:tx>
            <c:v/>
          </c:tx>
          <c:spPr>
            <a:ln w="6350">
              <a:solidFill>
                <a:srgbClr val="A7DA7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3"/>
              <c:pt idx="0">
                <c:v>1.9</c:v>
              </c:pt>
              <c:pt idx="1">
                <c:v>2.1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2.25</c:v>
              </c:pt>
              <c:pt idx="8">
                <c:v>2.25</c:v>
              </c:pt>
              <c:pt idx="9">
                <c:v>2.25</c:v>
              </c:pt>
              <c:pt idx="10">
                <c:v>2</c:v>
              </c:pt>
              <c:pt idx="11">
                <c:v>2</c:v>
              </c:pt>
              <c:pt idx="12">
                <c:v>2.1</c:v>
              </c:pt>
              <c:pt idx="13">
                <c:v>1.9</c:v>
              </c:pt>
              <c:pt idx="14">
                <c:v>2</c:v>
              </c:pt>
              <c:pt idx="15">
                <c:v>2</c:v>
              </c:pt>
              <c:pt idx="16">
                <c:v>1.75</c:v>
              </c:pt>
              <c:pt idx="17">
                <c:v>1.75</c:v>
              </c:pt>
              <c:pt idx="18">
                <c:v>1.75</c:v>
              </c:pt>
              <c:pt idx="19">
                <c:v>2.25</c:v>
              </c:pt>
              <c:pt idx="20">
                <c:v>1.75</c:v>
              </c:pt>
              <c:pt idx="21">
                <c:v>1.75</c:v>
              </c:pt>
              <c:pt idx="22">
                <c:v>1.75</c:v>
              </c:pt>
            </c:numLit>
          </c:xVal>
          <c:yVal>
            <c:numLit>
              <c:ptCount val="23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2</c:v>
              </c:pt>
              <c:pt idx="8">
                <c:v>2</c:v>
              </c:pt>
              <c:pt idx="9">
                <c:v>2</c:v>
              </c:pt>
              <c:pt idx="10">
                <c:v>2</c:v>
              </c:pt>
              <c:pt idx="11">
                <c:v>2</c:v>
              </c:pt>
              <c:pt idx="12">
                <c:v>2</c:v>
              </c:pt>
              <c:pt idx="13">
                <c:v>2</c:v>
              </c:pt>
              <c:pt idx="14">
                <c:v>2</c:v>
              </c:pt>
              <c:pt idx="15">
                <c:v>2</c:v>
              </c:pt>
              <c:pt idx="16">
                <c:v>2</c:v>
              </c:pt>
              <c:pt idx="17">
                <c:v>2</c:v>
              </c:pt>
              <c:pt idx="18">
                <c:v>2</c:v>
              </c:pt>
              <c:pt idx="19">
                <c:v>2</c:v>
              </c:pt>
              <c:pt idx="20">
                <c:v>2</c:v>
              </c:pt>
              <c:pt idx="21">
                <c:v>2</c:v>
              </c:pt>
              <c:pt idx="22">
                <c:v>2</c:v>
              </c:pt>
            </c:numLit>
          </c:yVal>
          <c:smooth val="0"/>
        </c:ser>
        <c:ser>
          <c:idx val="4"/>
          <c:order val="4"/>
          <c:tx>
            <c:v/>
          </c:tx>
          <c:spPr>
            <a:ln w="6350">
              <a:solidFill>
                <a:srgbClr val="A7DA7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3"/>
              <c:pt idx="0">
                <c:v>2.9</c:v>
              </c:pt>
              <c:pt idx="1">
                <c:v>3.1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3.25</c:v>
              </c:pt>
              <c:pt idx="8">
                <c:v>3.25</c:v>
              </c:pt>
              <c:pt idx="9">
                <c:v>3.25</c:v>
              </c:pt>
              <c:pt idx="10">
                <c:v>3</c:v>
              </c:pt>
              <c:pt idx="11">
                <c:v>3</c:v>
              </c:pt>
              <c:pt idx="12">
                <c:v>3.1</c:v>
              </c:pt>
              <c:pt idx="13">
                <c:v>2.9</c:v>
              </c:pt>
              <c:pt idx="14">
                <c:v>3</c:v>
              </c:pt>
              <c:pt idx="15">
                <c:v>3</c:v>
              </c:pt>
              <c:pt idx="16">
                <c:v>2.75</c:v>
              </c:pt>
              <c:pt idx="17">
                <c:v>2.75</c:v>
              </c:pt>
              <c:pt idx="18">
                <c:v>2.75</c:v>
              </c:pt>
              <c:pt idx="19">
                <c:v>3.25</c:v>
              </c:pt>
              <c:pt idx="20">
                <c:v>2.75</c:v>
              </c:pt>
              <c:pt idx="21">
                <c:v>2.75</c:v>
              </c:pt>
              <c:pt idx="22">
                <c:v>2.75</c:v>
              </c:pt>
            </c:numLit>
          </c:xVal>
          <c:yVal>
            <c:numLit>
              <c:ptCount val="23"/>
              <c:pt idx="0">
                <c:v>3</c:v>
              </c:pt>
              <c:pt idx="1">
                <c:v>3</c:v>
              </c:pt>
              <c:pt idx="2">
                <c:v>3</c:v>
              </c:pt>
              <c:pt idx="3">
                <c:v>3</c:v>
              </c:pt>
              <c:pt idx="4">
                <c:v>3</c:v>
              </c:pt>
              <c:pt idx="5">
                <c:v>3</c:v>
              </c:pt>
              <c:pt idx="6">
                <c:v>3</c:v>
              </c:pt>
              <c:pt idx="7">
                <c:v>3</c:v>
              </c:pt>
              <c:pt idx="8">
                <c:v>3</c:v>
              </c:pt>
              <c:pt idx="9">
                <c:v>3</c:v>
              </c:pt>
              <c:pt idx="10">
                <c:v>3</c:v>
              </c:pt>
              <c:pt idx="11">
                <c:v>3</c:v>
              </c:pt>
              <c:pt idx="12">
                <c:v>3</c:v>
              </c:pt>
              <c:pt idx="13">
                <c:v>3</c:v>
              </c:pt>
              <c:pt idx="14">
                <c:v>3</c:v>
              </c:pt>
              <c:pt idx="15">
                <c:v>3</c:v>
              </c:pt>
              <c:pt idx="16">
                <c:v>3</c:v>
              </c:pt>
              <c:pt idx="17">
                <c:v>3</c:v>
              </c:pt>
              <c:pt idx="18">
                <c:v>3</c:v>
              </c:pt>
              <c:pt idx="19">
                <c:v>3</c:v>
              </c:pt>
              <c:pt idx="20">
                <c:v>3</c:v>
              </c:pt>
              <c:pt idx="21">
                <c:v>3</c:v>
              </c:pt>
              <c:pt idx="22">
                <c:v>3</c:v>
              </c:pt>
            </c:numLit>
          </c:yVal>
          <c:smooth val="0"/>
        </c:ser>
        <c:ser>
          <c:idx val="5"/>
          <c:order val="5"/>
          <c:tx>
            <c:v/>
          </c:tx>
          <c:spPr>
            <a:ln w="6350">
              <a:solidFill>
                <a:srgbClr val="A7DA7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3"/>
              <c:pt idx="0">
                <c:v>3.9</c:v>
              </c:pt>
              <c:pt idx="1">
                <c:v>4.1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4.25</c:v>
              </c:pt>
              <c:pt idx="8">
                <c:v>4.25</c:v>
              </c:pt>
              <c:pt idx="9">
                <c:v>4.25</c:v>
              </c:pt>
              <c:pt idx="10">
                <c:v>4</c:v>
              </c:pt>
              <c:pt idx="11">
                <c:v>4</c:v>
              </c:pt>
              <c:pt idx="12">
                <c:v>4.1</c:v>
              </c:pt>
              <c:pt idx="13">
                <c:v>3.9</c:v>
              </c:pt>
              <c:pt idx="14">
                <c:v>4</c:v>
              </c:pt>
              <c:pt idx="15">
                <c:v>4</c:v>
              </c:pt>
              <c:pt idx="16">
                <c:v>3.75</c:v>
              </c:pt>
              <c:pt idx="17">
                <c:v>3.75</c:v>
              </c:pt>
              <c:pt idx="18">
                <c:v>3.75</c:v>
              </c:pt>
              <c:pt idx="19">
                <c:v>4.25</c:v>
              </c:pt>
              <c:pt idx="20">
                <c:v>3.75</c:v>
              </c:pt>
              <c:pt idx="21">
                <c:v>3.75</c:v>
              </c:pt>
              <c:pt idx="22">
                <c:v>3.75</c:v>
              </c:pt>
            </c:numLit>
          </c:xVal>
          <c:yVal>
            <c:numLit>
              <c:ptCount val="23"/>
              <c:pt idx="0">
                <c:v>4</c:v>
              </c:pt>
              <c:pt idx="1">
                <c:v>4</c:v>
              </c:pt>
              <c:pt idx="2">
                <c:v>4</c:v>
              </c:pt>
              <c:pt idx="3">
                <c:v>4</c:v>
              </c:pt>
              <c:pt idx="4">
                <c:v>4</c:v>
              </c:pt>
              <c:pt idx="5">
                <c:v>4</c:v>
              </c:pt>
              <c:pt idx="6">
                <c:v>4</c:v>
              </c:pt>
              <c:pt idx="7">
                <c:v>4</c:v>
              </c:pt>
              <c:pt idx="8">
                <c:v>4</c:v>
              </c:pt>
              <c:pt idx="9">
                <c:v>4</c:v>
              </c:pt>
              <c:pt idx="10">
                <c:v>4</c:v>
              </c:pt>
              <c:pt idx="11">
                <c:v>4</c:v>
              </c:pt>
              <c:pt idx="12">
                <c:v>4</c:v>
              </c:pt>
              <c:pt idx="13">
                <c:v>4</c:v>
              </c:pt>
              <c:pt idx="14">
                <c:v>4</c:v>
              </c:pt>
              <c:pt idx="15">
                <c:v>4</c:v>
              </c:pt>
              <c:pt idx="16">
                <c:v>4</c:v>
              </c:pt>
              <c:pt idx="17">
                <c:v>4</c:v>
              </c:pt>
              <c:pt idx="18">
                <c:v>4</c:v>
              </c:pt>
              <c:pt idx="19">
                <c:v>4</c:v>
              </c:pt>
              <c:pt idx="20">
                <c:v>4</c:v>
              </c:pt>
              <c:pt idx="21">
                <c:v>4</c:v>
              </c:pt>
              <c:pt idx="22">
                <c:v>4</c:v>
              </c:pt>
            </c:numLit>
          </c:yVal>
          <c:smooth val="0"/>
        </c:ser>
        <c:ser>
          <c:idx val="6"/>
          <c:order val="6"/>
          <c:tx>
            <c:v/>
          </c:tx>
          <c:spPr>
            <a:ln w="6350">
              <a:solidFill>
                <a:srgbClr val="A7DA7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3"/>
              <c:pt idx="0">
                <c:v>4.9</c:v>
              </c:pt>
              <c:pt idx="1">
                <c:v>5.1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5.25</c:v>
              </c:pt>
              <c:pt idx="8">
                <c:v>5.25</c:v>
              </c:pt>
              <c:pt idx="9">
                <c:v>5.25</c:v>
              </c:pt>
              <c:pt idx="10">
                <c:v>5</c:v>
              </c:pt>
              <c:pt idx="11">
                <c:v>5</c:v>
              </c:pt>
              <c:pt idx="12">
                <c:v>5.1</c:v>
              </c:pt>
              <c:pt idx="13">
                <c:v>4.9</c:v>
              </c:pt>
              <c:pt idx="14">
                <c:v>5</c:v>
              </c:pt>
              <c:pt idx="15">
                <c:v>5</c:v>
              </c:pt>
              <c:pt idx="16">
                <c:v>4.75</c:v>
              </c:pt>
              <c:pt idx="17">
                <c:v>4.75</c:v>
              </c:pt>
              <c:pt idx="18">
                <c:v>4.75</c:v>
              </c:pt>
              <c:pt idx="19">
                <c:v>5.25</c:v>
              </c:pt>
              <c:pt idx="20">
                <c:v>4.75</c:v>
              </c:pt>
              <c:pt idx="21">
                <c:v>4.75</c:v>
              </c:pt>
              <c:pt idx="22">
                <c:v>4.75</c:v>
              </c:pt>
            </c:numLit>
          </c:xVal>
          <c:yVal>
            <c:numLit>
              <c:ptCount val="23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  <c:pt idx="8">
                <c:v>5</c:v>
              </c:pt>
              <c:pt idx="9">
                <c:v>5</c:v>
              </c:pt>
              <c:pt idx="10">
                <c:v>5</c:v>
              </c:pt>
              <c:pt idx="11">
                <c:v>5</c:v>
              </c:pt>
              <c:pt idx="12">
                <c:v>5</c:v>
              </c:pt>
              <c:pt idx="13">
                <c:v>5</c:v>
              </c:pt>
              <c:pt idx="14">
                <c:v>5</c:v>
              </c:pt>
              <c:pt idx="15">
                <c:v>5</c:v>
              </c:pt>
              <c:pt idx="16">
                <c:v>5</c:v>
              </c:pt>
              <c:pt idx="17">
                <c:v>5</c:v>
              </c:pt>
              <c:pt idx="18">
                <c:v>5</c:v>
              </c:pt>
              <c:pt idx="19">
                <c:v>5</c:v>
              </c:pt>
              <c:pt idx="20">
                <c:v>5</c:v>
              </c:pt>
              <c:pt idx="21">
                <c:v>5</c:v>
              </c:pt>
              <c:pt idx="22">
                <c:v>5</c:v>
              </c:pt>
            </c:numLit>
          </c:yVal>
          <c:smooth val="0"/>
        </c:ser>
        <c:ser>
          <c:idx val="7"/>
          <c:order val="7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p=0.330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1.025</c:v>
              </c:pt>
              <c:pt idx="1">
                <c:v>1.025</c:v>
              </c:pt>
              <c:pt idx="2">
                <c:v>1.5</c:v>
              </c:pt>
              <c:pt idx="3">
                <c:v>1.975</c:v>
              </c:pt>
              <c:pt idx="4">
                <c:v>1.975</c:v>
              </c:pt>
            </c:numLit>
          </c:xVal>
          <c:yVal>
            <c:numLit>
              <c:ptCount val="5"/>
              <c:pt idx="0">
                <c:v>5.114285714285714</c:v>
              </c:pt>
              <c:pt idx="1">
                <c:v>5.228571428571428</c:v>
              </c:pt>
              <c:pt idx="2">
                <c:v>5.228571428571428</c:v>
              </c:pt>
              <c:pt idx="3">
                <c:v>5.228571428571428</c:v>
              </c:pt>
              <c:pt idx="4">
                <c:v>5.114285714285714</c:v>
              </c:pt>
            </c:numLit>
          </c:yVal>
          <c:smooth val="0"/>
        </c:ser>
        <c:ser>
          <c:idx val="8"/>
          <c:order val="8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p=0.330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2.025</c:v>
              </c:pt>
              <c:pt idx="1">
                <c:v>2.025</c:v>
              </c:pt>
              <c:pt idx="2">
                <c:v>2.5</c:v>
              </c:pt>
              <c:pt idx="3">
                <c:v>2.975</c:v>
              </c:pt>
              <c:pt idx="4">
                <c:v>2.975</c:v>
              </c:pt>
            </c:numLit>
          </c:xVal>
          <c:yVal>
            <c:numLit>
              <c:ptCount val="5"/>
              <c:pt idx="0">
                <c:v>5.114285714285714</c:v>
              </c:pt>
              <c:pt idx="1">
                <c:v>5.228571428571428</c:v>
              </c:pt>
              <c:pt idx="2">
                <c:v>5.228571428571428</c:v>
              </c:pt>
              <c:pt idx="3">
                <c:v>5.228571428571428</c:v>
              </c:pt>
              <c:pt idx="4">
                <c:v>5.114285714285714</c:v>
              </c:pt>
            </c:numLit>
          </c:yVal>
          <c:smooth val="0"/>
        </c:ser>
        <c:ser>
          <c:idx val="9"/>
          <c:order val="9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p=0.330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3.025</c:v>
              </c:pt>
              <c:pt idx="1">
                <c:v>3.025</c:v>
              </c:pt>
              <c:pt idx="2">
                <c:v>3.5</c:v>
              </c:pt>
              <c:pt idx="3">
                <c:v>3.975</c:v>
              </c:pt>
              <c:pt idx="4">
                <c:v>3.975</c:v>
              </c:pt>
            </c:numLit>
          </c:xVal>
          <c:yVal>
            <c:numLit>
              <c:ptCount val="5"/>
              <c:pt idx="0">
                <c:v>5.114285714285714</c:v>
              </c:pt>
              <c:pt idx="1">
                <c:v>5.228571428571428</c:v>
              </c:pt>
              <c:pt idx="2">
                <c:v>5.228571428571428</c:v>
              </c:pt>
              <c:pt idx="3">
                <c:v>5.228571428571428</c:v>
              </c:pt>
              <c:pt idx="4">
                <c:v>5.114285714285714</c:v>
              </c:pt>
            </c:numLit>
          </c:yVal>
          <c:smooth val="0"/>
        </c:ser>
        <c:ser>
          <c:idx val="10"/>
          <c:order val="10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p=0.330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4.025</c:v>
              </c:pt>
              <c:pt idx="1">
                <c:v>4.025</c:v>
              </c:pt>
              <c:pt idx="2">
                <c:v>4.5</c:v>
              </c:pt>
              <c:pt idx="3">
                <c:v>4.975</c:v>
              </c:pt>
              <c:pt idx="4">
                <c:v>4.975</c:v>
              </c:pt>
            </c:numLit>
          </c:xVal>
          <c:yVal>
            <c:numLit>
              <c:ptCount val="5"/>
              <c:pt idx="0">
                <c:v>5.114285714285714</c:v>
              </c:pt>
              <c:pt idx="1">
                <c:v>5.228571428571428</c:v>
              </c:pt>
              <c:pt idx="2">
                <c:v>5.228571428571428</c:v>
              </c:pt>
              <c:pt idx="3">
                <c:v>5.228571428571428</c:v>
              </c:pt>
              <c:pt idx="4">
                <c:v>5.114285714285714</c:v>
              </c:pt>
            </c:numLit>
          </c:yVal>
          <c:smooth val="0"/>
        </c:ser>
        <c:ser>
          <c:idx val="11"/>
          <c:order val="11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p=0.051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1.025</c:v>
              </c:pt>
              <c:pt idx="1">
                <c:v>1.025</c:v>
              </c:pt>
              <c:pt idx="2">
                <c:v>2</c:v>
              </c:pt>
              <c:pt idx="3">
                <c:v>2.975</c:v>
              </c:pt>
              <c:pt idx="4">
                <c:v>2.975</c:v>
              </c:pt>
            </c:numLit>
          </c:xVal>
          <c:yVal>
            <c:numLit>
              <c:ptCount val="5"/>
              <c:pt idx="0">
                <c:v>5.457142857142856</c:v>
              </c:pt>
              <c:pt idx="1">
                <c:v>5.57142857142857</c:v>
              </c:pt>
              <c:pt idx="2">
                <c:v>5.57142857142857</c:v>
              </c:pt>
              <c:pt idx="3">
                <c:v>5.57142857142857</c:v>
              </c:pt>
              <c:pt idx="4">
                <c:v>5.457142857142856</c:v>
              </c:pt>
            </c:numLit>
          </c:yVal>
          <c:smooth val="0"/>
        </c:ser>
        <c:ser>
          <c:idx val="12"/>
          <c:order val="12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p=0.051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2.025</c:v>
              </c:pt>
              <c:pt idx="1">
                <c:v>2.025</c:v>
              </c:pt>
              <c:pt idx="2">
                <c:v>3</c:v>
              </c:pt>
              <c:pt idx="3">
                <c:v>3.975</c:v>
              </c:pt>
              <c:pt idx="4">
                <c:v>3.975</c:v>
              </c:pt>
            </c:numLit>
          </c:xVal>
          <c:yVal>
            <c:numLit>
              <c:ptCount val="5"/>
              <c:pt idx="0">
                <c:v>5.799999999999999</c:v>
              </c:pt>
              <c:pt idx="1">
                <c:v>5.914285714285713</c:v>
              </c:pt>
              <c:pt idx="2">
                <c:v>5.914285714285713</c:v>
              </c:pt>
              <c:pt idx="3">
                <c:v>5.914285714285713</c:v>
              </c:pt>
              <c:pt idx="4">
                <c:v>5.799999999999999</c:v>
              </c:pt>
            </c:numLit>
          </c:yVal>
          <c:smooth val="0"/>
        </c:ser>
        <c:ser>
          <c:idx val="13"/>
          <c:order val="13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p=0.051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3.025</c:v>
              </c:pt>
              <c:pt idx="1">
                <c:v>3.025</c:v>
              </c:pt>
              <c:pt idx="2">
                <c:v>4</c:v>
              </c:pt>
              <c:pt idx="3">
                <c:v>4.975</c:v>
              </c:pt>
              <c:pt idx="4">
                <c:v>4.975</c:v>
              </c:pt>
            </c:numLit>
          </c:xVal>
          <c:yVal>
            <c:numLit>
              <c:ptCount val="5"/>
              <c:pt idx="0">
                <c:v>6.1428571428571415</c:v>
              </c:pt>
              <c:pt idx="1">
                <c:v>6.257142857142855</c:v>
              </c:pt>
              <c:pt idx="2">
                <c:v>6.257142857142855</c:v>
              </c:pt>
              <c:pt idx="3">
                <c:v>6.257142857142855</c:v>
              </c:pt>
              <c:pt idx="4">
                <c:v>6.1428571428571415</c:v>
              </c:pt>
            </c:numLit>
          </c:yVal>
          <c:smooth val="0"/>
        </c:ser>
        <c:ser>
          <c:idx val="14"/>
          <c:order val="14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7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p=0.003*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1.025</c:v>
              </c:pt>
              <c:pt idx="1">
                <c:v>1.025</c:v>
              </c:pt>
              <c:pt idx="2">
                <c:v>2.5</c:v>
              </c:pt>
              <c:pt idx="3">
                <c:v>3.975</c:v>
              </c:pt>
              <c:pt idx="4">
                <c:v>3.975</c:v>
              </c:pt>
            </c:numLit>
          </c:xVal>
          <c:yVal>
            <c:numLit>
              <c:ptCount val="5"/>
              <c:pt idx="0">
                <c:v>6.485714285714284</c:v>
              </c:pt>
              <c:pt idx="1">
                <c:v>6.599999999999998</c:v>
              </c:pt>
              <c:pt idx="2">
                <c:v>6.599999999999998</c:v>
              </c:pt>
              <c:pt idx="3">
                <c:v>6.599999999999998</c:v>
              </c:pt>
              <c:pt idx="4">
                <c:v>6.485714285714284</c:v>
              </c:pt>
            </c:numLit>
          </c:yVal>
          <c:smooth val="0"/>
        </c:ser>
        <c:ser>
          <c:idx val="15"/>
          <c:order val="15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7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p=0.003*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2.025</c:v>
              </c:pt>
              <c:pt idx="1">
                <c:v>2.025</c:v>
              </c:pt>
              <c:pt idx="2">
                <c:v>3.5</c:v>
              </c:pt>
              <c:pt idx="3">
                <c:v>4.975</c:v>
              </c:pt>
              <c:pt idx="4">
                <c:v>4.975</c:v>
              </c:pt>
            </c:numLit>
          </c:xVal>
          <c:yVal>
            <c:numLit>
              <c:ptCount val="5"/>
              <c:pt idx="0">
                <c:v>6.8285714285714265</c:v>
              </c:pt>
              <c:pt idx="1">
                <c:v>6.94285714285714</c:v>
              </c:pt>
              <c:pt idx="2">
                <c:v>6.94285714285714</c:v>
              </c:pt>
              <c:pt idx="3">
                <c:v>6.94285714285714</c:v>
              </c:pt>
              <c:pt idx="4">
                <c:v>6.8285714285714265</c:v>
              </c:pt>
            </c:numLit>
          </c:yVal>
          <c:smooth val="0"/>
        </c:ser>
        <c:ser>
          <c:idx val="16"/>
          <c:order val="16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p&lt; 0.0001*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1.025</c:v>
              </c:pt>
              <c:pt idx="1">
                <c:v>1.025</c:v>
              </c:pt>
              <c:pt idx="2">
                <c:v>3</c:v>
              </c:pt>
              <c:pt idx="3">
                <c:v>4.975</c:v>
              </c:pt>
              <c:pt idx="4">
                <c:v>4.975</c:v>
              </c:pt>
            </c:numLit>
          </c:xVal>
          <c:yVal>
            <c:numLit>
              <c:ptCount val="5"/>
              <c:pt idx="0">
                <c:v>7.171428571428569</c:v>
              </c:pt>
              <c:pt idx="1">
                <c:v>7.285714285714283</c:v>
              </c:pt>
              <c:pt idx="2">
                <c:v>7.285714285714283</c:v>
              </c:pt>
              <c:pt idx="3">
                <c:v>7.285714285714283</c:v>
              </c:pt>
              <c:pt idx="4">
                <c:v>7.171428571428569</c:v>
              </c:pt>
            </c:numLit>
          </c:yVal>
          <c:smooth val="0"/>
        </c:ser>
        <c:ser>
          <c:idx val="17"/>
          <c:order val="17"/>
          <c:tx>
            <c:v/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xVal>
          <c:yVal>
            <c:numLit>
              <c:ptCount val="5"/>
              <c:pt idx="0">
                <c:v>1.12</c:v>
              </c:pt>
              <c:pt idx="1">
                <c:v>1.12</c:v>
              </c:pt>
              <c:pt idx="2">
                <c:v>1.12</c:v>
              </c:pt>
              <c:pt idx="3">
                <c:v>1.12</c:v>
              </c:pt>
              <c:pt idx="4">
                <c:v>1.12</c:v>
              </c:pt>
            </c:numLit>
          </c:yVal>
          <c:smooth val="0"/>
        </c:ser>
        <c:axId val="25142518"/>
        <c:axId val="24956071"/>
      </c:scatterChart>
      <c:valAx>
        <c:axId val="25142518"/>
        <c:scaling>
          <c:orientation val="minMax"/>
          <c:max val="5.5"/>
          <c:min val="0.5"/>
        </c:scaling>
        <c:axPos val="b"/>
        <c:delete val="0"/>
        <c:numFmt formatCode="General" sourceLinked="0"/>
        <c:majorTickMark val="none"/>
        <c:minorTickMark val="none"/>
        <c:tickLblPos val="none"/>
        <c:spPr>
          <a:ln w="6350">
            <a:noFill/>
          </a:ln>
        </c:spPr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24956071"/>
        <c:crosses val="autoZero"/>
        <c:crossBetween val="midCat"/>
        <c:dispUnits/>
      </c:valAx>
      <c:valAx>
        <c:axId val="24956071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Arial"/>
                    <a:ea typeface="Arial"/>
                    <a:cs typeface="Arial"/>
                  </a:rPr>
                  <a:t>Station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25142518"/>
        <c:crossesAt val="0.5"/>
        <c:crossBetween val="midCat"/>
        <c:dispUnits/>
      </c:valAx>
      <c:spPr>
        <a:ln w="25400"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Means &amp; Standard error
(Station)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5875"/>
          <c:w val="0.8945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A9D18E"/>
            </a:solidFill>
            <a:ln>
              <a:solidFill>
                <a:srgbClr val="A9D18E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Lit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Lit>
            </c:plus>
            <c:minus>
              <c:numLit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Lit>
            </c:minus>
            <c:noEndCap val="0"/>
          </c:errBars>
          <c:cat>
            <c:numLit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val>
        </c:ser>
        <c:overlap val="-30"/>
        <c:gapWidth val="60"/>
        <c:axId val="23278048"/>
        <c:axId val="8175841"/>
      </c:barChart>
      <c:scatterChart>
        <c:scatterStyle val="lineMarker"/>
        <c:varyColors val="0"/>
        <c:ser>
          <c:idx val="1"/>
          <c:order val="1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p=0.330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1.025</c:v>
              </c:pt>
              <c:pt idx="1">
                <c:v>1.025</c:v>
              </c:pt>
              <c:pt idx="2">
                <c:v>1.5</c:v>
              </c:pt>
              <c:pt idx="3">
                <c:v>1.975</c:v>
              </c:pt>
              <c:pt idx="4">
                <c:v>1.975</c:v>
              </c:pt>
            </c:numLit>
          </c:xVal>
          <c:yVal>
            <c:numLit>
              <c:ptCount val="5"/>
              <c:pt idx="0">
                <c:v>6.085714285714285</c:v>
              </c:pt>
              <c:pt idx="1">
                <c:v>6.257142857142857</c:v>
              </c:pt>
              <c:pt idx="2">
                <c:v>6.257142857142857</c:v>
              </c:pt>
              <c:pt idx="3">
                <c:v>6.257142857142857</c:v>
              </c:pt>
              <c:pt idx="4">
                <c:v>6.085714285714285</c:v>
              </c:pt>
            </c:numLit>
          </c:yVal>
          <c:smooth val="0"/>
        </c:ser>
        <c:ser>
          <c:idx val="2"/>
          <c:order val="2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p=0.330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2.025</c:v>
              </c:pt>
              <c:pt idx="1">
                <c:v>2.025</c:v>
              </c:pt>
              <c:pt idx="2">
                <c:v>2.5</c:v>
              </c:pt>
              <c:pt idx="3">
                <c:v>2.975</c:v>
              </c:pt>
              <c:pt idx="4">
                <c:v>2.975</c:v>
              </c:pt>
            </c:numLit>
          </c:xVal>
          <c:yVal>
            <c:numLit>
              <c:ptCount val="5"/>
              <c:pt idx="0">
                <c:v>6.085714285714285</c:v>
              </c:pt>
              <c:pt idx="1">
                <c:v>6.257142857142857</c:v>
              </c:pt>
              <c:pt idx="2">
                <c:v>6.257142857142857</c:v>
              </c:pt>
              <c:pt idx="3">
                <c:v>6.257142857142857</c:v>
              </c:pt>
              <c:pt idx="4">
                <c:v>6.085714285714285</c:v>
              </c:pt>
            </c:numLit>
          </c:yVal>
          <c:smooth val="0"/>
        </c:ser>
        <c:ser>
          <c:idx val="3"/>
          <c:order val="3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p=0.330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3.025</c:v>
              </c:pt>
              <c:pt idx="1">
                <c:v>3.025</c:v>
              </c:pt>
              <c:pt idx="2">
                <c:v>3.5</c:v>
              </c:pt>
              <c:pt idx="3">
                <c:v>3.975</c:v>
              </c:pt>
              <c:pt idx="4">
                <c:v>3.975</c:v>
              </c:pt>
            </c:numLit>
          </c:xVal>
          <c:yVal>
            <c:numLit>
              <c:ptCount val="5"/>
              <c:pt idx="0">
                <c:v>6.085714285714285</c:v>
              </c:pt>
              <c:pt idx="1">
                <c:v>6.257142857142857</c:v>
              </c:pt>
              <c:pt idx="2">
                <c:v>6.257142857142857</c:v>
              </c:pt>
              <c:pt idx="3">
                <c:v>6.257142857142857</c:v>
              </c:pt>
              <c:pt idx="4">
                <c:v>6.085714285714285</c:v>
              </c:pt>
            </c:numLit>
          </c:yVal>
          <c:smooth val="0"/>
        </c:ser>
        <c:ser>
          <c:idx val="4"/>
          <c:order val="4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p=0.330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4.025</c:v>
              </c:pt>
              <c:pt idx="1">
                <c:v>4.025</c:v>
              </c:pt>
              <c:pt idx="2">
                <c:v>4.5</c:v>
              </c:pt>
              <c:pt idx="3">
                <c:v>4.975</c:v>
              </c:pt>
              <c:pt idx="4">
                <c:v>4.975</c:v>
              </c:pt>
            </c:numLit>
          </c:xVal>
          <c:yVal>
            <c:numLit>
              <c:ptCount val="5"/>
              <c:pt idx="0">
                <c:v>6.085714285714285</c:v>
              </c:pt>
              <c:pt idx="1">
                <c:v>6.257142857142857</c:v>
              </c:pt>
              <c:pt idx="2">
                <c:v>6.257142857142857</c:v>
              </c:pt>
              <c:pt idx="3">
                <c:v>6.257142857142857</c:v>
              </c:pt>
              <c:pt idx="4">
                <c:v>6.085714285714285</c:v>
              </c:pt>
            </c:numLit>
          </c:yVal>
          <c:smooth val="0"/>
        </c:ser>
        <c:ser>
          <c:idx val="5"/>
          <c:order val="5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p=0.051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1.025</c:v>
              </c:pt>
              <c:pt idx="1">
                <c:v>1.025</c:v>
              </c:pt>
              <c:pt idx="2">
                <c:v>2</c:v>
              </c:pt>
              <c:pt idx="3">
                <c:v>2.975</c:v>
              </c:pt>
              <c:pt idx="4">
                <c:v>2.975</c:v>
              </c:pt>
            </c:numLit>
          </c:xVal>
          <c:yVal>
            <c:numLit>
              <c:ptCount val="5"/>
              <c:pt idx="0">
                <c:v>6.6</c:v>
              </c:pt>
              <c:pt idx="1">
                <c:v>6.771428571428571</c:v>
              </c:pt>
              <c:pt idx="2">
                <c:v>6.771428571428571</c:v>
              </c:pt>
              <c:pt idx="3">
                <c:v>6.771428571428571</c:v>
              </c:pt>
              <c:pt idx="4">
                <c:v>6.6</c:v>
              </c:pt>
            </c:numLit>
          </c:yVal>
          <c:smooth val="0"/>
        </c:ser>
        <c:ser>
          <c:idx val="6"/>
          <c:order val="6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p=0.051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2.025</c:v>
              </c:pt>
              <c:pt idx="1">
                <c:v>2.025</c:v>
              </c:pt>
              <c:pt idx="2">
                <c:v>3</c:v>
              </c:pt>
              <c:pt idx="3">
                <c:v>3.975</c:v>
              </c:pt>
              <c:pt idx="4">
                <c:v>3.975</c:v>
              </c:pt>
            </c:numLit>
          </c:xVal>
          <c:yVal>
            <c:numLit>
              <c:ptCount val="5"/>
              <c:pt idx="0">
                <c:v>7.114285714285714</c:v>
              </c:pt>
              <c:pt idx="1">
                <c:v>7.285714285714286</c:v>
              </c:pt>
              <c:pt idx="2">
                <c:v>7.285714285714286</c:v>
              </c:pt>
              <c:pt idx="3">
                <c:v>7.285714285714286</c:v>
              </c:pt>
              <c:pt idx="4">
                <c:v>7.114285714285714</c:v>
              </c:pt>
            </c:numLit>
          </c:yVal>
          <c:smooth val="0"/>
        </c:ser>
        <c:ser>
          <c:idx val="7"/>
          <c:order val="7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p=0.051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3.025</c:v>
              </c:pt>
              <c:pt idx="1">
                <c:v>3.025</c:v>
              </c:pt>
              <c:pt idx="2">
                <c:v>4</c:v>
              </c:pt>
              <c:pt idx="3">
                <c:v>4.975</c:v>
              </c:pt>
              <c:pt idx="4">
                <c:v>4.975</c:v>
              </c:pt>
            </c:numLit>
          </c:xVal>
          <c:yVal>
            <c:numLit>
              <c:ptCount val="5"/>
              <c:pt idx="0">
                <c:v>7.628571428571428</c:v>
              </c:pt>
              <c:pt idx="1">
                <c:v>7.8</c:v>
              </c:pt>
              <c:pt idx="2">
                <c:v>7.8</c:v>
              </c:pt>
              <c:pt idx="3">
                <c:v>7.8</c:v>
              </c:pt>
              <c:pt idx="4">
                <c:v>7.628571428571428</c:v>
              </c:pt>
            </c:numLit>
          </c:yVal>
          <c:smooth val="0"/>
        </c:ser>
        <c:ser>
          <c:idx val="8"/>
          <c:order val="8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7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p=0.003*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1.025</c:v>
              </c:pt>
              <c:pt idx="1">
                <c:v>1.025</c:v>
              </c:pt>
              <c:pt idx="2">
                <c:v>2.5</c:v>
              </c:pt>
              <c:pt idx="3">
                <c:v>3.975</c:v>
              </c:pt>
              <c:pt idx="4">
                <c:v>3.975</c:v>
              </c:pt>
            </c:numLit>
          </c:xVal>
          <c:yVal>
            <c:numLit>
              <c:ptCount val="5"/>
              <c:pt idx="0">
                <c:v>8.142857142857142</c:v>
              </c:pt>
              <c:pt idx="1">
                <c:v>8.314285714285713</c:v>
              </c:pt>
              <c:pt idx="2">
                <c:v>8.314285714285713</c:v>
              </c:pt>
              <c:pt idx="3">
                <c:v>8.314285714285713</c:v>
              </c:pt>
              <c:pt idx="4">
                <c:v>8.142857142857142</c:v>
              </c:pt>
            </c:numLit>
          </c:yVal>
          <c:smooth val="0"/>
        </c:ser>
        <c:ser>
          <c:idx val="9"/>
          <c:order val="9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7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p=0.003*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2.025</c:v>
              </c:pt>
              <c:pt idx="1">
                <c:v>2.025</c:v>
              </c:pt>
              <c:pt idx="2">
                <c:v>3.5</c:v>
              </c:pt>
              <c:pt idx="3">
                <c:v>4.975</c:v>
              </c:pt>
              <c:pt idx="4">
                <c:v>4.975</c:v>
              </c:pt>
            </c:numLit>
          </c:xVal>
          <c:yVal>
            <c:numLit>
              <c:ptCount val="5"/>
              <c:pt idx="0">
                <c:v>8.657142857142857</c:v>
              </c:pt>
              <c:pt idx="1">
                <c:v>8.828571428571427</c:v>
              </c:pt>
              <c:pt idx="2">
                <c:v>8.828571428571427</c:v>
              </c:pt>
              <c:pt idx="3">
                <c:v>8.828571428571427</c:v>
              </c:pt>
              <c:pt idx="4">
                <c:v>8.657142857142857</c:v>
              </c:pt>
            </c:numLit>
          </c:yVal>
          <c:smooth val="0"/>
        </c:ser>
        <c:ser>
          <c:idx val="10"/>
          <c:order val="10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p&lt; 0.0001*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1.025</c:v>
              </c:pt>
              <c:pt idx="1">
                <c:v>1.025</c:v>
              </c:pt>
              <c:pt idx="2">
                <c:v>3</c:v>
              </c:pt>
              <c:pt idx="3">
                <c:v>4.975</c:v>
              </c:pt>
              <c:pt idx="4">
                <c:v>4.975</c:v>
              </c:pt>
            </c:numLit>
          </c:xVal>
          <c:yVal>
            <c:numLit>
              <c:ptCount val="5"/>
              <c:pt idx="0">
                <c:v>9.17142857142857</c:v>
              </c:pt>
              <c:pt idx="1">
                <c:v>9.342857142857142</c:v>
              </c:pt>
              <c:pt idx="2">
                <c:v>9.342857142857142</c:v>
              </c:pt>
              <c:pt idx="3">
                <c:v>9.342857142857142</c:v>
              </c:pt>
              <c:pt idx="4">
                <c:v>9.17142857142857</c:v>
              </c:pt>
            </c:numLit>
          </c:yVal>
          <c:smooth val="0"/>
        </c:ser>
        <c:axId val="6473706"/>
        <c:axId val="58263355"/>
      </c:scatterChart>
      <c:catAx>
        <c:axId val="23278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Arial"/>
                    <a:ea typeface="Arial"/>
                    <a:cs typeface="Arial"/>
                  </a:rPr>
                  <a:t>Samples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8175841"/>
        <c:crosses val="autoZero"/>
        <c:auto val="1"/>
        <c:lblOffset val="100"/>
        <c:noMultiLvlLbl val="0"/>
      </c:catAx>
      <c:valAx>
        <c:axId val="8175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Arial"/>
                    <a:ea typeface="Arial"/>
                    <a:cs typeface="Arial"/>
                  </a:rPr>
                  <a:t>Station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23278048"/>
        <c:crosses val="autoZero"/>
        <c:crossBetween val="between"/>
        <c:dispUnits/>
      </c:valAx>
      <c:valAx>
        <c:axId val="6473706"/>
        <c:scaling>
          <c:orientation val="minMax"/>
          <c:max val="5.5"/>
          <c:min val="0.5"/>
        </c:scaling>
        <c:axPos val="b"/>
        <c:delete val="0"/>
        <c:numFmt formatCode="General" sourceLinked="1"/>
        <c:majorTickMark val="none"/>
        <c:minorTickMark val="none"/>
        <c:tickLblPos val="none"/>
        <c:spPr>
          <a:noFill/>
          <a:ln w="6350">
            <a:noFill/>
            <a:prstDash val="solid"/>
            <a:round/>
          </a:ln>
        </c:spPr>
        <c:crossAx val="58263355"/>
        <c:crosses val="max"/>
        <c:crossBetween val="midCat"/>
        <c:dispUnits/>
      </c:valAx>
      <c:valAx>
        <c:axId val="58263355"/>
        <c:scaling>
          <c:orientation val="minMax"/>
        </c:scaling>
        <c:axPos val="l"/>
        <c:delete val="1"/>
        <c:majorTickMark val="out"/>
        <c:minorTickMark val="none"/>
        <c:tickLblPos val="nextTo"/>
        <c:crossAx val="6473706"/>
        <c:crosses val="max"/>
        <c:crossBetween val="midCat"/>
        <c:dispUnits/>
      </c:valAx>
      <c:spPr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Box plots (mg MP/kg dry sediment)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6125"/>
          <c:w val="0.8945"/>
          <c:h val="0.79975"/>
        </c:manualLayout>
      </c:layout>
      <c:scatterChart>
        <c:scatterStyle val="lineMarker"/>
        <c:varyColors val="0"/>
        <c:ser>
          <c:idx val="0"/>
          <c:order val="0"/>
          <c:tx>
            <c:v>Mean</c:v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FF373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xVal>
          <c:yVal>
            <c:numLit>
              <c:ptCount val="5"/>
              <c:pt idx="0">
                <c:v>227567.62478414943</c:v>
              </c:pt>
              <c:pt idx="1">
                <c:v>415.73484251827335</c:v>
              </c:pt>
              <c:pt idx="2">
                <c:v>140393.524755932</c:v>
              </c:pt>
              <c:pt idx="3">
                <c:v>147043.42287233195</c:v>
              </c:pt>
              <c:pt idx="4">
                <c:v>1071.8331552236514</c:v>
              </c:pt>
            </c:numLit>
          </c:yVal>
          <c:smooth val="0"/>
        </c:ser>
        <c:ser>
          <c:idx val="1"/>
          <c:order val="1"/>
          <c:tx>
            <c:v>Minimum/Maximum</c:v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10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  <c:pt idx="6">
                <c:v>4</c:v>
              </c:pt>
              <c:pt idx="7">
                <c:v>4</c:v>
              </c:pt>
              <c:pt idx="8">
                <c:v>5</c:v>
              </c:pt>
              <c:pt idx="9">
                <c:v>5</c:v>
              </c:pt>
            </c:numLit>
          </c:xVal>
          <c:yVal>
            <c:numLit>
              <c:ptCount val="10"/>
              <c:pt idx="0">
                <c:v>21848.674210596037</c:v>
              </c:pt>
              <c:pt idx="1">
                <c:v>422639.8844965964</c:v>
              </c:pt>
              <c:pt idx="2">
                <c:v>16.718653319162605</c:v>
              </c:pt>
              <c:pt idx="3">
                <c:v>876.6699391216303</c:v>
              </c:pt>
              <c:pt idx="4">
                <c:v>6210.916575621477</c:v>
              </c:pt>
              <c:pt idx="5">
                <c:v>385684.14190038544</c:v>
              </c:pt>
              <c:pt idx="6">
                <c:v>44313.62948993746</c:v>
              </c:pt>
              <c:pt idx="7">
                <c:v>374707.4666997265</c:v>
              </c:pt>
              <c:pt idx="8">
                <c:v>0</c:v>
              </c:pt>
              <c:pt idx="9">
                <c:v>2428.0116380540444</c:v>
              </c:pt>
            </c:numLit>
          </c:yVal>
          <c:smooth val="0"/>
        </c:ser>
        <c:ser>
          <c:idx val="2"/>
          <c:order val="2"/>
          <c:tx>
            <c:v>Outliers(1)</c:v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2</c:v>
              </c:pt>
              <c:pt idx="1">
                <c:v>4</c:v>
              </c:pt>
            </c:numLit>
          </c:xVal>
          <c:yVal>
            <c:numLit>
              <c:ptCount val="2"/>
              <c:pt idx="0">
                <c:v>876.6699391216303</c:v>
              </c:pt>
              <c:pt idx="1">
                <c:v>374707.4666997265</c:v>
              </c:pt>
            </c:numLit>
          </c:yVal>
          <c:smooth val="0"/>
        </c:ser>
        <c:ser>
          <c:idx val="3"/>
          <c:order val="3"/>
          <c:tx>
            <c:v/>
          </c:tx>
          <c:spPr>
            <a:ln w="6350">
              <a:solidFill>
                <a:srgbClr val="A7DA7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3"/>
              <c:pt idx="0">
                <c:v>0.9</c:v>
              </c:pt>
              <c:pt idx="1">
                <c:v>1.1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1.25</c:v>
              </c:pt>
              <c:pt idx="8">
                <c:v>1.25</c:v>
              </c:pt>
              <c:pt idx="9">
                <c:v>1.25</c:v>
              </c:pt>
              <c:pt idx="10">
                <c:v>1</c:v>
              </c:pt>
              <c:pt idx="11">
                <c:v>1</c:v>
              </c:pt>
              <c:pt idx="12">
                <c:v>1.1</c:v>
              </c:pt>
              <c:pt idx="13">
                <c:v>0.9</c:v>
              </c:pt>
              <c:pt idx="14">
                <c:v>1</c:v>
              </c:pt>
              <c:pt idx="15">
                <c:v>1</c:v>
              </c:pt>
              <c:pt idx="16">
                <c:v>0.75</c:v>
              </c:pt>
              <c:pt idx="17">
                <c:v>0.75</c:v>
              </c:pt>
              <c:pt idx="18">
                <c:v>0.75</c:v>
              </c:pt>
              <c:pt idx="19">
                <c:v>1.25</c:v>
              </c:pt>
              <c:pt idx="20">
                <c:v>0.75</c:v>
              </c:pt>
              <c:pt idx="21">
                <c:v>0.75</c:v>
              </c:pt>
              <c:pt idx="22">
                <c:v>0.75</c:v>
              </c:pt>
            </c:numLit>
          </c:xVal>
          <c:yVal>
            <c:numLit>
              <c:ptCount val="23"/>
              <c:pt idx="0">
                <c:v>422639.8844965964</c:v>
              </c:pt>
              <c:pt idx="1">
                <c:v>422639.8844965964</c:v>
              </c:pt>
              <c:pt idx="2">
                <c:v>422639.8844965964</c:v>
              </c:pt>
              <c:pt idx="3">
                <c:v>404123.2354598519</c:v>
              </c:pt>
              <c:pt idx="4">
                <c:v>404123.2354598519</c:v>
              </c:pt>
              <c:pt idx="5">
                <c:v>404123.2354598519</c:v>
              </c:pt>
              <c:pt idx="6">
                <c:v>404123.2354598519</c:v>
              </c:pt>
              <c:pt idx="7">
                <c:v>232890.97021470265</c:v>
              </c:pt>
              <c:pt idx="8">
                <c:v>56335.35953900013</c:v>
              </c:pt>
              <c:pt idx="9">
                <c:v>56335.35953900013</c:v>
              </c:pt>
              <c:pt idx="10">
                <c:v>56335.35953900013</c:v>
              </c:pt>
              <c:pt idx="11">
                <c:v>21848.674210596037</c:v>
              </c:pt>
              <c:pt idx="12">
                <c:v>21848.674210596037</c:v>
              </c:pt>
              <c:pt idx="13">
                <c:v>21848.674210596037</c:v>
              </c:pt>
              <c:pt idx="14">
                <c:v>21848.674210596037</c:v>
              </c:pt>
              <c:pt idx="15">
                <c:v>56335.35953900013</c:v>
              </c:pt>
              <c:pt idx="16">
                <c:v>56335.35953900013</c:v>
              </c:pt>
              <c:pt idx="17">
                <c:v>56335.35953900013</c:v>
              </c:pt>
              <c:pt idx="18">
                <c:v>232890.97021470265</c:v>
              </c:pt>
              <c:pt idx="19">
                <c:v>232890.97021470265</c:v>
              </c:pt>
              <c:pt idx="20">
                <c:v>232890.97021470265</c:v>
              </c:pt>
              <c:pt idx="21">
                <c:v>404123.2354598519</c:v>
              </c:pt>
              <c:pt idx="22">
                <c:v>404123.2354598519</c:v>
              </c:pt>
            </c:numLit>
          </c:yVal>
          <c:smooth val="0"/>
        </c:ser>
        <c:ser>
          <c:idx val="4"/>
          <c:order val="4"/>
          <c:tx>
            <c:v/>
          </c:tx>
          <c:spPr>
            <a:ln w="6350">
              <a:solidFill>
                <a:srgbClr val="A7DA7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3"/>
              <c:pt idx="0">
                <c:v>1.9</c:v>
              </c:pt>
              <c:pt idx="1">
                <c:v>2.1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2.25</c:v>
              </c:pt>
              <c:pt idx="8">
                <c:v>2.25</c:v>
              </c:pt>
              <c:pt idx="9">
                <c:v>2.25</c:v>
              </c:pt>
              <c:pt idx="10">
                <c:v>2</c:v>
              </c:pt>
              <c:pt idx="11">
                <c:v>2</c:v>
              </c:pt>
              <c:pt idx="12">
                <c:v>2.1</c:v>
              </c:pt>
              <c:pt idx="13">
                <c:v>1.9</c:v>
              </c:pt>
              <c:pt idx="14">
                <c:v>2</c:v>
              </c:pt>
              <c:pt idx="15">
                <c:v>2</c:v>
              </c:pt>
              <c:pt idx="16">
                <c:v>1.75</c:v>
              </c:pt>
              <c:pt idx="17">
                <c:v>1.75</c:v>
              </c:pt>
              <c:pt idx="18">
                <c:v>1.75</c:v>
              </c:pt>
              <c:pt idx="19">
                <c:v>2.25</c:v>
              </c:pt>
              <c:pt idx="20">
                <c:v>1.75</c:v>
              </c:pt>
              <c:pt idx="21">
                <c:v>1.75</c:v>
              </c:pt>
              <c:pt idx="22">
                <c:v>1.75</c:v>
              </c:pt>
            </c:numLit>
          </c:xVal>
          <c:yVal>
            <c:numLit>
              <c:ptCount val="23"/>
              <c:pt idx="0">
                <c:v>397.4675638077623</c:v>
              </c:pt>
              <c:pt idx="1">
                <c:v>397.4675638077623</c:v>
              </c:pt>
              <c:pt idx="2">
                <c:v>397.4675638077623</c:v>
              </c:pt>
              <c:pt idx="3">
                <c:v>517.2681576362293</c:v>
              </c:pt>
              <c:pt idx="4">
                <c:v>517.2681576362293</c:v>
              </c:pt>
              <c:pt idx="5">
                <c:v>517.2681576362293</c:v>
              </c:pt>
              <c:pt idx="6">
                <c:v>517.2681576362293</c:v>
              </c:pt>
              <c:pt idx="7">
                <c:v>384.7753888161503</c:v>
              </c:pt>
              <c:pt idx="8">
                <c:v>283.24207369819436</c:v>
              </c:pt>
              <c:pt idx="9">
                <c:v>283.24207369819436</c:v>
              </c:pt>
              <c:pt idx="10">
                <c:v>283.24207369819436</c:v>
              </c:pt>
              <c:pt idx="11">
                <c:v>16.718653319162605</c:v>
              </c:pt>
              <c:pt idx="12">
                <c:v>16.718653319162605</c:v>
              </c:pt>
              <c:pt idx="13">
                <c:v>16.718653319162605</c:v>
              </c:pt>
              <c:pt idx="14">
                <c:v>16.718653319162605</c:v>
              </c:pt>
              <c:pt idx="15">
                <c:v>283.24207369819436</c:v>
              </c:pt>
              <c:pt idx="16">
                <c:v>283.24207369819436</c:v>
              </c:pt>
              <c:pt idx="17">
                <c:v>283.24207369819436</c:v>
              </c:pt>
              <c:pt idx="18">
                <c:v>384.7753888161503</c:v>
              </c:pt>
              <c:pt idx="19">
                <c:v>384.7753888161503</c:v>
              </c:pt>
              <c:pt idx="20">
                <c:v>384.7753888161503</c:v>
              </c:pt>
              <c:pt idx="21">
                <c:v>517.2681576362293</c:v>
              </c:pt>
              <c:pt idx="22">
                <c:v>517.2681576362293</c:v>
              </c:pt>
            </c:numLit>
          </c:yVal>
          <c:smooth val="0"/>
        </c:ser>
        <c:ser>
          <c:idx val="5"/>
          <c:order val="5"/>
          <c:tx>
            <c:v/>
          </c:tx>
          <c:spPr>
            <a:ln w="6350">
              <a:solidFill>
                <a:srgbClr val="A7DA7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3"/>
              <c:pt idx="0">
                <c:v>2.9</c:v>
              </c:pt>
              <c:pt idx="1">
                <c:v>3.1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3.25</c:v>
              </c:pt>
              <c:pt idx="8">
                <c:v>3.25</c:v>
              </c:pt>
              <c:pt idx="9">
                <c:v>3.25</c:v>
              </c:pt>
              <c:pt idx="10">
                <c:v>3</c:v>
              </c:pt>
              <c:pt idx="11">
                <c:v>3</c:v>
              </c:pt>
              <c:pt idx="12">
                <c:v>3.1</c:v>
              </c:pt>
              <c:pt idx="13">
                <c:v>2.9</c:v>
              </c:pt>
              <c:pt idx="14">
                <c:v>3</c:v>
              </c:pt>
              <c:pt idx="15">
                <c:v>3</c:v>
              </c:pt>
              <c:pt idx="16">
                <c:v>2.75</c:v>
              </c:pt>
              <c:pt idx="17">
                <c:v>2.75</c:v>
              </c:pt>
              <c:pt idx="18">
                <c:v>2.75</c:v>
              </c:pt>
              <c:pt idx="19">
                <c:v>3.25</c:v>
              </c:pt>
              <c:pt idx="20">
                <c:v>2.75</c:v>
              </c:pt>
              <c:pt idx="21">
                <c:v>2.75</c:v>
              </c:pt>
              <c:pt idx="22">
                <c:v>2.75</c:v>
              </c:pt>
            </c:numLit>
          </c:xVal>
          <c:yVal>
            <c:numLit>
              <c:ptCount val="23"/>
              <c:pt idx="0">
                <c:v>385684.14190038544</c:v>
              </c:pt>
              <c:pt idx="1">
                <c:v>385684.14190038544</c:v>
              </c:pt>
              <c:pt idx="2">
                <c:v>385684.14190038544</c:v>
              </c:pt>
              <c:pt idx="3">
                <c:v>198643.6654756202</c:v>
              </c:pt>
              <c:pt idx="4">
                <c:v>198643.6654756202</c:v>
              </c:pt>
              <c:pt idx="5">
                <c:v>198643.6654756202</c:v>
              </c:pt>
              <c:pt idx="6">
                <c:v>198643.6654756202</c:v>
              </c:pt>
              <c:pt idx="7">
                <c:v>84839.52027386054</c:v>
              </c:pt>
              <c:pt idx="8">
                <c:v>26589.379554172367</c:v>
              </c:pt>
              <c:pt idx="9">
                <c:v>26589.379554172367</c:v>
              </c:pt>
              <c:pt idx="10">
                <c:v>26589.379554172367</c:v>
              </c:pt>
              <c:pt idx="11">
                <c:v>6210.916575621477</c:v>
              </c:pt>
              <c:pt idx="12">
                <c:v>6210.916575621477</c:v>
              </c:pt>
              <c:pt idx="13">
                <c:v>6210.916575621477</c:v>
              </c:pt>
              <c:pt idx="14">
                <c:v>6210.916575621477</c:v>
              </c:pt>
              <c:pt idx="15">
                <c:v>26589.379554172367</c:v>
              </c:pt>
              <c:pt idx="16">
                <c:v>26589.379554172367</c:v>
              </c:pt>
              <c:pt idx="17">
                <c:v>26589.379554172367</c:v>
              </c:pt>
              <c:pt idx="18">
                <c:v>84839.52027386054</c:v>
              </c:pt>
              <c:pt idx="19">
                <c:v>84839.52027386054</c:v>
              </c:pt>
              <c:pt idx="20">
                <c:v>84839.52027386054</c:v>
              </c:pt>
              <c:pt idx="21">
                <c:v>198643.6654756202</c:v>
              </c:pt>
              <c:pt idx="22">
                <c:v>198643.6654756202</c:v>
              </c:pt>
            </c:numLit>
          </c:yVal>
          <c:smooth val="0"/>
        </c:ser>
        <c:ser>
          <c:idx val="6"/>
          <c:order val="6"/>
          <c:tx>
            <c:v/>
          </c:tx>
          <c:spPr>
            <a:ln w="6350">
              <a:solidFill>
                <a:srgbClr val="A7DA7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3"/>
              <c:pt idx="0">
                <c:v>3.9</c:v>
              </c:pt>
              <c:pt idx="1">
                <c:v>4.1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4.25</c:v>
              </c:pt>
              <c:pt idx="8">
                <c:v>4.25</c:v>
              </c:pt>
              <c:pt idx="9">
                <c:v>4.25</c:v>
              </c:pt>
              <c:pt idx="10">
                <c:v>4</c:v>
              </c:pt>
              <c:pt idx="11">
                <c:v>4</c:v>
              </c:pt>
              <c:pt idx="12">
                <c:v>4.1</c:v>
              </c:pt>
              <c:pt idx="13">
                <c:v>3.9</c:v>
              </c:pt>
              <c:pt idx="14">
                <c:v>4</c:v>
              </c:pt>
              <c:pt idx="15">
                <c:v>4</c:v>
              </c:pt>
              <c:pt idx="16">
                <c:v>3.75</c:v>
              </c:pt>
              <c:pt idx="17">
                <c:v>3.75</c:v>
              </c:pt>
              <c:pt idx="18">
                <c:v>3.75</c:v>
              </c:pt>
              <c:pt idx="19">
                <c:v>4.25</c:v>
              </c:pt>
              <c:pt idx="20">
                <c:v>3.75</c:v>
              </c:pt>
              <c:pt idx="21">
                <c:v>3.75</c:v>
              </c:pt>
              <c:pt idx="22">
                <c:v>3.75</c:v>
              </c:pt>
            </c:numLit>
          </c:xVal>
          <c:yVal>
            <c:numLit>
              <c:ptCount val="23"/>
              <c:pt idx="0">
                <c:v>97797.17163627961</c:v>
              </c:pt>
              <c:pt idx="1">
                <c:v>97797.17163627961</c:v>
              </c:pt>
              <c:pt idx="2">
                <c:v>97797.17163627961</c:v>
              </c:pt>
              <c:pt idx="3">
                <c:v>167024.74540214133</c:v>
              </c:pt>
              <c:pt idx="4">
                <c:v>167024.74540214133</c:v>
              </c:pt>
              <c:pt idx="5">
                <c:v>167024.74540214133</c:v>
              </c:pt>
              <c:pt idx="6">
                <c:v>167024.74540214133</c:v>
              </c:pt>
              <c:pt idx="7">
                <c:v>84576.29764983192</c:v>
              </c:pt>
              <c:pt idx="8">
                <c:v>64594.975120022544</c:v>
              </c:pt>
              <c:pt idx="9">
                <c:v>64594.975120022544</c:v>
              </c:pt>
              <c:pt idx="10">
                <c:v>64594.975120022544</c:v>
              </c:pt>
              <c:pt idx="11">
                <c:v>44313.62948993746</c:v>
              </c:pt>
              <c:pt idx="12">
                <c:v>44313.62948993746</c:v>
              </c:pt>
              <c:pt idx="13">
                <c:v>44313.62948993746</c:v>
              </c:pt>
              <c:pt idx="14">
                <c:v>44313.62948993746</c:v>
              </c:pt>
              <c:pt idx="15">
                <c:v>64594.975120022544</c:v>
              </c:pt>
              <c:pt idx="16">
                <c:v>64594.975120022544</c:v>
              </c:pt>
              <c:pt idx="17">
                <c:v>64594.975120022544</c:v>
              </c:pt>
              <c:pt idx="18">
                <c:v>84576.29764983192</c:v>
              </c:pt>
              <c:pt idx="19">
                <c:v>84576.29764983192</c:v>
              </c:pt>
              <c:pt idx="20">
                <c:v>84576.29764983192</c:v>
              </c:pt>
              <c:pt idx="21">
                <c:v>167024.74540214133</c:v>
              </c:pt>
              <c:pt idx="22">
                <c:v>167024.74540214133</c:v>
              </c:pt>
            </c:numLit>
          </c:yVal>
          <c:smooth val="0"/>
        </c:ser>
        <c:ser>
          <c:idx val="7"/>
          <c:order val="7"/>
          <c:tx>
            <c:v/>
          </c:tx>
          <c:spPr>
            <a:ln w="6350">
              <a:solidFill>
                <a:srgbClr val="A7DA7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3"/>
              <c:pt idx="0">
                <c:v>4.9</c:v>
              </c:pt>
              <c:pt idx="1">
                <c:v>5.1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5.25</c:v>
              </c:pt>
              <c:pt idx="8">
                <c:v>5.25</c:v>
              </c:pt>
              <c:pt idx="9">
                <c:v>5.25</c:v>
              </c:pt>
              <c:pt idx="10">
                <c:v>5</c:v>
              </c:pt>
              <c:pt idx="11">
                <c:v>5</c:v>
              </c:pt>
              <c:pt idx="12">
                <c:v>5.1</c:v>
              </c:pt>
              <c:pt idx="13">
                <c:v>4.9</c:v>
              </c:pt>
              <c:pt idx="14">
                <c:v>5</c:v>
              </c:pt>
              <c:pt idx="15">
                <c:v>5</c:v>
              </c:pt>
              <c:pt idx="16">
                <c:v>4.75</c:v>
              </c:pt>
              <c:pt idx="17">
                <c:v>4.75</c:v>
              </c:pt>
              <c:pt idx="18">
                <c:v>4.75</c:v>
              </c:pt>
              <c:pt idx="19">
                <c:v>5.25</c:v>
              </c:pt>
              <c:pt idx="20">
                <c:v>4.75</c:v>
              </c:pt>
              <c:pt idx="21">
                <c:v>4.75</c:v>
              </c:pt>
              <c:pt idx="22">
                <c:v>4.75</c:v>
              </c:pt>
            </c:numLit>
          </c:xVal>
          <c:yVal>
            <c:numLit>
              <c:ptCount val="23"/>
              <c:pt idx="0">
                <c:v>2428.0116380540444</c:v>
              </c:pt>
              <c:pt idx="1">
                <c:v>2428.0116380540444</c:v>
              </c:pt>
              <c:pt idx="2">
                <c:v>2428.0116380540444</c:v>
              </c:pt>
              <c:pt idx="3">
                <c:v>1992.9458692028313</c:v>
              </c:pt>
              <c:pt idx="4">
                <c:v>1992.9458692028313</c:v>
              </c:pt>
              <c:pt idx="5">
                <c:v>1992.9458692028313</c:v>
              </c:pt>
              <c:pt idx="6">
                <c:v>1992.9458692028313</c:v>
              </c:pt>
              <c:pt idx="7">
                <c:v>929.6604914202808</c:v>
              </c:pt>
              <c:pt idx="8">
                <c:v>8.547777441100875</c:v>
              </c:pt>
              <c:pt idx="9">
                <c:v>8.547777441100875</c:v>
              </c:pt>
              <c:pt idx="10">
                <c:v>8.547777441100875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8.547777441100875</c:v>
              </c:pt>
              <c:pt idx="16">
                <c:v>8.547777441100875</c:v>
              </c:pt>
              <c:pt idx="17">
                <c:v>8.547777441100875</c:v>
              </c:pt>
              <c:pt idx="18">
                <c:v>929.6604914202808</c:v>
              </c:pt>
              <c:pt idx="19">
                <c:v>929.6604914202808</c:v>
              </c:pt>
              <c:pt idx="20">
                <c:v>929.6604914202808</c:v>
              </c:pt>
              <c:pt idx="21">
                <c:v>1992.9458692028313</c:v>
              </c:pt>
              <c:pt idx="22">
                <c:v>1992.9458692028313</c:v>
              </c:pt>
            </c:numLit>
          </c:yVal>
          <c:smooth val="0"/>
        </c:ser>
        <c:ser>
          <c:idx val="8"/>
          <c:order val="8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p=0.009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1.025</c:v>
              </c:pt>
              <c:pt idx="1">
                <c:v>1.025</c:v>
              </c:pt>
              <c:pt idx="2">
                <c:v>1.5</c:v>
              </c:pt>
              <c:pt idx="3">
                <c:v>1.975</c:v>
              </c:pt>
              <c:pt idx="4">
                <c:v>1.975</c:v>
              </c:pt>
            </c:numLit>
          </c:xVal>
          <c:yVal>
            <c:numLit>
              <c:ptCount val="5"/>
              <c:pt idx="0">
                <c:v>462857.14285714284</c:v>
              </c:pt>
              <c:pt idx="1">
                <c:v>475714.2857142857</c:v>
              </c:pt>
              <c:pt idx="2">
                <c:v>475714.2857142857</c:v>
              </c:pt>
              <c:pt idx="3">
                <c:v>475714.2857142857</c:v>
              </c:pt>
              <c:pt idx="4">
                <c:v>462857.14285714284</c:v>
              </c:pt>
            </c:numLit>
          </c:yVal>
          <c:smooth val="0"/>
        </c:ser>
        <c:ser>
          <c:idx val="9"/>
          <c:order val="9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p=0.031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2.025</c:v>
              </c:pt>
              <c:pt idx="1">
                <c:v>2.025</c:v>
              </c:pt>
              <c:pt idx="2">
                <c:v>2.5</c:v>
              </c:pt>
              <c:pt idx="3">
                <c:v>2.975</c:v>
              </c:pt>
              <c:pt idx="4">
                <c:v>2.975</c:v>
              </c:pt>
            </c:numLit>
          </c:xVal>
          <c:yVal>
            <c:numLit>
              <c:ptCount val="5"/>
              <c:pt idx="0">
                <c:v>462857.14285714284</c:v>
              </c:pt>
              <c:pt idx="1">
                <c:v>475714.2857142857</c:v>
              </c:pt>
              <c:pt idx="2">
                <c:v>475714.2857142857</c:v>
              </c:pt>
              <c:pt idx="3">
                <c:v>475714.2857142857</c:v>
              </c:pt>
              <c:pt idx="4">
                <c:v>462857.14285714284</c:v>
              </c:pt>
            </c:numLit>
          </c:yVal>
          <c:smooth val="0"/>
        </c:ser>
        <c:ser>
          <c:idx val="10"/>
          <c:order val="10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p=0.811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3.025</c:v>
              </c:pt>
              <c:pt idx="1">
                <c:v>3.025</c:v>
              </c:pt>
              <c:pt idx="2">
                <c:v>3.5</c:v>
              </c:pt>
              <c:pt idx="3">
                <c:v>3.975</c:v>
              </c:pt>
              <c:pt idx="4">
                <c:v>3.975</c:v>
              </c:pt>
            </c:numLit>
          </c:xVal>
          <c:yVal>
            <c:numLit>
              <c:ptCount val="5"/>
              <c:pt idx="0">
                <c:v>462857.14285714284</c:v>
              </c:pt>
              <c:pt idx="1">
                <c:v>475714.2857142857</c:v>
              </c:pt>
              <c:pt idx="2">
                <c:v>475714.2857142857</c:v>
              </c:pt>
              <c:pt idx="3">
                <c:v>475714.2857142857</c:v>
              </c:pt>
              <c:pt idx="4">
                <c:v>462857.14285714284</c:v>
              </c:pt>
            </c:numLit>
          </c:yVal>
          <c:smooth val="0"/>
        </c:ser>
        <c:ser>
          <c:idx val="11"/>
          <c:order val="11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p=0.017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4.025</c:v>
              </c:pt>
              <c:pt idx="1">
                <c:v>4.025</c:v>
              </c:pt>
              <c:pt idx="2">
                <c:v>4.5</c:v>
              </c:pt>
              <c:pt idx="3">
                <c:v>4.975</c:v>
              </c:pt>
              <c:pt idx="4">
                <c:v>4.975</c:v>
              </c:pt>
            </c:numLit>
          </c:xVal>
          <c:yVal>
            <c:numLit>
              <c:ptCount val="5"/>
              <c:pt idx="0">
                <c:v>462857.14285714284</c:v>
              </c:pt>
              <c:pt idx="1">
                <c:v>475714.2857142857</c:v>
              </c:pt>
              <c:pt idx="2">
                <c:v>475714.2857142857</c:v>
              </c:pt>
              <c:pt idx="3">
                <c:v>475714.2857142857</c:v>
              </c:pt>
              <c:pt idx="4">
                <c:v>462857.14285714284</c:v>
              </c:pt>
            </c:numLit>
          </c:yVal>
          <c:smooth val="0"/>
        </c:ser>
        <c:ser>
          <c:idx val="12"/>
          <c:order val="12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p=0.633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1.025</c:v>
              </c:pt>
              <c:pt idx="1">
                <c:v>1.025</c:v>
              </c:pt>
              <c:pt idx="2">
                <c:v>2</c:v>
              </c:pt>
              <c:pt idx="3">
                <c:v>2.975</c:v>
              </c:pt>
              <c:pt idx="4">
                <c:v>2.975</c:v>
              </c:pt>
            </c:numLit>
          </c:xVal>
          <c:yVal>
            <c:numLit>
              <c:ptCount val="5"/>
              <c:pt idx="0">
                <c:v>501428.5714285714</c:v>
              </c:pt>
              <c:pt idx="1">
                <c:v>514285.71428571426</c:v>
              </c:pt>
              <c:pt idx="2">
                <c:v>514285.71428571426</c:v>
              </c:pt>
              <c:pt idx="3">
                <c:v>514285.71428571426</c:v>
              </c:pt>
              <c:pt idx="4">
                <c:v>501428.5714285714</c:v>
              </c:pt>
            </c:numLit>
          </c:yVal>
          <c:smooth val="0"/>
        </c:ser>
        <c:ser>
          <c:idx val="13"/>
          <c:order val="13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p=0.017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2.025</c:v>
              </c:pt>
              <c:pt idx="1">
                <c:v>2.025</c:v>
              </c:pt>
              <c:pt idx="2">
                <c:v>3</c:v>
              </c:pt>
              <c:pt idx="3">
                <c:v>3.975</c:v>
              </c:pt>
              <c:pt idx="4">
                <c:v>3.975</c:v>
              </c:pt>
            </c:numLit>
          </c:xVal>
          <c:yVal>
            <c:numLit>
              <c:ptCount val="5"/>
              <c:pt idx="0">
                <c:v>540000</c:v>
              </c:pt>
              <c:pt idx="1">
                <c:v>552857.1428571428</c:v>
              </c:pt>
              <c:pt idx="2">
                <c:v>552857.1428571428</c:v>
              </c:pt>
              <c:pt idx="3">
                <c:v>552857.1428571428</c:v>
              </c:pt>
              <c:pt idx="4">
                <c:v>540000</c:v>
              </c:pt>
            </c:numLit>
          </c:yVal>
          <c:smooth val="0"/>
        </c:ser>
        <c:ser>
          <c:idx val="14"/>
          <c:order val="14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p=0.031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3.025</c:v>
              </c:pt>
              <c:pt idx="1">
                <c:v>3.025</c:v>
              </c:pt>
              <c:pt idx="2">
                <c:v>4</c:v>
              </c:pt>
              <c:pt idx="3">
                <c:v>4.975</c:v>
              </c:pt>
              <c:pt idx="4">
                <c:v>4.975</c:v>
              </c:pt>
            </c:numLit>
          </c:xVal>
          <c:yVal>
            <c:numLit>
              <c:ptCount val="5"/>
              <c:pt idx="0">
                <c:v>578571.4285714285</c:v>
              </c:pt>
              <c:pt idx="1">
                <c:v>591428.5714285714</c:v>
              </c:pt>
              <c:pt idx="2">
                <c:v>591428.5714285714</c:v>
              </c:pt>
              <c:pt idx="3">
                <c:v>591428.5714285714</c:v>
              </c:pt>
              <c:pt idx="4">
                <c:v>578571.4285714285</c:v>
              </c:pt>
            </c:numLit>
          </c:yVal>
          <c:smooth val="0"/>
        </c:ser>
        <c:ser>
          <c:idx val="15"/>
          <c:order val="15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p=0.811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1.025</c:v>
              </c:pt>
              <c:pt idx="1">
                <c:v>1.025</c:v>
              </c:pt>
              <c:pt idx="2">
                <c:v>2.5</c:v>
              </c:pt>
              <c:pt idx="3">
                <c:v>3.975</c:v>
              </c:pt>
              <c:pt idx="4">
                <c:v>3.975</c:v>
              </c:pt>
            </c:numLit>
          </c:xVal>
          <c:yVal>
            <c:numLit>
              <c:ptCount val="5"/>
              <c:pt idx="0">
                <c:v>617142.857142857</c:v>
              </c:pt>
              <c:pt idx="1">
                <c:v>629999.9999999999</c:v>
              </c:pt>
              <c:pt idx="2">
                <c:v>629999.9999999999</c:v>
              </c:pt>
              <c:pt idx="3">
                <c:v>629999.9999999999</c:v>
              </c:pt>
              <c:pt idx="4">
                <c:v>617142.857142857</c:v>
              </c:pt>
            </c:numLit>
          </c:yVal>
          <c:smooth val="0"/>
        </c:ser>
        <c:ser>
          <c:idx val="16"/>
          <c:order val="16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p=1.000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2.025</c:v>
              </c:pt>
              <c:pt idx="1">
                <c:v>2.025</c:v>
              </c:pt>
              <c:pt idx="2">
                <c:v>3.5</c:v>
              </c:pt>
              <c:pt idx="3">
                <c:v>4.975</c:v>
              </c:pt>
              <c:pt idx="4">
                <c:v>4.975</c:v>
              </c:pt>
            </c:numLit>
          </c:xVal>
          <c:yVal>
            <c:numLit>
              <c:ptCount val="5"/>
              <c:pt idx="0">
                <c:v>655714.2857142856</c:v>
              </c:pt>
              <c:pt idx="1">
                <c:v>668571.4285714284</c:v>
              </c:pt>
              <c:pt idx="2">
                <c:v>668571.4285714284</c:v>
              </c:pt>
              <c:pt idx="3">
                <c:v>668571.4285714284</c:v>
              </c:pt>
              <c:pt idx="4">
                <c:v>655714.2857142856</c:v>
              </c:pt>
            </c:numLit>
          </c:yVal>
          <c:smooth val="0"/>
        </c:ser>
        <c:ser>
          <c:idx val="17"/>
          <c:order val="17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p=0.009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1.025</c:v>
              </c:pt>
              <c:pt idx="1">
                <c:v>1.025</c:v>
              </c:pt>
              <c:pt idx="2">
                <c:v>3</c:v>
              </c:pt>
              <c:pt idx="3">
                <c:v>4.975</c:v>
              </c:pt>
              <c:pt idx="4">
                <c:v>4.975</c:v>
              </c:pt>
            </c:numLit>
          </c:xVal>
          <c:yVal>
            <c:numLit>
              <c:ptCount val="5"/>
              <c:pt idx="0">
                <c:v>694285.7142857141</c:v>
              </c:pt>
              <c:pt idx="1">
                <c:v>707142.8571428569</c:v>
              </c:pt>
              <c:pt idx="2">
                <c:v>707142.8571428569</c:v>
              </c:pt>
              <c:pt idx="3">
                <c:v>707142.8571428569</c:v>
              </c:pt>
              <c:pt idx="4">
                <c:v>694285.7142857141</c:v>
              </c:pt>
            </c:numLit>
          </c:yVal>
          <c:smooth val="0"/>
        </c:ser>
        <c:ser>
          <c:idx val="18"/>
          <c:order val="18"/>
          <c:tx>
            <c:v/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xVal>
          <c:yVal>
            <c:numLit>
              <c:ptCount val="5"/>
              <c:pt idx="0">
                <c:v>13500</c:v>
              </c:pt>
              <c:pt idx="1">
                <c:v>13500</c:v>
              </c:pt>
              <c:pt idx="2">
                <c:v>13500</c:v>
              </c:pt>
              <c:pt idx="3">
                <c:v>13500</c:v>
              </c:pt>
              <c:pt idx="4">
                <c:v>13500</c:v>
              </c:pt>
            </c:numLit>
          </c:yVal>
          <c:smooth val="0"/>
        </c:ser>
        <c:axId val="54608148"/>
        <c:axId val="21711285"/>
      </c:scatterChart>
      <c:valAx>
        <c:axId val="54608148"/>
        <c:scaling>
          <c:orientation val="minMax"/>
          <c:max val="5.5"/>
          <c:min val="0.5"/>
        </c:scaling>
        <c:axPos val="b"/>
        <c:delete val="0"/>
        <c:numFmt formatCode="General" sourceLinked="0"/>
        <c:majorTickMark val="none"/>
        <c:minorTickMark val="none"/>
        <c:tickLblPos val="none"/>
        <c:spPr>
          <a:ln w="6350">
            <a:noFill/>
          </a:ln>
        </c:spPr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21711285"/>
        <c:crosses val="autoZero"/>
        <c:crossBetween val="midCat"/>
        <c:dispUnits/>
      </c:valAx>
      <c:valAx>
        <c:axId val="21711285"/>
        <c:scaling>
          <c:orientation val="minMax"/>
          <c:max val="8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Arial"/>
                    <a:ea typeface="Arial"/>
                    <a:cs typeface="Arial"/>
                  </a:rPr>
                  <a:t>mg MP/kg dry sediment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54608148"/>
        <c:crossesAt val="0.5"/>
        <c:crossBetween val="midCat"/>
        <c:dispUnits/>
      </c:valAx>
      <c:spPr>
        <a:ln w="25400"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Means &amp; Standard error
(mg MP/kg dry sediment)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A9D18E"/>
            </a:solidFill>
            <a:ln>
              <a:solidFill>
                <a:srgbClr val="A9D18E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Lit>
                <c:ptCount val="5"/>
                <c:pt idx="0">
                  <c:v>106034.50249525934</c:v>
                </c:pt>
                <c:pt idx="1">
                  <c:v>176.52059386061012</c:v>
                </c:pt>
                <c:pt idx="2">
                  <c:v>86429.48259135192</c:v>
                </c:pt>
                <c:pt idx="3">
                  <c:v>76669.30817113702</c:v>
                </c:pt>
                <c:pt idx="4">
                  <c:v>626.823211889077</c:v>
                </c:pt>
              </c:numLit>
            </c:plus>
            <c:minus>
              <c:numLit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Lit>
            </c:minus>
            <c:noEndCap val="0"/>
          </c:errBars>
          <c:cat>
            <c:numLit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ptCount val="5"/>
              <c:pt idx="0">
                <c:v>227567.62478414943</c:v>
              </c:pt>
              <c:pt idx="1">
                <c:v>415.73484251827335</c:v>
              </c:pt>
              <c:pt idx="2">
                <c:v>140393.524755932</c:v>
              </c:pt>
              <c:pt idx="3">
                <c:v>147043.42287233195</c:v>
              </c:pt>
              <c:pt idx="4">
                <c:v>1071.8331552236514</c:v>
              </c:pt>
            </c:numLit>
          </c:val>
        </c:ser>
        <c:overlap val="-30"/>
        <c:gapWidth val="60"/>
        <c:axId val="61183838"/>
        <c:axId val="13783631"/>
      </c:barChart>
      <c:scatterChart>
        <c:scatterStyle val="lineMarker"/>
        <c:varyColors val="0"/>
        <c:ser>
          <c:idx val="1"/>
          <c:order val="1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p=0.009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1.025</c:v>
              </c:pt>
              <c:pt idx="1">
                <c:v>1.025</c:v>
              </c:pt>
              <c:pt idx="2">
                <c:v>1.5</c:v>
              </c:pt>
              <c:pt idx="3">
                <c:v>1.975</c:v>
              </c:pt>
              <c:pt idx="4">
                <c:v>1.975</c:v>
              </c:pt>
            </c:numLit>
          </c:xVal>
          <c:yVal>
            <c:numLit>
              <c:ptCount val="5"/>
              <c:pt idx="0">
                <c:v>405714.28571428574</c:v>
              </c:pt>
              <c:pt idx="1">
                <c:v>417142.85714285716</c:v>
              </c:pt>
              <c:pt idx="2">
                <c:v>417142.85714285716</c:v>
              </c:pt>
              <c:pt idx="3">
                <c:v>417142.85714285716</c:v>
              </c:pt>
              <c:pt idx="4">
                <c:v>405714.28571428574</c:v>
              </c:pt>
            </c:numLit>
          </c:yVal>
          <c:smooth val="0"/>
        </c:ser>
        <c:ser>
          <c:idx val="2"/>
          <c:order val="2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p=0.031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2.025</c:v>
              </c:pt>
              <c:pt idx="1">
                <c:v>2.025</c:v>
              </c:pt>
              <c:pt idx="2">
                <c:v>2.5</c:v>
              </c:pt>
              <c:pt idx="3">
                <c:v>2.975</c:v>
              </c:pt>
              <c:pt idx="4">
                <c:v>2.975</c:v>
              </c:pt>
            </c:numLit>
          </c:xVal>
          <c:yVal>
            <c:numLit>
              <c:ptCount val="5"/>
              <c:pt idx="0">
                <c:v>405714.28571428574</c:v>
              </c:pt>
              <c:pt idx="1">
                <c:v>417142.85714285716</c:v>
              </c:pt>
              <c:pt idx="2">
                <c:v>417142.85714285716</c:v>
              </c:pt>
              <c:pt idx="3">
                <c:v>417142.85714285716</c:v>
              </c:pt>
              <c:pt idx="4">
                <c:v>405714.28571428574</c:v>
              </c:pt>
            </c:numLit>
          </c:yVal>
          <c:smooth val="0"/>
        </c:ser>
        <c:ser>
          <c:idx val="3"/>
          <c:order val="3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p=0.811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3.025</c:v>
              </c:pt>
              <c:pt idx="1">
                <c:v>3.025</c:v>
              </c:pt>
              <c:pt idx="2">
                <c:v>3.5</c:v>
              </c:pt>
              <c:pt idx="3">
                <c:v>3.975</c:v>
              </c:pt>
              <c:pt idx="4">
                <c:v>3.975</c:v>
              </c:pt>
            </c:numLit>
          </c:xVal>
          <c:yVal>
            <c:numLit>
              <c:ptCount val="5"/>
              <c:pt idx="0">
                <c:v>405714.28571428574</c:v>
              </c:pt>
              <c:pt idx="1">
                <c:v>417142.85714285716</c:v>
              </c:pt>
              <c:pt idx="2">
                <c:v>417142.85714285716</c:v>
              </c:pt>
              <c:pt idx="3">
                <c:v>417142.85714285716</c:v>
              </c:pt>
              <c:pt idx="4">
                <c:v>405714.28571428574</c:v>
              </c:pt>
            </c:numLit>
          </c:yVal>
          <c:smooth val="0"/>
        </c:ser>
        <c:ser>
          <c:idx val="4"/>
          <c:order val="4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p=0.017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4.025</c:v>
              </c:pt>
              <c:pt idx="1">
                <c:v>4.025</c:v>
              </c:pt>
              <c:pt idx="2">
                <c:v>4.5</c:v>
              </c:pt>
              <c:pt idx="3">
                <c:v>4.975</c:v>
              </c:pt>
              <c:pt idx="4">
                <c:v>4.975</c:v>
              </c:pt>
            </c:numLit>
          </c:xVal>
          <c:yVal>
            <c:numLit>
              <c:ptCount val="5"/>
              <c:pt idx="0">
                <c:v>405714.28571428574</c:v>
              </c:pt>
              <c:pt idx="1">
                <c:v>417142.85714285716</c:v>
              </c:pt>
              <c:pt idx="2">
                <c:v>417142.85714285716</c:v>
              </c:pt>
              <c:pt idx="3">
                <c:v>417142.85714285716</c:v>
              </c:pt>
              <c:pt idx="4">
                <c:v>405714.28571428574</c:v>
              </c:pt>
            </c:numLit>
          </c:yVal>
          <c:smooth val="0"/>
        </c:ser>
        <c:ser>
          <c:idx val="5"/>
          <c:order val="5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p=0.633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1.025</c:v>
              </c:pt>
              <c:pt idx="1">
                <c:v>1.025</c:v>
              </c:pt>
              <c:pt idx="2">
                <c:v>2</c:v>
              </c:pt>
              <c:pt idx="3">
                <c:v>2.975</c:v>
              </c:pt>
              <c:pt idx="4">
                <c:v>2.975</c:v>
              </c:pt>
            </c:numLit>
          </c:xVal>
          <c:yVal>
            <c:numLit>
              <c:ptCount val="5"/>
              <c:pt idx="0">
                <c:v>440000</c:v>
              </c:pt>
              <c:pt idx="1">
                <c:v>451428.5714285714</c:v>
              </c:pt>
              <c:pt idx="2">
                <c:v>451428.5714285714</c:v>
              </c:pt>
              <c:pt idx="3">
                <c:v>451428.5714285714</c:v>
              </c:pt>
              <c:pt idx="4">
                <c:v>440000</c:v>
              </c:pt>
            </c:numLit>
          </c:yVal>
          <c:smooth val="0"/>
        </c:ser>
        <c:ser>
          <c:idx val="6"/>
          <c:order val="6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p=0.017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2.025</c:v>
              </c:pt>
              <c:pt idx="1">
                <c:v>2.025</c:v>
              </c:pt>
              <c:pt idx="2">
                <c:v>3</c:v>
              </c:pt>
              <c:pt idx="3">
                <c:v>3.975</c:v>
              </c:pt>
              <c:pt idx="4">
                <c:v>3.975</c:v>
              </c:pt>
            </c:numLit>
          </c:xVal>
          <c:yVal>
            <c:numLit>
              <c:ptCount val="5"/>
              <c:pt idx="0">
                <c:v>474285.71428571426</c:v>
              </c:pt>
              <c:pt idx="1">
                <c:v>485714.2857142857</c:v>
              </c:pt>
              <c:pt idx="2">
                <c:v>485714.2857142857</c:v>
              </c:pt>
              <c:pt idx="3">
                <c:v>485714.2857142857</c:v>
              </c:pt>
              <c:pt idx="4">
                <c:v>474285.71428571426</c:v>
              </c:pt>
            </c:numLit>
          </c:yVal>
          <c:smooth val="0"/>
        </c:ser>
        <c:ser>
          <c:idx val="7"/>
          <c:order val="7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p=0.031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3.025</c:v>
              </c:pt>
              <c:pt idx="1">
                <c:v>3.025</c:v>
              </c:pt>
              <c:pt idx="2">
                <c:v>4</c:v>
              </c:pt>
              <c:pt idx="3">
                <c:v>4.975</c:v>
              </c:pt>
              <c:pt idx="4">
                <c:v>4.975</c:v>
              </c:pt>
            </c:numLit>
          </c:xVal>
          <c:yVal>
            <c:numLit>
              <c:ptCount val="5"/>
              <c:pt idx="0">
                <c:v>508571.4285714285</c:v>
              </c:pt>
              <c:pt idx="1">
                <c:v>519999.99999999994</c:v>
              </c:pt>
              <c:pt idx="2">
                <c:v>519999.99999999994</c:v>
              </c:pt>
              <c:pt idx="3">
                <c:v>519999.99999999994</c:v>
              </c:pt>
              <c:pt idx="4">
                <c:v>508571.4285714285</c:v>
              </c:pt>
            </c:numLit>
          </c:yVal>
          <c:smooth val="0"/>
        </c:ser>
        <c:ser>
          <c:idx val="8"/>
          <c:order val="8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p=0.811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1.025</c:v>
              </c:pt>
              <c:pt idx="1">
                <c:v>1.025</c:v>
              </c:pt>
              <c:pt idx="2">
                <c:v>2.5</c:v>
              </c:pt>
              <c:pt idx="3">
                <c:v>3.975</c:v>
              </c:pt>
              <c:pt idx="4">
                <c:v>3.975</c:v>
              </c:pt>
            </c:numLit>
          </c:xVal>
          <c:yVal>
            <c:numLit>
              <c:ptCount val="5"/>
              <c:pt idx="0">
                <c:v>542857.1428571428</c:v>
              </c:pt>
              <c:pt idx="1">
                <c:v>554285.7142857143</c:v>
              </c:pt>
              <c:pt idx="2">
                <c:v>554285.7142857143</c:v>
              </c:pt>
              <c:pt idx="3">
                <c:v>554285.7142857143</c:v>
              </c:pt>
              <c:pt idx="4">
                <c:v>542857.1428571428</c:v>
              </c:pt>
            </c:numLit>
          </c:yVal>
          <c:smooth val="0"/>
        </c:ser>
        <c:ser>
          <c:idx val="9"/>
          <c:order val="9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p=1.000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2.025</c:v>
              </c:pt>
              <c:pt idx="1">
                <c:v>2.025</c:v>
              </c:pt>
              <c:pt idx="2">
                <c:v>3.5</c:v>
              </c:pt>
              <c:pt idx="3">
                <c:v>4.975</c:v>
              </c:pt>
              <c:pt idx="4">
                <c:v>4.975</c:v>
              </c:pt>
            </c:numLit>
          </c:xVal>
          <c:yVal>
            <c:numLit>
              <c:ptCount val="5"/>
              <c:pt idx="0">
                <c:v>577142.8571428572</c:v>
              </c:pt>
              <c:pt idx="1">
                <c:v>588571.4285714286</c:v>
              </c:pt>
              <c:pt idx="2">
                <c:v>588571.4285714286</c:v>
              </c:pt>
              <c:pt idx="3">
                <c:v>588571.4285714286</c:v>
              </c:pt>
              <c:pt idx="4">
                <c:v>577142.8571428572</c:v>
              </c:pt>
            </c:numLit>
          </c:yVal>
          <c:smooth val="0"/>
        </c:ser>
        <c:ser>
          <c:idx val="10"/>
          <c:order val="10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175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p=0.009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1.025</c:v>
              </c:pt>
              <c:pt idx="1">
                <c:v>1.025</c:v>
              </c:pt>
              <c:pt idx="2">
                <c:v>3</c:v>
              </c:pt>
              <c:pt idx="3">
                <c:v>4.975</c:v>
              </c:pt>
              <c:pt idx="4">
                <c:v>4.975</c:v>
              </c:pt>
            </c:numLit>
          </c:xVal>
          <c:yVal>
            <c:numLit>
              <c:ptCount val="5"/>
              <c:pt idx="0">
                <c:v>611428.5714285715</c:v>
              </c:pt>
              <c:pt idx="1">
                <c:v>622857.142857143</c:v>
              </c:pt>
              <c:pt idx="2">
                <c:v>622857.142857143</c:v>
              </c:pt>
              <c:pt idx="3">
                <c:v>622857.142857143</c:v>
              </c:pt>
              <c:pt idx="4">
                <c:v>611428.5714285715</c:v>
              </c:pt>
            </c:numLit>
          </c:yVal>
          <c:smooth val="0"/>
        </c:ser>
        <c:axId val="56943816"/>
        <c:axId val="42732297"/>
      </c:scatterChart>
      <c:catAx>
        <c:axId val="61183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Arial"/>
                    <a:ea typeface="Arial"/>
                    <a:cs typeface="Arial"/>
                  </a:rPr>
                  <a:t>Samples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13783631"/>
        <c:crosses val="autoZero"/>
        <c:auto val="1"/>
        <c:lblOffset val="100"/>
        <c:noMultiLvlLbl val="0"/>
      </c:catAx>
      <c:valAx>
        <c:axId val="13783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Arial"/>
                    <a:ea typeface="Arial"/>
                    <a:cs typeface="Arial"/>
                  </a:rPr>
                  <a:t>mg MP/kg dry sediment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61183838"/>
        <c:crosses val="autoZero"/>
        <c:crossBetween val="between"/>
        <c:dispUnits/>
      </c:valAx>
      <c:valAx>
        <c:axId val="56943816"/>
        <c:scaling>
          <c:orientation val="minMax"/>
          <c:max val="5.5"/>
          <c:min val="0.5"/>
        </c:scaling>
        <c:axPos val="b"/>
        <c:delete val="0"/>
        <c:numFmt formatCode="General" sourceLinked="1"/>
        <c:majorTickMark val="none"/>
        <c:minorTickMark val="none"/>
        <c:tickLblPos val="none"/>
        <c:spPr>
          <a:noFill/>
          <a:ln w="6350">
            <a:noFill/>
            <a:prstDash val="solid"/>
            <a:round/>
          </a:ln>
        </c:spPr>
        <c:crossAx val="42732297"/>
        <c:crosses val="max"/>
        <c:crossBetween val="midCat"/>
        <c:dispUnits/>
      </c:valAx>
      <c:valAx>
        <c:axId val="42732297"/>
        <c:scaling>
          <c:orientation val="minMax"/>
        </c:scaling>
        <c:axPos val="l"/>
        <c:delete val="1"/>
        <c:majorTickMark val="out"/>
        <c:minorTickMark val="none"/>
        <c:tickLblPos val="nextTo"/>
        <c:crossAx val="56943816"/>
        <c:crosses val="max"/>
        <c:crossBetween val="midCat"/>
        <c:dispUnits/>
      </c:valAx>
      <c:spPr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p-values (Kruskal-Wallis)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Kruskal-Wallis</c:v>
          </c:tx>
          <c:spPr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'Kruskal-Wallis Stations'!$B$246:$B$247</c:f>
              <c:strCache/>
            </c:strRef>
          </c:cat>
          <c:val>
            <c:numRef>
              <c:f>'Kruskal-Wallis Stations'!$C$246:$C$247</c:f>
              <c:numCache/>
            </c:numRef>
          </c:val>
        </c:ser>
        <c:overlap val="-30"/>
        <c:gapWidth val="60"/>
        <c:axId val="49046354"/>
        <c:axId val="38764003"/>
      </c:barChart>
      <c:catAx>
        <c:axId val="49046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Arial"/>
                    <a:ea typeface="Arial"/>
                    <a:cs typeface="Arial"/>
                  </a:rPr>
                  <a:t>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38764003"/>
        <c:crosses val="autoZero"/>
        <c:auto val="1"/>
        <c:lblOffset val="100"/>
        <c:noMultiLvlLbl val="0"/>
      </c:catAx>
      <c:valAx>
        <c:axId val="387640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Arial"/>
                    <a:ea typeface="Arial"/>
                    <a:cs typeface="Arial"/>
                  </a:rPr>
                  <a:t>p-values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49046354"/>
        <c:crosses val="autoZero"/>
        <c:crossBetween val="between"/>
        <c:dispUnits/>
      </c:valAx>
      <c:spPr>
        <a:ln w="25400"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Box plots (Surface)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175"/>
          <c:w val="0.8945"/>
          <c:h val="0.72175"/>
        </c:manualLayout>
      </c:layout>
      <c:scatterChart>
        <c:scatterStyle val="lineMarker"/>
        <c:varyColors val="0"/>
        <c:ser>
          <c:idx val="0"/>
          <c:order val="0"/>
          <c:tx>
            <c:v>Mean</c:v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FF373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1</c:v>
              </c:pt>
              <c:pt idx="1">
                <c:v>2</c:v>
              </c:pt>
            </c:numLit>
          </c:xVal>
          <c:yVal>
            <c:numLit>
              <c:ptCount val="2"/>
              <c:pt idx="0">
                <c:v>0.34345587044233544</c:v>
              </c:pt>
              <c:pt idx="1">
                <c:v>0.014890420152516569</c:v>
              </c:pt>
            </c:numLit>
          </c:yVal>
          <c:smooth val="0"/>
        </c:ser>
        <c:ser>
          <c:idx val="1"/>
          <c:order val="1"/>
          <c:tx>
            <c:v>Minimum/Maximum</c:v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4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</c:numLit>
          </c:xVal>
          <c:yVal>
            <c:numLit>
              <c:ptCount val="4"/>
              <c:pt idx="0">
                <c:v>0.13629684000069844</c:v>
              </c:pt>
              <c:pt idx="1">
                <c:v>0.4226398844965964</c:v>
              </c:pt>
              <c:pt idx="2">
                <c:v>0</c:v>
              </c:pt>
              <c:pt idx="3">
                <c:v>0.07135542366338425</c:v>
              </c:pt>
            </c:numLit>
          </c:yVal>
          <c:smooth val="0"/>
        </c:ser>
        <c:ser>
          <c:idx val="2"/>
          <c:order val="2"/>
          <c:tx>
            <c:v>Outliers(2)</c:v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1</c:v>
              </c:pt>
              <c:pt idx="1">
                <c:v>2</c:v>
              </c:pt>
            </c:numLit>
          </c:xVal>
          <c:yVal>
            <c:numLit>
              <c:ptCount val="2"/>
              <c:pt idx="0">
                <c:v>0.13629684000069844</c:v>
              </c:pt>
              <c:pt idx="1">
                <c:v>0.07135542366338425</c:v>
              </c:pt>
            </c:numLit>
          </c:yVal>
          <c:smooth val="0"/>
        </c:ser>
        <c:ser>
          <c:idx val="3"/>
          <c:order val="3"/>
          <c:tx>
            <c:v/>
          </c:tx>
          <c:spPr>
            <a:ln w="6350">
              <a:solidFill>
                <a:srgbClr val="A7DA7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3"/>
              <c:pt idx="0">
                <c:v>0.9</c:v>
              </c:pt>
              <c:pt idx="1">
                <c:v>1.1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1.25</c:v>
              </c:pt>
              <c:pt idx="8">
                <c:v>1.25</c:v>
              </c:pt>
              <c:pt idx="9">
                <c:v>1.25</c:v>
              </c:pt>
              <c:pt idx="10">
                <c:v>1</c:v>
              </c:pt>
              <c:pt idx="11">
                <c:v>1</c:v>
              </c:pt>
              <c:pt idx="12">
                <c:v>1.1</c:v>
              </c:pt>
              <c:pt idx="13">
                <c:v>0.9</c:v>
              </c:pt>
              <c:pt idx="14">
                <c:v>1</c:v>
              </c:pt>
              <c:pt idx="15">
                <c:v>1</c:v>
              </c:pt>
              <c:pt idx="16">
                <c:v>0.75</c:v>
              </c:pt>
              <c:pt idx="17">
                <c:v>0.75</c:v>
              </c:pt>
              <c:pt idx="18">
                <c:v>0.75</c:v>
              </c:pt>
              <c:pt idx="19">
                <c:v>1.25</c:v>
              </c:pt>
              <c:pt idx="20">
                <c:v>0.75</c:v>
              </c:pt>
              <c:pt idx="21">
                <c:v>0.75</c:v>
              </c:pt>
              <c:pt idx="22">
                <c:v>0.75</c:v>
              </c:pt>
            </c:numLit>
          </c:xVal>
          <c:yVal>
            <c:numLit>
              <c:ptCount val="23"/>
              <c:pt idx="0">
                <c:v>0.4226398844965964</c:v>
              </c:pt>
              <c:pt idx="1">
                <c:v>0.4226398844965964</c:v>
              </c:pt>
              <c:pt idx="2">
                <c:v>0.4226398844965964</c:v>
              </c:pt>
              <c:pt idx="3">
                <c:v>0.39795101911427044</c:v>
              </c:pt>
              <c:pt idx="4">
                <c:v>0.39795101911427044</c:v>
              </c:pt>
              <c:pt idx="5">
                <c:v>0.39795101911427044</c:v>
              </c:pt>
              <c:pt idx="6">
                <c:v>0.39795101911427044</c:v>
              </c:pt>
              <c:pt idx="7">
                <c:v>0.38568414190038547</c:v>
              </c:pt>
              <c:pt idx="8">
                <c:v>0.3747074666997265</c:v>
              </c:pt>
              <c:pt idx="9">
                <c:v>0.3747074666997265</c:v>
              </c:pt>
              <c:pt idx="10">
                <c:v>0.3747074666997265</c:v>
              </c:pt>
              <c:pt idx="11">
                <c:v>0.3747074666997265</c:v>
              </c:pt>
              <c:pt idx="12">
                <c:v>0.3747074666997265</c:v>
              </c:pt>
              <c:pt idx="13">
                <c:v>0.3747074666997265</c:v>
              </c:pt>
              <c:pt idx="14">
                <c:v>0.3747074666997265</c:v>
              </c:pt>
              <c:pt idx="15">
                <c:v>0.3747074666997265</c:v>
              </c:pt>
              <c:pt idx="16">
                <c:v>0.3747074666997265</c:v>
              </c:pt>
              <c:pt idx="17">
                <c:v>0.3747074666997265</c:v>
              </c:pt>
              <c:pt idx="18">
                <c:v>0.38568414190038547</c:v>
              </c:pt>
              <c:pt idx="19">
                <c:v>0.38568414190038547</c:v>
              </c:pt>
              <c:pt idx="20">
                <c:v>0.38568414190038547</c:v>
              </c:pt>
              <c:pt idx="21">
                <c:v>0.39795101911427044</c:v>
              </c:pt>
              <c:pt idx="22">
                <c:v>0.39795101911427044</c:v>
              </c:pt>
            </c:numLit>
          </c:yVal>
          <c:smooth val="0"/>
        </c:ser>
        <c:ser>
          <c:idx val="4"/>
          <c:order val="4"/>
          <c:tx>
            <c:v/>
          </c:tx>
          <c:spPr>
            <a:ln w="6350">
              <a:solidFill>
                <a:srgbClr val="A7DA7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3"/>
              <c:pt idx="0">
                <c:v>1.9</c:v>
              </c:pt>
              <c:pt idx="1">
                <c:v>2.1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2.25</c:v>
              </c:pt>
              <c:pt idx="8">
                <c:v>2.25</c:v>
              </c:pt>
              <c:pt idx="9">
                <c:v>2.25</c:v>
              </c:pt>
              <c:pt idx="10">
                <c:v>2</c:v>
              </c:pt>
              <c:pt idx="11">
                <c:v>2</c:v>
              </c:pt>
              <c:pt idx="12">
                <c:v>2.1</c:v>
              </c:pt>
              <c:pt idx="13">
                <c:v>1.9</c:v>
              </c:pt>
              <c:pt idx="14">
                <c:v>2</c:v>
              </c:pt>
              <c:pt idx="15">
                <c:v>2</c:v>
              </c:pt>
              <c:pt idx="16">
                <c:v>1.75</c:v>
              </c:pt>
              <c:pt idx="17">
                <c:v>1.75</c:v>
              </c:pt>
              <c:pt idx="18">
                <c:v>1.75</c:v>
              </c:pt>
              <c:pt idx="19">
                <c:v>2.25</c:v>
              </c:pt>
              <c:pt idx="20">
                <c:v>1.75</c:v>
              </c:pt>
              <c:pt idx="21">
                <c:v>1.75</c:v>
              </c:pt>
              <c:pt idx="22">
                <c:v>1.75</c:v>
              </c:pt>
            </c:numLit>
          </c:xVal>
          <c:yVal>
            <c:numLit>
              <c:ptCount val="23"/>
              <c:pt idx="0">
                <c:v>0.001847923946252427</c:v>
              </c:pt>
              <c:pt idx="1">
                <c:v>0.001847923946252427</c:v>
              </c:pt>
              <c:pt idx="2">
                <c:v>0.001847923946252427</c:v>
              </c:pt>
              <c:pt idx="3">
                <c:v>0.001847923946252427</c:v>
              </c:pt>
              <c:pt idx="4">
                <c:v>0.001847923946252427</c:v>
              </c:pt>
              <c:pt idx="5">
                <c:v>0.001847923946252427</c:v>
              </c:pt>
              <c:pt idx="6">
                <c:v>0.001847923946252427</c:v>
              </c:pt>
              <c:pt idx="7">
                <c:v>0.0008766699391216302</c:v>
              </c:pt>
              <c:pt idx="8">
                <c:v>0.00037208321382453826</c:v>
              </c:pt>
              <c:pt idx="9">
                <c:v>0.00037208321382453826</c:v>
              </c:pt>
              <c:pt idx="10">
                <c:v>0.00037208321382453826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0.00037208321382453826</c:v>
              </c:pt>
              <c:pt idx="16">
                <c:v>0.00037208321382453826</c:v>
              </c:pt>
              <c:pt idx="17">
                <c:v>0.00037208321382453826</c:v>
              </c:pt>
              <c:pt idx="18">
                <c:v>0.0008766699391216302</c:v>
              </c:pt>
              <c:pt idx="19">
                <c:v>0.0008766699391216302</c:v>
              </c:pt>
              <c:pt idx="20">
                <c:v>0.0008766699391216302</c:v>
              </c:pt>
              <c:pt idx="21">
                <c:v>0.001847923946252427</c:v>
              </c:pt>
              <c:pt idx="22">
                <c:v>0.001847923946252427</c:v>
              </c:pt>
            </c:numLit>
          </c:yVal>
          <c:smooth val="0"/>
        </c:ser>
        <c:ser>
          <c:idx val="5"/>
          <c:order val="5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7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p=0.009*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1</c:v>
              </c:pt>
              <c:pt idx="1">
                <c:v>1</c:v>
              </c:pt>
              <c:pt idx="2">
                <c:v>1.5</c:v>
              </c:pt>
              <c:pt idx="3">
                <c:v>2</c:v>
              </c:pt>
              <c:pt idx="4">
                <c:v>2</c:v>
              </c:pt>
            </c:numLit>
          </c:xVal>
          <c:yVal>
            <c:numLit>
              <c:ptCount val="5"/>
              <c:pt idx="0">
                <c:v>0.46285714285714286</c:v>
              </c:pt>
              <c:pt idx="1">
                <c:v>0.4757142857142857</c:v>
              </c:pt>
              <c:pt idx="2">
                <c:v>0.4757142857142857</c:v>
              </c:pt>
              <c:pt idx="3">
                <c:v>0.4757142857142857</c:v>
              </c:pt>
              <c:pt idx="4">
                <c:v>0.46285714285714286</c:v>
              </c:pt>
            </c:numLit>
          </c:yVal>
          <c:smooth val="0"/>
        </c:ser>
        <c:ser>
          <c:idx val="6"/>
          <c:order val="6"/>
          <c:tx>
            <c:v/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2"/>
              <c:pt idx="0">
                <c:v>1</c:v>
              </c:pt>
              <c:pt idx="1">
                <c:v>2</c:v>
              </c:pt>
            </c:numLit>
          </c:xVal>
          <c:yVal>
            <c:numLit>
              <c:ptCount val="2"/>
              <c:pt idx="0">
                <c:v>0.0135</c:v>
              </c:pt>
              <c:pt idx="1">
                <c:v>0.0135</c:v>
              </c:pt>
            </c:numLit>
          </c:yVal>
          <c:smooth val="0"/>
        </c:ser>
        <c:axId val="13331708"/>
        <c:axId val="52876509"/>
      </c:scatterChart>
      <c:valAx>
        <c:axId val="13331708"/>
        <c:scaling>
          <c:orientation val="minMax"/>
          <c:max val="2.5"/>
          <c:min val="0.5"/>
        </c:scaling>
        <c:axPos val="b"/>
        <c:delete val="0"/>
        <c:numFmt formatCode="General" sourceLinked="0"/>
        <c:majorTickMark val="none"/>
        <c:minorTickMark val="none"/>
        <c:tickLblPos val="none"/>
        <c:spPr>
          <a:ln w="6350">
            <a:noFill/>
          </a:ln>
        </c:spPr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52876509"/>
        <c:crosses val="autoZero"/>
        <c:crossBetween val="midCat"/>
        <c:dispUnits/>
      </c:valAx>
      <c:valAx>
        <c:axId val="52876509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Arial"/>
                    <a:ea typeface="Arial"/>
                    <a:cs typeface="Arial"/>
                  </a:rPr>
                  <a:t>Surface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13331708"/>
        <c:crossesAt val="0.5"/>
        <c:crossBetween val="midCat"/>
        <c:dispUnits/>
      </c:valAx>
      <c:spPr>
        <a:ln w="25400"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Means &amp; Standard error
(Surface)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5875"/>
          <c:w val="0.8945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A9D18E"/>
            </a:solidFill>
            <a:ln>
              <a:solidFill>
                <a:srgbClr val="A9D18E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Lit>
                <c:ptCount val="2"/>
                <c:pt idx="0">
                  <c:v>0.05239970533457727</c:v>
                </c:pt>
                <c:pt idx="1">
                  <c:v>0.014119658713297572</c:v>
                </c:pt>
              </c:numLit>
            </c:plus>
            <c:minus>
              <c:numLit>
                <c:ptCount val="2"/>
                <c:pt idx="0">
                  <c:v>0</c:v>
                </c:pt>
                <c:pt idx="1">
                  <c:v>0</c:v>
                </c:pt>
              </c:numLit>
            </c:minus>
            <c:noEndCap val="0"/>
          </c:errBars>
          <c:cat>
            <c:strLit>
              <c:ptCount val="2"/>
              <c:pt idx="0">
                <c:v>A</c:v>
              </c:pt>
              <c:pt idx="1">
                <c:v>B</c:v>
              </c:pt>
            </c:strLit>
          </c:cat>
          <c:val>
            <c:numLit>
              <c:ptCount val="2"/>
              <c:pt idx="0">
                <c:v>0.34345587044233544</c:v>
              </c:pt>
              <c:pt idx="1">
                <c:v>0.014890420152516569</c:v>
              </c:pt>
            </c:numLit>
          </c:val>
        </c:ser>
        <c:overlap val="-30"/>
        <c:gapWidth val="60"/>
        <c:axId val="6126534"/>
        <c:axId val="55138807"/>
      </c:barChart>
      <c:scatterChart>
        <c:scatterStyle val="lineMarker"/>
        <c:varyColors val="0"/>
        <c:ser>
          <c:idx val="1"/>
          <c:order val="1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7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p=0.009*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1</c:v>
              </c:pt>
              <c:pt idx="1">
                <c:v>1</c:v>
              </c:pt>
              <c:pt idx="2">
                <c:v>1.5</c:v>
              </c:pt>
              <c:pt idx="3">
                <c:v>2</c:v>
              </c:pt>
              <c:pt idx="4">
                <c:v>2</c:v>
              </c:pt>
            </c:numLit>
          </c:xVal>
          <c:yVal>
            <c:numLit>
              <c:ptCount val="5"/>
              <c:pt idx="0">
                <c:v>0.45642857142857146</c:v>
              </c:pt>
              <c:pt idx="1">
                <c:v>0.4692857142857143</c:v>
              </c:pt>
              <c:pt idx="2">
                <c:v>0.4692857142857143</c:v>
              </c:pt>
              <c:pt idx="3">
                <c:v>0.4692857142857143</c:v>
              </c:pt>
              <c:pt idx="4">
                <c:v>0.45642857142857146</c:v>
              </c:pt>
            </c:numLit>
          </c:yVal>
          <c:smooth val="0"/>
        </c:ser>
        <c:axId val="26487216"/>
        <c:axId val="37058353"/>
      </c:scatterChart>
      <c:catAx>
        <c:axId val="6126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Arial"/>
                    <a:ea typeface="Arial"/>
                    <a:cs typeface="Arial"/>
                  </a:rPr>
                  <a:t>Samples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55138807"/>
        <c:crosses val="autoZero"/>
        <c:auto val="1"/>
        <c:lblOffset val="100"/>
        <c:noMultiLvlLbl val="0"/>
      </c:catAx>
      <c:valAx>
        <c:axId val="55138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Arial"/>
                    <a:ea typeface="Arial"/>
                    <a:cs typeface="Arial"/>
                  </a:rPr>
                  <a:t>Surface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6126534"/>
        <c:crosses val="autoZero"/>
        <c:crossBetween val="between"/>
        <c:dispUnits/>
      </c:valAx>
      <c:valAx>
        <c:axId val="26487216"/>
        <c:scaling>
          <c:orientation val="minMax"/>
          <c:max val="2.5"/>
          <c:min val="0.5"/>
        </c:scaling>
        <c:axPos val="b"/>
        <c:delete val="0"/>
        <c:numFmt formatCode="General" sourceLinked="1"/>
        <c:majorTickMark val="none"/>
        <c:minorTickMark val="none"/>
        <c:tickLblPos val="none"/>
        <c:spPr>
          <a:noFill/>
          <a:ln w="6350">
            <a:noFill/>
            <a:prstDash val="solid"/>
            <a:round/>
          </a:ln>
        </c:spPr>
        <c:crossAx val="37058353"/>
        <c:crosses val="max"/>
        <c:crossBetween val="midCat"/>
        <c:dispUnits/>
      </c:valAx>
      <c:valAx>
        <c:axId val="37058353"/>
        <c:scaling>
          <c:orientation val="minMax"/>
        </c:scaling>
        <c:axPos val="l"/>
        <c:delete val="1"/>
        <c:majorTickMark val="out"/>
        <c:minorTickMark val="none"/>
        <c:tickLblPos val="nextTo"/>
        <c:crossAx val="26487216"/>
        <c:crosses val="max"/>
        <c:crossBetween val="midCat"/>
        <c:dispUnits/>
      </c:valAx>
      <c:spPr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Box plots (Subsurface)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175"/>
          <c:w val="0.8945"/>
          <c:h val="0.72175"/>
        </c:manualLayout>
      </c:layout>
      <c:scatterChart>
        <c:scatterStyle val="lineMarker"/>
        <c:varyColors val="0"/>
        <c:ser>
          <c:idx val="0"/>
          <c:order val="0"/>
          <c:tx>
            <c:v>Mean</c:v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FF373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1</c:v>
              </c:pt>
              <c:pt idx="1">
                <c:v>2</c:v>
              </c:pt>
            </c:numLit>
          </c:xVal>
          <c:yVal>
            <c:numLit>
              <c:ptCount val="2"/>
              <c:pt idx="0">
                <c:v>0.045413976856930924</c:v>
              </c:pt>
              <c:pt idx="1">
                <c:v>0.009433444876341315</c:v>
              </c:pt>
            </c:numLit>
          </c:yVal>
          <c:smooth val="0"/>
        </c:ser>
        <c:ser>
          <c:idx val="1"/>
          <c:order val="1"/>
          <c:tx>
            <c:v>Minimum/Maximum</c:v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4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</c:numLit>
          </c:xVal>
          <c:yVal>
            <c:numLit>
              <c:ptCount val="4"/>
              <c:pt idx="0">
                <c:v>0.006210916575621477</c:v>
              </c:pt>
              <c:pt idx="1">
                <c:v>0.09779717163627961</c:v>
              </c:pt>
              <c:pt idx="2">
                <c:v>1.1397036588134499E-05</c:v>
              </c:pt>
              <c:pt idx="3">
                <c:v>0.04431362948993747</c:v>
              </c:pt>
            </c:numLit>
          </c:yVal>
          <c:smooth val="0"/>
        </c:ser>
        <c:ser>
          <c:idx val="2"/>
          <c:order val="2"/>
          <c:tx>
            <c:v>Outliers(2)</c:v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2</c:v>
              </c:pt>
            </c:numLit>
          </c:xVal>
          <c:yVal>
            <c:numLit>
              <c:ptCount val="1"/>
              <c:pt idx="0">
                <c:v>0.04431362948993747</c:v>
              </c:pt>
            </c:numLit>
          </c:yVal>
          <c:smooth val="0"/>
        </c:ser>
        <c:ser>
          <c:idx val="3"/>
          <c:order val="3"/>
          <c:tx>
            <c:v/>
          </c:tx>
          <c:spPr>
            <a:ln w="6350">
              <a:solidFill>
                <a:srgbClr val="A7DA7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3"/>
              <c:pt idx="0">
                <c:v>0.9</c:v>
              </c:pt>
              <c:pt idx="1">
                <c:v>1.1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1.25</c:v>
              </c:pt>
              <c:pt idx="8">
                <c:v>1.25</c:v>
              </c:pt>
              <c:pt idx="9">
                <c:v>1.25</c:v>
              </c:pt>
              <c:pt idx="10">
                <c:v>1</c:v>
              </c:pt>
              <c:pt idx="11">
                <c:v>1</c:v>
              </c:pt>
              <c:pt idx="12">
                <c:v>1.1</c:v>
              </c:pt>
              <c:pt idx="13">
                <c:v>0.9</c:v>
              </c:pt>
              <c:pt idx="14">
                <c:v>1</c:v>
              </c:pt>
              <c:pt idx="15">
                <c:v>1</c:v>
              </c:pt>
              <c:pt idx="16">
                <c:v>0.75</c:v>
              </c:pt>
              <c:pt idx="17">
                <c:v>0.75</c:v>
              </c:pt>
              <c:pt idx="18">
                <c:v>0.75</c:v>
              </c:pt>
              <c:pt idx="19">
                <c:v>1.25</c:v>
              </c:pt>
              <c:pt idx="20">
                <c:v>0.75</c:v>
              </c:pt>
              <c:pt idx="21">
                <c:v>0.75</c:v>
              </c:pt>
              <c:pt idx="22">
                <c:v>0.75</c:v>
              </c:pt>
            </c:numLit>
          </c:xVal>
          <c:yVal>
            <c:numLit>
              <c:ptCount val="23"/>
              <c:pt idx="0">
                <c:v>0.09779717163627961</c:v>
              </c:pt>
              <c:pt idx="1">
                <c:v>0.09779717163627961</c:v>
              </c:pt>
              <c:pt idx="2">
                <c:v>0.09779717163627961</c:v>
              </c:pt>
              <c:pt idx="3">
                <c:v>0.06783092131513482</c:v>
              </c:pt>
              <c:pt idx="4">
                <c:v>0.06783092131513482</c:v>
              </c:pt>
              <c:pt idx="5">
                <c:v>0.06783092131513482</c:v>
              </c:pt>
              <c:pt idx="6">
                <c:v>0.06783092131513482</c:v>
              </c:pt>
              <c:pt idx="7">
                <c:v>0.03338220054702267</c:v>
              </c:pt>
              <c:pt idx="8">
                <c:v>0.021848674210596043</c:v>
              </c:pt>
              <c:pt idx="9">
                <c:v>0.021848674210596043</c:v>
              </c:pt>
              <c:pt idx="10">
                <c:v>0.021848674210596043</c:v>
              </c:pt>
              <c:pt idx="11">
                <c:v>0.006210916575621477</c:v>
              </c:pt>
              <c:pt idx="12">
                <c:v>0.006210916575621477</c:v>
              </c:pt>
              <c:pt idx="13">
                <c:v>0.006210916575621477</c:v>
              </c:pt>
              <c:pt idx="14">
                <c:v>0.006210916575621477</c:v>
              </c:pt>
              <c:pt idx="15">
                <c:v>0.021848674210596043</c:v>
              </c:pt>
              <c:pt idx="16">
                <c:v>0.021848674210596043</c:v>
              </c:pt>
              <c:pt idx="17">
                <c:v>0.021848674210596043</c:v>
              </c:pt>
              <c:pt idx="18">
                <c:v>0.03338220054702267</c:v>
              </c:pt>
              <c:pt idx="19">
                <c:v>0.03338220054702267</c:v>
              </c:pt>
              <c:pt idx="20">
                <c:v>0.03338220054702267</c:v>
              </c:pt>
              <c:pt idx="21">
                <c:v>0.06783092131513482</c:v>
              </c:pt>
              <c:pt idx="22">
                <c:v>0.06783092131513482</c:v>
              </c:pt>
            </c:numLit>
          </c:yVal>
          <c:smooth val="0"/>
        </c:ser>
        <c:ser>
          <c:idx val="4"/>
          <c:order val="4"/>
          <c:tx>
            <c:v/>
          </c:tx>
          <c:spPr>
            <a:ln w="6350">
              <a:solidFill>
                <a:srgbClr val="A7DA7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3"/>
              <c:pt idx="0">
                <c:v>1.9</c:v>
              </c:pt>
              <c:pt idx="1">
                <c:v>2.1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2.25</c:v>
              </c:pt>
              <c:pt idx="8">
                <c:v>2.25</c:v>
              </c:pt>
              <c:pt idx="9">
                <c:v>2.25</c:v>
              </c:pt>
              <c:pt idx="10">
                <c:v>2</c:v>
              </c:pt>
              <c:pt idx="11">
                <c:v>2</c:v>
              </c:pt>
              <c:pt idx="12">
                <c:v>2.1</c:v>
              </c:pt>
              <c:pt idx="13">
                <c:v>1.9</c:v>
              </c:pt>
              <c:pt idx="14">
                <c:v>2</c:v>
              </c:pt>
              <c:pt idx="15">
                <c:v>2</c:v>
              </c:pt>
              <c:pt idx="16">
                <c:v>1.75</c:v>
              </c:pt>
              <c:pt idx="17">
                <c:v>1.75</c:v>
              </c:pt>
              <c:pt idx="18">
                <c:v>1.75</c:v>
              </c:pt>
              <c:pt idx="19">
                <c:v>2.25</c:v>
              </c:pt>
              <c:pt idx="20">
                <c:v>1.75</c:v>
              </c:pt>
              <c:pt idx="21">
                <c:v>1.75</c:v>
              </c:pt>
              <c:pt idx="22">
                <c:v>1.75</c:v>
              </c:pt>
            </c:numLit>
          </c:xVal>
          <c:yVal>
            <c:numLit>
              <c:ptCount val="23"/>
              <c:pt idx="0">
                <c:v>0.0024280116380540444</c:v>
              </c:pt>
              <c:pt idx="1">
                <c:v>0.0024280116380540444</c:v>
              </c:pt>
              <c:pt idx="2">
                <c:v>0.0024280116380540444</c:v>
              </c:pt>
              <c:pt idx="3">
                <c:v>0.0024280116380540444</c:v>
              </c:pt>
              <c:pt idx="4">
                <c:v>0.0024280116380540444</c:v>
              </c:pt>
              <c:pt idx="5">
                <c:v>0.0024280116380540444</c:v>
              </c:pt>
              <c:pt idx="6">
                <c:v>0.0024280116380540444</c:v>
              </c:pt>
              <c:pt idx="7">
                <c:v>0.0003974675638077623</c:v>
              </c:pt>
              <c:pt idx="8">
                <c:v>1.6718653319162605E-05</c:v>
              </c:pt>
              <c:pt idx="9">
                <c:v>1.6718653319162605E-05</c:v>
              </c:pt>
              <c:pt idx="10">
                <c:v>1.6718653319162605E-05</c:v>
              </c:pt>
              <c:pt idx="11">
                <c:v>1.1397036588134499E-05</c:v>
              </c:pt>
              <c:pt idx="12">
                <c:v>1.1397036588134499E-05</c:v>
              </c:pt>
              <c:pt idx="13">
                <c:v>1.1397036588134499E-05</c:v>
              </c:pt>
              <c:pt idx="14">
                <c:v>1.1397036588134499E-05</c:v>
              </c:pt>
              <c:pt idx="15">
                <c:v>1.6718653319162605E-05</c:v>
              </c:pt>
              <c:pt idx="16">
                <c:v>1.6718653319162605E-05</c:v>
              </c:pt>
              <c:pt idx="17">
                <c:v>1.6718653319162605E-05</c:v>
              </c:pt>
              <c:pt idx="18">
                <c:v>0.0003974675638077623</c:v>
              </c:pt>
              <c:pt idx="19">
                <c:v>0.0003974675638077623</c:v>
              </c:pt>
              <c:pt idx="20">
                <c:v>0.0003974675638077623</c:v>
              </c:pt>
              <c:pt idx="21">
                <c:v>0.0024280116380540444</c:v>
              </c:pt>
              <c:pt idx="22">
                <c:v>0.0024280116380540444</c:v>
              </c:pt>
            </c:numLit>
          </c:yVal>
          <c:smooth val="0"/>
        </c:ser>
        <c:ser>
          <c:idx val="5"/>
          <c:order val="5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7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p=0.047*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1</c:v>
              </c:pt>
              <c:pt idx="1">
                <c:v>1</c:v>
              </c:pt>
              <c:pt idx="2">
                <c:v>1.5</c:v>
              </c:pt>
              <c:pt idx="3">
                <c:v>2</c:v>
              </c:pt>
              <c:pt idx="4">
                <c:v>2</c:v>
              </c:pt>
            </c:numLit>
          </c:xVal>
          <c:yVal>
            <c:numLit>
              <c:ptCount val="5"/>
              <c:pt idx="0">
                <c:v>0.10285714285714288</c:v>
              </c:pt>
              <c:pt idx="1">
                <c:v>0.10571428571428575</c:v>
              </c:pt>
              <c:pt idx="2">
                <c:v>0.10571428571428575</c:v>
              </c:pt>
              <c:pt idx="3">
                <c:v>0.10571428571428575</c:v>
              </c:pt>
              <c:pt idx="4">
                <c:v>0.10285714285714288</c:v>
              </c:pt>
            </c:numLit>
          </c:yVal>
          <c:smooth val="0"/>
        </c:ser>
        <c:ser>
          <c:idx val="6"/>
          <c:order val="6"/>
          <c:tx>
            <c:v/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2"/>
              <c:pt idx="0">
                <c:v>1</c:v>
              </c:pt>
              <c:pt idx="1">
                <c:v>2</c:v>
              </c:pt>
            </c:numLit>
          </c:xVal>
          <c:yVal>
            <c:numLit>
              <c:ptCount val="2"/>
              <c:pt idx="0">
                <c:v>0.0030000000000000005</c:v>
              </c:pt>
              <c:pt idx="1">
                <c:v>0.0030000000000000005</c:v>
              </c:pt>
            </c:numLit>
          </c:yVal>
          <c:smooth val="0"/>
        </c:ser>
        <c:axId val="65089722"/>
        <c:axId val="48936587"/>
      </c:scatterChart>
      <c:valAx>
        <c:axId val="65089722"/>
        <c:scaling>
          <c:orientation val="minMax"/>
          <c:max val="2.5"/>
          <c:min val="0.5"/>
        </c:scaling>
        <c:axPos val="b"/>
        <c:delete val="0"/>
        <c:numFmt formatCode="General" sourceLinked="0"/>
        <c:majorTickMark val="none"/>
        <c:minorTickMark val="none"/>
        <c:tickLblPos val="none"/>
        <c:spPr>
          <a:ln w="6350">
            <a:noFill/>
          </a:ln>
        </c:spPr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48936587"/>
        <c:crosses val="autoZero"/>
        <c:crossBetween val="midCat"/>
        <c:dispUnits/>
      </c:valAx>
      <c:valAx>
        <c:axId val="48936587"/>
        <c:scaling>
          <c:orientation val="minMax"/>
          <c:max val="0.12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Arial"/>
                    <a:ea typeface="Arial"/>
                    <a:cs typeface="Arial"/>
                  </a:rPr>
                  <a:t>Subsurface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65089722"/>
        <c:crossesAt val="0.5"/>
        <c:crossBetween val="midCat"/>
        <c:dispUnits/>
      </c:valAx>
      <c:spPr>
        <a:ln w="25400"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Means &amp; Standard error
(Subsurface)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5875"/>
          <c:w val="0.8945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A9D18E"/>
            </a:solidFill>
            <a:ln>
              <a:solidFill>
                <a:srgbClr val="A9D18E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Lit>
                <c:ptCount val="2"/>
                <c:pt idx="0">
                  <c:v>0.016558208779240576</c:v>
                </c:pt>
                <c:pt idx="1">
                  <c:v>0.008731557643917899</c:v>
                </c:pt>
              </c:numLit>
            </c:plus>
            <c:minus>
              <c:numLit>
                <c:ptCount val="2"/>
                <c:pt idx="0">
                  <c:v>0</c:v>
                </c:pt>
                <c:pt idx="1">
                  <c:v>0</c:v>
                </c:pt>
              </c:numLit>
            </c:minus>
            <c:noEndCap val="0"/>
          </c:errBars>
          <c:cat>
            <c:strLit>
              <c:ptCount val="2"/>
              <c:pt idx="0">
                <c:v>A</c:v>
              </c:pt>
              <c:pt idx="1">
                <c:v>B</c:v>
              </c:pt>
            </c:strLit>
          </c:cat>
          <c:val>
            <c:numLit>
              <c:ptCount val="2"/>
              <c:pt idx="0">
                <c:v>0.045413976856930924</c:v>
              </c:pt>
              <c:pt idx="1">
                <c:v>0.009433444876341315</c:v>
              </c:pt>
            </c:numLit>
          </c:val>
        </c:ser>
        <c:overlap val="-30"/>
        <c:gapWidth val="60"/>
        <c:axId val="37776100"/>
        <c:axId val="4440581"/>
      </c:barChart>
      <c:scatterChart>
        <c:scatterStyle val="lineMarker"/>
        <c:varyColors val="0"/>
        <c:ser>
          <c:idx val="1"/>
          <c:order val="1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67"/>
                  <c:y val="-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p=0.047*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Lit>
              <c:ptCount val="5"/>
              <c:pt idx="0">
                <c:v>1</c:v>
              </c:pt>
              <c:pt idx="1">
                <c:v>1</c:v>
              </c:pt>
              <c:pt idx="2">
                <c:v>1.5</c:v>
              </c:pt>
              <c:pt idx="3">
                <c:v>2</c:v>
              </c:pt>
              <c:pt idx="4">
                <c:v>2</c:v>
              </c:pt>
            </c:numLit>
          </c:xVal>
          <c:yVal>
            <c:numLit>
              <c:ptCount val="5"/>
              <c:pt idx="0">
                <c:v>0.07100000000000001</c:v>
              </c:pt>
              <c:pt idx="1">
                <c:v>0.07300000000000001</c:v>
              </c:pt>
              <c:pt idx="2">
                <c:v>0.07300000000000001</c:v>
              </c:pt>
              <c:pt idx="3">
                <c:v>0.07300000000000001</c:v>
              </c:pt>
              <c:pt idx="4">
                <c:v>0.07100000000000001</c:v>
              </c:pt>
            </c:numLit>
          </c:yVal>
          <c:smooth val="0"/>
        </c:ser>
        <c:axId val="39965230"/>
        <c:axId val="24142751"/>
      </c:scatterChart>
      <c:catAx>
        <c:axId val="37776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Arial"/>
                    <a:ea typeface="Arial"/>
                    <a:cs typeface="Arial"/>
                  </a:rPr>
                  <a:t>Samples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4440581"/>
        <c:crosses val="autoZero"/>
        <c:auto val="1"/>
        <c:lblOffset val="100"/>
        <c:noMultiLvlLbl val="0"/>
      </c:catAx>
      <c:valAx>
        <c:axId val="4440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Arial"/>
                    <a:ea typeface="Arial"/>
                    <a:cs typeface="Arial"/>
                  </a:rPr>
                  <a:t>Subsurface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37776100"/>
        <c:crosses val="autoZero"/>
        <c:crossBetween val="between"/>
        <c:dispUnits/>
      </c:valAx>
      <c:valAx>
        <c:axId val="39965230"/>
        <c:scaling>
          <c:orientation val="minMax"/>
          <c:max val="2.5"/>
          <c:min val="0.5"/>
        </c:scaling>
        <c:axPos val="b"/>
        <c:delete val="0"/>
        <c:numFmt formatCode="General" sourceLinked="1"/>
        <c:majorTickMark val="none"/>
        <c:minorTickMark val="none"/>
        <c:tickLblPos val="none"/>
        <c:spPr>
          <a:noFill/>
          <a:ln w="6350">
            <a:noFill/>
            <a:prstDash val="solid"/>
            <a:round/>
          </a:ln>
        </c:spPr>
        <c:crossAx val="24142751"/>
        <c:crosses val="max"/>
        <c:crossBetween val="midCat"/>
        <c:dispUnits/>
      </c:valAx>
      <c:valAx>
        <c:axId val="24142751"/>
        <c:scaling>
          <c:orientation val="minMax"/>
        </c:scaling>
        <c:axPos val="l"/>
        <c:delete val="1"/>
        <c:majorTickMark val="out"/>
        <c:minorTickMark val="none"/>
        <c:tickLblPos val="nextTo"/>
        <c:crossAx val="39965230"/>
        <c:crosses val="max"/>
        <c:crossBetween val="midCat"/>
        <c:dispUnits/>
      </c:valAx>
      <c:spPr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p-values (Kruskal-Wallis)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Kruskal-Wallis</c:v>
          </c:tx>
          <c:spPr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spPr>
              <a:solidFill>
                <a:srgbClr val="50D214"/>
              </a:solidFill>
              <a:ln w="25400">
                <a:solidFill>
                  <a:srgbClr val="989898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'Kruskal-SurfacewrtSubsurface'!$B$162:$B$163</c:f>
              <c:strCache/>
            </c:strRef>
          </c:cat>
          <c:val>
            <c:numRef>
              <c:f>'Kruskal-SurfacewrtSubsurface'!$C$162:$C$163</c:f>
              <c:numCache/>
            </c:numRef>
          </c:val>
        </c:ser>
        <c:overlap val="-30"/>
        <c:gapWidth val="60"/>
        <c:axId val="15958168"/>
        <c:axId val="9405785"/>
      </c:barChart>
      <c:scatterChart>
        <c:scatterStyle val="lineMarker"/>
        <c:varyColors val="0"/>
        <c:ser>
          <c:idx val="1"/>
          <c:order val="1"/>
          <c:tx>
            <c:v/>
          </c:tx>
          <c:spPr>
            <a:ln w="6350">
              <a:solidFill>
                <a:srgbClr val="787878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2</c:v>
              </c:pt>
            </c:numLit>
          </c:xVal>
          <c:yVal>
            <c:numLit>
              <c:ptCount val="2"/>
              <c:pt idx="0">
                <c:v>0.05</c:v>
              </c:pt>
              <c:pt idx="1">
                <c:v>0.05</c:v>
              </c:pt>
            </c:numLit>
          </c:yVal>
          <c:smooth val="0"/>
        </c:ser>
        <c:axId val="17543202"/>
        <c:axId val="23671091"/>
      </c:scatterChart>
      <c:catAx>
        <c:axId val="15958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Arial"/>
                    <a:ea typeface="Arial"/>
                    <a:cs typeface="Arial"/>
                  </a:rPr>
                  <a:t>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9405785"/>
        <c:crosses val="autoZero"/>
        <c:auto val="1"/>
        <c:lblOffset val="100"/>
        <c:noMultiLvlLbl val="0"/>
      </c:catAx>
      <c:valAx>
        <c:axId val="94057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Arial"/>
                    <a:ea typeface="Arial"/>
                    <a:cs typeface="Arial"/>
                  </a:rPr>
                  <a:t>p-values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15958168"/>
        <c:crosses val="autoZero"/>
        <c:crossBetween val="between"/>
        <c:dispUnits/>
      </c:valAx>
      <c:valAx>
        <c:axId val="17543202"/>
        <c:scaling>
          <c:orientation val="minMax"/>
          <c:max val="2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noFill/>
          <a:ln w="6350">
            <a:noFill/>
            <a:prstDash val="solid"/>
            <a:round/>
          </a:ln>
        </c:spPr>
        <c:crossAx val="23671091"/>
        <c:crosses val="max"/>
        <c:crossBetween val="midCat"/>
        <c:dispUnits/>
      </c:valAx>
      <c:valAx>
        <c:axId val="23671091"/>
        <c:scaling>
          <c:orientation val="minMax"/>
        </c:scaling>
        <c:axPos val="l"/>
        <c:delete val="1"/>
        <c:majorTickMark val="none"/>
        <c:minorTickMark val="none"/>
        <c:tickLblPos val="none"/>
        <c:crossAx val="17543202"/>
        <c:crosses val="max"/>
        <c:crossBetween val="midCat"/>
        <c:dispUnits/>
      </c:valAx>
      <c:spPr>
        <a:ln w="25400"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b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Proportions of microplastic sizes across sampling stations and sediment depths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'MP by Fraction'!$A$4</c:f>
              <c:strCache>
                <c:ptCount val="1"/>
                <c:pt idx="0">
                  <c:v>5.6mm</c:v>
                </c:pt>
              </c:strCache>
            </c:strRef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'MP by Fraction'!$B$2:$U$2</c:f>
              <c:strCache/>
            </c:strRef>
          </c:cat>
          <c:val>
            <c:numRef>
              <c:f>'MP by Fraction'!$B$4:$U$4</c:f>
              <c:numCache/>
            </c:numRef>
          </c:val>
        </c:ser>
        <c:ser>
          <c:idx val="1"/>
          <c:order val="1"/>
          <c:tx>
            <c:strRef>
              <c:f>'MP by Fraction'!$A$5</c:f>
              <c:strCache>
                <c:ptCount val="1"/>
                <c:pt idx="0">
                  <c:v>2mm</c:v>
                </c:pt>
              </c:strCache>
            </c:strRef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'MP by Fraction'!$B$2:$U$2</c:f>
              <c:strCache/>
            </c:strRef>
          </c:cat>
          <c:val>
            <c:numRef>
              <c:f>'MP by Fraction'!$B$5:$U$5</c:f>
              <c:numCache/>
            </c:numRef>
          </c:val>
        </c:ser>
        <c:ser>
          <c:idx val="2"/>
          <c:order val="2"/>
          <c:tx>
            <c:strRef>
              <c:f>'MP by Fraction'!$A$6</c:f>
              <c:strCache>
                <c:ptCount val="1"/>
                <c:pt idx="0">
                  <c:v>1mm</c:v>
                </c:pt>
              </c:strCache>
            </c:strRef>
          </c:tx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'MP by Fraction'!$B$2:$U$2</c:f>
              <c:strCache/>
            </c:strRef>
          </c:cat>
          <c:val>
            <c:numRef>
              <c:f>'MP by Fraction'!$B$6:$U$6</c:f>
              <c:numCache/>
            </c:numRef>
          </c:val>
        </c:ser>
        <c:overlap val="100"/>
        <c:axId val="44013094"/>
        <c:axId val="60573527"/>
      </c:barChart>
      <c:catAx>
        <c:axId val="44013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SAMPLE 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73527"/>
        <c:crosses val="autoZero"/>
        <c:auto val="1"/>
        <c:lblOffset val="100"/>
        <c:noMultiLvlLbl val="1"/>
      </c:catAx>
      <c:valAx>
        <c:axId val="60573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Mass (g)</a:t>
                </a:r>
              </a:p>
            </c:rich>
          </c:tx>
          <c:layout>
            <c:manualLayout>
              <c:xMode val="edge"/>
              <c:yMode val="edge"/>
              <c:x val="0.06425"/>
              <c:y val="0.2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13094"/>
        <c:crosses val="autoZero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b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b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Microplastic morphologies enumerated from the Chessel Bay Nature Reserve sediment</a:t>
            </a:r>
          </a:p>
        </c:rich>
      </c:tx>
      <c:layout>
        <c:manualLayout>
          <c:xMode val="edge"/>
          <c:yMode val="edge"/>
          <c:x val="0.0325"/>
          <c:y val="0.0472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'MP by morphology'!$C$27:$G$27</c:f>
              <c:strCache/>
            </c:strRef>
          </c:cat>
          <c:val>
            <c:numRef>
              <c:f>'MP by morphology'!$C$28:$G$28</c:f>
              <c:numCache/>
            </c:numRef>
          </c:val>
        </c:ser>
      </c:pieChart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'MPsediment ratio'!$I$3</c:f>
              <c:strCache>
                <c:ptCount val="1"/>
                <c:pt idx="0">
                  <c:v>% Mass of MP in sample</c:v>
                </c:pt>
              </c:strCache>
            </c:strRef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4472C4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C000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invertIfNegative val="1"/>
            <c:spPr>
              <a:solidFill>
                <a:srgbClr val="4472C4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C000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invertIfNegative val="1"/>
            <c:spPr>
              <a:solidFill>
                <a:srgbClr val="4472C4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invertIfNegative val="1"/>
            <c:spPr>
              <a:solidFill>
                <a:srgbClr val="4472C4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cmpd="sng">
                <a:solidFill>
                  <a:srgbClr val="000000"/>
                </a:solidFill>
              </a:ln>
            </c:spPr>
          </c:dPt>
          <c:dPt>
            <c:idx val="8"/>
            <c:invertIfNegative val="1"/>
            <c:spPr>
              <a:solidFill>
                <a:srgbClr val="4472C4"/>
              </a:solidFill>
              <a:ln cmpd="sng">
                <a:solidFill>
                  <a:srgbClr val="000000"/>
                </a:solidFill>
              </a:ln>
            </c:spPr>
          </c:dPt>
          <c:dPt>
            <c:idx val="9"/>
            <c:invertIfNegative val="1"/>
            <c:spPr>
              <a:solidFill>
                <a:srgbClr val="4472C4"/>
              </a:solidFill>
              <a:ln cmpd="sng">
                <a:solidFill>
                  <a:srgbClr val="000000"/>
                </a:solidFill>
              </a:ln>
            </c:spPr>
          </c:dPt>
          <c:dPt>
            <c:idx val="10"/>
            <c:invertIfNegative val="1"/>
            <c:spPr>
              <a:solidFill>
                <a:srgbClr val="4472C4"/>
              </a:solidFill>
              <a:ln cmpd="sng">
                <a:solidFill>
                  <a:srgbClr val="000000"/>
                </a:solidFill>
              </a:ln>
            </c:spPr>
          </c:dPt>
          <c:dPt>
            <c:idx val="11"/>
            <c:invertIfNegative val="1"/>
            <c:spPr>
              <a:solidFill>
                <a:srgbClr val="4472C4"/>
              </a:solidFill>
              <a:ln cmpd="sng">
                <a:solidFill>
                  <a:srgbClr val="000000"/>
                </a:solidFill>
              </a:ln>
            </c:spPr>
          </c:dPt>
          <c:dPt>
            <c:idx val="12"/>
            <c:invertIfNegative val="1"/>
            <c:spPr>
              <a:solidFill>
                <a:srgbClr val="4472C4"/>
              </a:solidFill>
              <a:ln cmpd="sng">
                <a:solidFill>
                  <a:srgbClr val="000000"/>
                </a:solidFill>
              </a:ln>
            </c:spPr>
          </c:dPt>
          <c:dPt>
            <c:idx val="13"/>
            <c:invertIfNegative val="1"/>
            <c:spPr>
              <a:solidFill>
                <a:srgbClr val="4472C4"/>
              </a:solidFill>
              <a:ln cmpd="sng">
                <a:solidFill>
                  <a:srgbClr val="000000"/>
                </a:solidFill>
              </a:ln>
            </c:spPr>
          </c:dPt>
          <c:dPt>
            <c:idx val="14"/>
            <c:invertIfNegative val="1"/>
            <c:spPr>
              <a:solidFill>
                <a:srgbClr val="4472C4"/>
              </a:solidFill>
              <a:ln cmpd="sng">
                <a:solidFill>
                  <a:srgbClr val="000000"/>
                </a:solidFill>
              </a:ln>
            </c:spPr>
          </c:dPt>
          <c:dPt>
            <c:idx val="15"/>
            <c:invertIfNegative val="1"/>
            <c:spPr>
              <a:solidFill>
                <a:srgbClr val="4472C4"/>
              </a:solidFill>
              <a:ln cmpd="sng">
                <a:solidFill>
                  <a:srgbClr val="000000"/>
                </a:solidFill>
              </a:ln>
            </c:spPr>
          </c:dPt>
          <c:dPt>
            <c:idx val="16"/>
            <c:invertIfNegative val="1"/>
            <c:spPr>
              <a:solidFill>
                <a:srgbClr val="4472C4"/>
              </a:solidFill>
              <a:ln cmpd="sng">
                <a:solidFill>
                  <a:srgbClr val="000000"/>
                </a:solidFill>
              </a:ln>
            </c:spPr>
          </c:dPt>
          <c:dPt>
            <c:idx val="17"/>
            <c:invertIfNegative val="1"/>
            <c:spPr>
              <a:solidFill>
                <a:srgbClr val="4472C4"/>
              </a:solidFill>
              <a:ln cmpd="sng">
                <a:solidFill>
                  <a:srgbClr val="000000"/>
                </a:solidFill>
              </a:ln>
            </c:spPr>
          </c:dPt>
          <c:dPt>
            <c:idx val="18"/>
            <c:invertIfNegative val="1"/>
            <c:spPr>
              <a:solidFill>
                <a:srgbClr val="4472C4"/>
              </a:solidFill>
              <a:ln cmpd="sng">
                <a:solidFill>
                  <a:srgbClr val="000000"/>
                </a:solidFill>
              </a:ln>
            </c:spPr>
          </c:dPt>
          <c:dPt>
            <c:idx val="19"/>
            <c:invertIfNegative val="1"/>
            <c:spPr>
              <a:solidFill>
                <a:srgbClr val="4472C4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'MPsediment ratio'!$B$5:$B$23</c:f>
              <c:strCache/>
            </c:strRef>
          </c:cat>
          <c:val>
            <c:numRef>
              <c:f>'MPsediment ratio'!$I$4:$I$23</c:f>
              <c:numCache/>
            </c:numRef>
          </c:val>
        </c:ser>
        <c:ser>
          <c:idx val="1"/>
          <c:order val="1"/>
          <c:tx>
            <c:strRef>
              <c:f>'MPsediment ratio'!$D$3</c:f>
              <c:strCache>
                <c:ptCount val="1"/>
                <c:pt idx="0">
                  <c:v>SAMPLE 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'MPsediment ratio'!$D$4:$D$23</c:f>
              <c:numCache/>
            </c:numRef>
          </c:val>
        </c:ser>
        <c:axId val="8290832"/>
        <c:axId val="7508625"/>
      </c:barChart>
      <c:catAx>
        <c:axId val="8290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solidFill>
            <a:schemeClr val="tx1"/>
          </a:solidFill>
        </c:spPr>
        <c:txPr>
          <a:bodyPr/>
          <a:lstStyle/>
          <a:p>
            <a:pPr>
              <a:defRPr lang="en-US" cap="none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08625"/>
        <c:crosses val="autoZero"/>
        <c:auto val="0"/>
        <c:lblOffset val="130"/>
        <c:tickLblSkip val="2"/>
        <c:tickMarkSkip val="2"/>
        <c:noMultiLvlLbl val="1"/>
      </c:catAx>
      <c:valAx>
        <c:axId val="7508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Mass of MP in 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delete val="0"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0832"/>
        <c:crosses val="autoZero"/>
        <c:crossBetween val="between"/>
        <c:dispUnits/>
      </c:valAx>
    </c:plotArea>
    <c:plotVisOnly val="1"/>
    <c:dispBlanksAs val="zero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b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Mass fraction of microplastics in the surface layer of Chessel Bay intertidal sediments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'MPsediment ratio'!$D$8:$D$23</c:f>
              <c:strCache/>
            </c:strRef>
          </c:cat>
          <c:val>
            <c:numRef>
              <c:f>'MPsediment ratio'!$I$8:$I$23</c:f>
              <c:numCache/>
            </c:numRef>
          </c:val>
        </c:ser>
        <c:axId val="468762"/>
        <c:axId val="4218859"/>
      </c:barChart>
      <c:catAx>
        <c:axId val="468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SAMPLE 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8859"/>
        <c:crosses val="autoZero"/>
        <c:auto val="1"/>
        <c:lblOffset val="100"/>
        <c:noMultiLvlLbl val="1"/>
      </c:catAx>
      <c:valAx>
        <c:axId val="4218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Mass of MP in 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delete val="0"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762"/>
        <c:crosses val="autoZero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b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25"/>
          <c:y val="0.16175"/>
          <c:w val="0.84725"/>
          <c:h val="0.7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'MPsediment ratio'!$I$3</c:f>
              <c:strCache>
                <c:ptCount val="1"/>
                <c:pt idx="0">
                  <c:v>% Mass of MP in sample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'MPsediment ratio'!$B$4:$B$23</c:f>
              <c:strCache/>
            </c:strRef>
          </c:cat>
          <c:val>
            <c:numRef>
              <c:f>'MPsediment ratio'!$I$4:$I$23</c:f>
              <c:numCache/>
            </c:numRef>
          </c:val>
        </c:ser>
        <c:overlap val="-27"/>
        <c:gapWidth val="219"/>
        <c:axId val="37969732"/>
        <c:axId val="6183269"/>
      </c:barChart>
      <c:catAx>
        <c:axId val="37969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Sampling Station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83269"/>
        <c:crosses val="autoZero"/>
        <c:auto val="1"/>
        <c:lblOffset val="100"/>
        <c:noMultiLvlLbl val="0"/>
      </c:catAx>
      <c:valAx>
        <c:axId val="6183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% (w/w) Microplastics in sediment</a:t>
                </a: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 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96973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>
                  <a:noFill/>
                </a:ln>
              </c:spPr>
            </c:trendlineLbl>
          </c:trendline>
          <c:xVal>
            <c:numRef>
              <c:f>'MPsediment ratio'!$E$55:$E$64</c:f>
              <c:numCache/>
            </c:numRef>
          </c:xVal>
          <c:yVal>
            <c:numRef>
              <c:f>'MPsediment ratio'!$G$55:$G$64</c:f>
              <c:numCache/>
            </c:numRef>
          </c:yVal>
          <c:smooth val="0"/>
        </c:ser>
        <c:axId val="55649422"/>
        <c:axId val="31082751"/>
      </c:scatterChart>
      <c:valAx>
        <c:axId val="55649422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082751"/>
        <c:crosses val="autoZero"/>
        <c:crossBetween val="midCat"/>
        <c:dispUnits/>
      </c:valAx>
      <c:valAx>
        <c:axId val="3108275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64942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>
                  <a:noFill/>
                </a:ln>
              </c:spPr>
            </c:trendlineLbl>
          </c:trendline>
          <c:xVal>
            <c:numRef>
              <c:f>'MPsediment ratio'!$D$55:$D$64</c:f>
              <c:numCache/>
            </c:numRef>
          </c:xVal>
          <c:yVal>
            <c:numRef>
              <c:f>'MPsediment ratio'!$F$55:$F$64</c:f>
              <c:numCache/>
            </c:numRef>
          </c:yVal>
          <c:smooth val="0"/>
        </c:ser>
        <c:axId val="11309304"/>
        <c:axId val="34674873"/>
      </c:scatterChart>
      <c:valAx>
        <c:axId val="11309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 of Surface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674873"/>
        <c:crosses val="autoZero"/>
        <c:crossBetween val="midCat"/>
        <c:dispUnits/>
      </c:valAx>
      <c:valAx>
        <c:axId val="34674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 of sub-surface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30930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"/>
          <c:y val="0.0235"/>
          <c:w val="0.8187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'MPsediment ratio'!$I$3</c:f>
              <c:strCache>
                <c:ptCount val="1"/>
                <c:pt idx="0">
                  <c:v>% Mass of MP in sample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 w="57150">
                <a:noFill/>
              </a:ln>
            </c:spPr>
          </c:dPt>
          <c:dPt>
            <c:idx val="13"/>
            <c:invertIfNegative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FC000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'MPsediment ratio'!$D$4:$D$23</c:f>
              <c:strCache/>
            </c:strRef>
          </c:cat>
          <c:val>
            <c:numRef>
              <c:f>'MPsediment ratio'!$I$4:$I$23</c:f>
              <c:numCache/>
            </c:numRef>
          </c:val>
        </c:ser>
        <c:overlap val="-27"/>
        <c:gapWidth val="219"/>
        <c:axId val="43638402"/>
        <c:axId val="57201299"/>
      </c:barChart>
      <c:catAx>
        <c:axId val="43638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Sampling Stations</a:t>
                </a:r>
              </a:p>
            </c:rich>
          </c:tx>
          <c:layout>
            <c:manualLayout>
              <c:xMode val="edge"/>
              <c:yMode val="edge"/>
              <c:x val="0.498"/>
              <c:y val="0.96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57201299"/>
        <c:crosses val="autoZero"/>
        <c:auto val="1"/>
        <c:lblOffset val="2"/>
        <c:noMultiLvlLbl val="0"/>
      </c:catAx>
      <c:valAx>
        <c:axId val="57201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%(w/w) Microplastics in sediment sample</a:t>
                </a:r>
              </a:p>
            </c:rich>
          </c:tx>
          <c:layout>
            <c:manualLayout>
              <c:xMode val="edge"/>
              <c:yMode val="edge"/>
              <c:x val="0.01475"/>
              <c:y val="0.2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%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4363840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noFill/>
                <a:latin typeface="+mn-lt"/>
                <a:ea typeface="+mn-cs"/>
                <a:cs typeface="+mn-cs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noFill/>
                <a:latin typeface="+mn-lt"/>
                <a:ea typeface="+mn-cs"/>
                <a:cs typeface="+mn-cs"/>
              </a:defRPr>
            </a:pPr>
          </a:p>
        </c:txPr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ayout>
        <c:manualLayout>
          <c:xMode val="edge"/>
          <c:yMode val="edge"/>
          <c:x val="0.818"/>
          <c:y val="0.41725"/>
          <c:w val="0.048"/>
          <c:h val="0.13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Means(mg MP/kg dry sediment) - Station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63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Normality_Test!$B$47:$B$51</c:f>
              <c:strCache/>
            </c:strRef>
          </c:cat>
          <c:val>
            <c:numRef>
              <c:f>Normality_Test!$C$47:$C$51</c:f>
              <c:numCache/>
            </c:numRef>
          </c:val>
          <c:smooth val="0"/>
        </c:ser>
        <c:marker val="1"/>
        <c:axId val="45049644"/>
        <c:axId val="2793613"/>
      </c:lineChart>
      <c:catAx>
        <c:axId val="45049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Arial"/>
                    <a:ea typeface="Arial"/>
                    <a:cs typeface="Arial"/>
                  </a:rPr>
                  <a:t>Station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2793613"/>
        <c:crosses val="autoZero"/>
        <c:auto val="1"/>
        <c:lblOffset val="100"/>
        <c:noMultiLvlLbl val="0"/>
      </c:catAx>
      <c:valAx>
        <c:axId val="2793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Arial"/>
                    <a:ea typeface="Arial"/>
                    <a:cs typeface="Arial"/>
                  </a:rPr>
                  <a:t>mg MP/kg dry sediment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45049644"/>
        <c:crosses val="autoZero"/>
        <c:crossBetween val="between"/>
        <c:dispUnits/>
      </c:valAx>
      <c:spPr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22" noThreeD="1" sel="1" val="0">
  <itemLst>
    <item val="Summary statistics"/>
    <item val="Summary statistics (Subsamples)"/>
    <item val="Summary statistics (Data / Subsamples)"/>
    <item val="Results for variable Station"/>
    <item val="Kruskal-Wallis test / Two-tailed test (Station)"/>
    <item val="Multiple pairwise comparisons using Dunn's procedure / Two-tailed test"/>
    <item val="Pairwise comparisons (Station)"/>
    <item val="Differences"/>
    <item val="p-values"/>
    <item val="Significant differences"/>
    <item val="Results for variable mg MP/kg dry sediment"/>
    <item val="Kruskal-Wallis test / Two-tailed test (mg MP/kg dry sediment)"/>
    <item val="Multiple pairwise comparisons using Dunn's procedure / Two-tailed test"/>
    <item val="Pairwise comparisons (mg MP/kg dry sediment)"/>
    <item val="Differences"/>
    <item val="p-values"/>
    <item val="Significant differences"/>
    <item val="Summary (p-values)"/>
  </itemLst>
</formControlPr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276225</xdr:colOff>
      <xdr:row>2</xdr:row>
      <xdr:rowOff>123825</xdr:rowOff>
    </xdr:from>
    <xdr:ext cx="7724775" cy="4772025"/>
    <xdr:graphicFrame macro="">
      <xdr:nvGraphicFramePr>
        <xdr:cNvPr id="1410166201" name="Chart 1" title="Chart"/>
        <xdr:cNvGraphicFramePr/>
      </xdr:nvGraphicFramePr>
      <xdr:xfrm>
        <a:off x="3162300" y="504825"/>
        <a:ext cx="77247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0.5075</cdr:x>
      <cdr:y>0.93975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>
          <a:off x="2085975" y="3057525"/>
          <a:ext cx="2028825" cy="200025"/>
        </a:xfrm>
        <a:prstGeom prst="rect">
          <a:avLst/>
        </a:prstGeom>
        <a:ln>
          <a:noFill/>
        </a:ln>
      </cdr:spPr>
      <cdr:txBody>
        <a:bodyPr vertOverflow="clip" vert="horz" rtlCol="0">
          <a:spAutoFit/>
        </a:bodyPr>
        <a:lstStyle/>
        <a:p>
          <a:pPr algn="r"/>
          <a:r>
            <a:rPr lang="en-US" sz="700">
              <a:latin typeface="Arial" panose="020B0604020202020204" pitchFamily="34" charset="0"/>
            </a:rPr>
            <a:t>*: significant at level alpha=0.05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0.5075</cdr:x>
      <cdr:y>0.93975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>
          <a:off x="2085975" y="3057525"/>
          <a:ext cx="2028825" cy="200025"/>
        </a:xfrm>
        <a:prstGeom prst="rect">
          <a:avLst/>
        </a:prstGeom>
        <a:ln>
          <a:noFill/>
        </a:ln>
      </cdr:spPr>
      <cdr:txBody>
        <a:bodyPr vertOverflow="clip" vert="horz" rtlCol="0">
          <a:spAutoFit/>
        </a:bodyPr>
        <a:lstStyle/>
        <a:p>
          <a:pPr algn="r"/>
          <a:r>
            <a:rPr lang="en-US" sz="700">
              <a:latin typeface="Arial" panose="020B0604020202020204" pitchFamily="34" charset="0"/>
            </a:rPr>
            <a:t>*: significant at level alpha=0.05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0.5075</cdr:x>
      <cdr:y>0.93975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>
          <a:off x="2085975" y="3057525"/>
          <a:ext cx="2028825" cy="200025"/>
        </a:xfrm>
        <a:prstGeom prst="rect">
          <a:avLst/>
        </a:prstGeom>
        <a:ln>
          <a:noFill/>
        </a:ln>
      </cdr:spPr>
      <cdr:txBody>
        <a:bodyPr vertOverflow="clip" vert="horz" rtlCol="0">
          <a:spAutoFit/>
        </a:bodyPr>
        <a:lstStyle/>
        <a:p>
          <a:pPr algn="r"/>
          <a:r>
            <a:rPr lang="en-US" sz="700">
              <a:latin typeface="Arial" panose="020B0604020202020204" pitchFamily="34" charset="0"/>
            </a:rPr>
            <a:t>*: significant at level alpha=0.05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0</xdr:rowOff>
    </xdr:from>
    <xdr:to>
      <xdr:col>2</xdr:col>
      <xdr:colOff>38100</xdr:colOff>
      <xdr:row>5</xdr:row>
      <xdr:rowOff>28575</xdr:rowOff>
    </xdr:to>
    <xdr:sp macro="" textlink="">
      <xdr:nvSpPr>
        <xdr:cNvPr id="3" name="TX25643" hidden="1"/>
        <xdr:cNvSpPr txBox="1"/>
      </xdr:nvSpPr>
      <xdr:spPr>
        <a:xfrm>
          <a:off x="1066800" y="904875"/>
          <a:ext cx="28575" cy="285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rtlCol="0" anchor="t"/>
        <a:lstStyle/>
        <a:p>
          <a:r>
            <a:rPr lang="en-US" sz="1100"/>
            <a:t>RunProcNPK
Form43.txt
CheckBoxTrans,CheckBox,False,False,03,False,Trans,False,,,
CheckBoxDom,CheckBox,False,False,400000000000_Charts,False,Dominance diagram,False,,,
CheckBoxCum,CheckBox,True,True,400000000100_Charts,True,Distributions,False,,,
OptionButtonLehmann,OptionButton,False,True,100000000201_Options,True,Lehmann,False,,,
OptionButtonHol,OptionButton,True,True,100000000001_Options,True,Hollander &amp; Wolfe,False,,,
CheckBoxLabels,CheckBox,True,True,000000000201_General,True,Column labels,False,,,
OptionButton_W,OptionButton,False,True,000000020001_General,True,Workbook,False,,,
OptionButton_R,OptionButton,False,True,000000000001_General,True,Range,False,,,
OptionButton_S,OptionButton,True,True,000000010001_General,True,Sheet,False,,,
RefEdit_R,RefEdit0,'Sheet5'!$A$3:$J$23,True,000000000101_General,True,Range:,False,,21,10
CheckBoxWTest,CheckBox,False,False,000000000301_General,False,Wilcoxon signed-rank test,False,,,
CheckBoxSTest,CheckBox,False,False,000000000401_General,False,Sign test,False,,,
CheckBoxMWTest,CheckBox,False,True,000000000501_General,True,Friedman's test,False,,,
CheckBoxKSTest,CheckBox,True,True,000000000601_General,True,Kruskal-Wallis test,False,,,
OptionButtonAsympt,OptionButton,False,True,100000010100_Options,True,Asymptotic p-value,False,,,
OptionButtonMonte,OptionButton,False,True,100000020100_Options,True,Monte Carlo method,False,,,
TextBoxPermut,TextBox,10000,True,100001030100_Options,True,Number of simulations:,False,,,
TextBoxMaxTime,TextBox,180,True,100001040100_Options,True,Maximum time (s):,False,,,
ComboBoxHyp,ComboBox,0,True,100000000000_Options,True,Choose the alternative hypothesis,False,,,
TextBoxDiff,TextBox,0,True,100000020000_Options,True,Hypothesized difference (D):,False,,,
CheckBoxCorrect,CheckBox,True,False,100000050100_Options,False,Continuity correction,False,,,
OptionButtonExact,OptionButton,True,True,100000060100_Options,True,Exact p-value,False,,,
CheckBoxSum,CheckBox,True,True,300000000000_Outputs,True,Summary table,False,,,
CheckBox_Desc,CheckBox,True,True,300000000200_Outputs,True,Descriptive statistics,False,,,
CheckBoxDetails,CheckBox,True,True,300000000100_Outputs,True,Detailed results,False,,,
ScrollBarSelect,ScrollBar,0,False,04,False,,,,,
TextBoxList,TextBox,,False,05,False,,False,,,
CheckBoxMultiple,CheckBox,True,True,000000000701_General,True,Multiple pairwise comparisons,False,,,
ComboBoxType,ComboBox,0,True,000000010701_General,True,,False,,,
CheckBoxBonf,CheckBox,True,True,000000020701_General,True,Bonferroni correction,False,,,
OptionButtonSample,OptionButton,False,True,000000010300_General,True,One column per sample,False,,,
OptionButtonVariable,OptionButton,True,True,000000020300_General,True,One column per variable,False,,,
OptionButtonPaired,OptionButton,False,True,000000030300_General,True,Paired samples,False,,,
RefEditT,RefEdit0,'Sheet5'!$D$54:$D$64&lt;LS&gt;'Sheet5'!$F$54:$F$64,True,000000000100_General,True,Data:,False,,11,2
RefEditGroups,RefEdit0,'Sheet5'!$C$54:$C$64,True,000000000200_General,True,Sample identifiers:,False,,11,1
TextBoxSig,TextBox,5,True,100001000100_Options,True,Significance level (%):,False,,,
OptionButtonMVRemove,OptionButton,False,True,200000000100_Missing data,True,Remove the observations,False,,,
OptionButtonMVRefuse,OptionButton,True,True,200000000000_Missing data,True,Do not accept missing data,False,,,
OptionButtonMVEstimate,OptionButton,False,True,200000000200_Missing data,True,Estimate missing data,False,,,
OptionButtonMeanMode,OptionButton,True,True,200000000300_Missing data,True,Mean,False,,,
OptionButtonMVIgnore,OptionButton,False,True,200000000400_Missing data,True,Ignore missing data,False,,,
CheckBoxSort,CheckBox,False,True,000000030701_General,True,Sort up,False,,,
CheckBoxPval,CheckBox,True,True,400000000200_Charts,True,Show p-values,False,,,
CheckBoxSP,CheckBox,False,True,400000010200_Charts,True,Strip plots,False,,,
CheckBoxBP,CheckBox,True,True,400000020200_Charts,True,Box plots,False,,,
CheckBoxComp,CheckBox,True,True,400000030200_Charts,True,Comparison plots,False,,,
CheckBoxSG,CheckBox,False,True,400000040200_Charts,True,Scattergrams,False,,,
CheckBoxBar,CheckBox,True,True,400000050200_Charts,True,Bar charts,False,,,
CheckBoxError,CheckBox,True,True,400000060200_Charts,True,Error bars,False,,,
ComboBoxError,ComboBox,1,True,400000070200_Charts,True,Error bars,False,,,
CheckBoxDemsar,CheckBox,False,True,400000080200_Charts,True,Demsar plot,False,,,
</a:t>
          </a:r>
        </a:p>
      </xdr:txBody>
    </xdr:sp>
    <xdr:clientData/>
  </xdr:twoCellAnchor>
  <xdr:twoCellAnchor editAs="absolute">
    <xdr:from>
      <xdr:col>1</xdr:col>
      <xdr:colOff>609600</xdr:colOff>
      <xdr:row>5</xdr:row>
      <xdr:rowOff>419100</xdr:rowOff>
    </xdr:from>
    <xdr:to>
      <xdr:col>2</xdr:col>
      <xdr:colOff>285750</xdr:colOff>
      <xdr:row>7</xdr:row>
      <xdr:rowOff>95250</xdr:rowOff>
    </xdr:to>
    <xdr:pic macro="[0]!AddRemovGrid">
      <xdr:nvPicPr>
        <xdr:cNvPr id="7" name="AD256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323975"/>
          <a:ext cx="361950" cy="3619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7</xdr:col>
      <xdr:colOff>0</xdr:colOff>
      <xdr:row>73</xdr:row>
      <xdr:rowOff>0</xdr:rowOff>
    </xdr:to>
    <xdr:graphicFrame macro="">
      <xdr:nvGraphicFramePr>
        <xdr:cNvPr id="10" name="Chart 9"/>
        <xdr:cNvGraphicFramePr/>
      </xdr:nvGraphicFramePr>
      <xdr:xfrm>
        <a:off x="371475" y="11106150"/>
        <a:ext cx="411480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7</xdr:col>
      <xdr:colOff>0</xdr:colOff>
      <xdr:row>93</xdr:row>
      <xdr:rowOff>0</xdr:rowOff>
    </xdr:to>
    <xdr:graphicFrame macro="">
      <xdr:nvGraphicFramePr>
        <xdr:cNvPr id="11" name="Chart 10"/>
        <xdr:cNvGraphicFramePr/>
      </xdr:nvGraphicFramePr>
      <xdr:xfrm>
        <a:off x="371475" y="14725650"/>
        <a:ext cx="4114800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118</xdr:row>
      <xdr:rowOff>0</xdr:rowOff>
    </xdr:from>
    <xdr:to>
      <xdr:col>7</xdr:col>
      <xdr:colOff>0</xdr:colOff>
      <xdr:row>136</xdr:row>
      <xdr:rowOff>0</xdr:rowOff>
    </xdr:to>
    <xdr:graphicFrame macro="">
      <xdr:nvGraphicFramePr>
        <xdr:cNvPr id="12" name="Chart 11"/>
        <xdr:cNvGraphicFramePr/>
      </xdr:nvGraphicFramePr>
      <xdr:xfrm>
        <a:off x="371475" y="22736175"/>
        <a:ext cx="4114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138</xdr:row>
      <xdr:rowOff>0</xdr:rowOff>
    </xdr:from>
    <xdr:to>
      <xdr:col>7</xdr:col>
      <xdr:colOff>0</xdr:colOff>
      <xdr:row>156</xdr:row>
      <xdr:rowOff>0</xdr:rowOff>
    </xdr:to>
    <xdr:graphicFrame macro="">
      <xdr:nvGraphicFramePr>
        <xdr:cNvPr id="13" name="Chart 12"/>
        <xdr:cNvGraphicFramePr/>
      </xdr:nvGraphicFramePr>
      <xdr:xfrm>
        <a:off x="371475" y="26355675"/>
        <a:ext cx="4114800" cy="3257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165</xdr:row>
      <xdr:rowOff>0</xdr:rowOff>
    </xdr:from>
    <xdr:to>
      <xdr:col>7</xdr:col>
      <xdr:colOff>0</xdr:colOff>
      <xdr:row>183</xdr:row>
      <xdr:rowOff>0</xdr:rowOff>
    </xdr:to>
    <xdr:graphicFrame macro="">
      <xdr:nvGraphicFramePr>
        <xdr:cNvPr id="14" name="Chart 13"/>
        <xdr:cNvGraphicFramePr/>
      </xdr:nvGraphicFramePr>
      <xdr:xfrm>
        <a:off x="371475" y="31461075"/>
        <a:ext cx="4114800" cy="3257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904875</xdr:colOff>
      <xdr:row>28</xdr:row>
      <xdr:rowOff>152400</xdr:rowOff>
    </xdr:from>
    <xdr:ext cx="5715000" cy="3533775"/>
    <xdr:graphicFrame macro="">
      <xdr:nvGraphicFramePr>
        <xdr:cNvPr id="1652802857" name="Chart 8" title="Chart"/>
        <xdr:cNvGraphicFramePr/>
      </xdr:nvGraphicFramePr>
      <xdr:xfrm>
        <a:off x="1866900" y="5486400"/>
        <a:ext cx="571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809625</xdr:colOff>
      <xdr:row>6</xdr:row>
      <xdr:rowOff>152400</xdr:rowOff>
    </xdr:from>
    <xdr:ext cx="5715000" cy="3533775"/>
    <xdr:graphicFrame macro="">
      <xdr:nvGraphicFramePr>
        <xdr:cNvPr id="419973992" name="Chart 2" title="Chart"/>
        <xdr:cNvGraphicFramePr/>
      </xdr:nvGraphicFramePr>
      <xdr:xfrm>
        <a:off x="1771650" y="1295400"/>
        <a:ext cx="571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0.92825</cdr:y>
    </cdr:from>
    <cdr:to>
      <cdr:x>0.97875</cdr:x>
      <cdr:y>0.9615</cdr:y>
    </cdr:to>
    <cdr:sp macro="" textlink="">
      <cdr:nvSpPr>
        <cdr:cNvPr id="2" name="TextBox 1"/>
        <cdr:cNvSpPr txBox="1"/>
      </cdr:nvSpPr>
      <cdr:spPr>
        <a:xfrm>
          <a:off x="647700" y="6534150"/>
          <a:ext cx="10096500" cy="2381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400" b="1" i="1"/>
            <a:t>	Hotspot</a:t>
          </a:r>
          <a:r>
            <a:rPr lang="en-US" sz="1400" b="1" i="1" baseline="0"/>
            <a:t> 1	     	    Hotspot 2		Hotspot 3	             Least Polluted	                    Control	</a:t>
          </a:r>
          <a:endParaRPr lang="en-US" sz="1600" b="1" i="1"/>
        </a:p>
      </cdr:txBody>
    </cdr:sp>
  </cdr:relSizeAnchor>
  <cdr:relSizeAnchor xmlns:cdr="http://schemas.openxmlformats.org/drawingml/2006/chartDrawing">
    <cdr:from>
      <cdr:x>0.82975</cdr:x>
      <cdr:y>0.42225</cdr:y>
    </cdr:from>
    <cdr:to>
      <cdr:x>0.95225</cdr:x>
      <cdr:y>0.581</cdr:y>
    </cdr:to>
    <cdr:sp macro="" textlink="">
      <cdr:nvSpPr>
        <cdr:cNvPr id="3" name="TextBox 2"/>
        <cdr:cNvSpPr txBox="1"/>
      </cdr:nvSpPr>
      <cdr:spPr>
        <a:xfrm>
          <a:off x="9105900" y="2971800"/>
          <a:ext cx="1343025" cy="11144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600"/>
            <a:t>Surface </a:t>
          </a:r>
        </a:p>
        <a:p>
          <a:endParaRPr lang="en-US" sz="1600"/>
        </a:p>
        <a:p>
          <a:r>
            <a:rPr lang="en-US" sz="1600"/>
            <a:t>Sub-surface</a:t>
          </a:r>
        </a:p>
      </cdr:txBody>
    </cdr:sp>
  </cdr:relSizeAnchor>
  <cdr:relSizeAnchor xmlns:cdr="http://schemas.openxmlformats.org/drawingml/2006/chartDrawing">
    <cdr:from>
      <cdr:x>0.814</cdr:x>
      <cdr:y>0.3805</cdr:y>
    </cdr:from>
    <cdr:to>
      <cdr:x>0.9735</cdr:x>
      <cdr:y>0.43075</cdr:y>
    </cdr:to>
    <cdr:sp macro="" textlink="">
      <cdr:nvSpPr>
        <cdr:cNvPr id="4" name="TextBox 3"/>
        <cdr:cNvSpPr txBox="1"/>
      </cdr:nvSpPr>
      <cdr:spPr>
        <a:xfrm>
          <a:off x="8934450" y="2676525"/>
          <a:ext cx="1752600" cy="3524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600" u="sng"/>
            <a:t>Sediment</a:t>
          </a:r>
          <a:r>
            <a:rPr lang="en-US" sz="1600" u="sng" baseline="0"/>
            <a:t> Horizon</a:t>
          </a:r>
          <a:endParaRPr lang="en-US" sz="1600" u="sng"/>
        </a:p>
      </cdr:txBody>
    </cdr:sp>
  </cdr:relSizeAnchor>
  <cdr:relSizeAnchor xmlns:cdr="http://schemas.openxmlformats.org/drawingml/2006/chartDrawing">
    <cdr:from>
      <cdr:x>0.817</cdr:x>
      <cdr:y>0.43225</cdr:y>
    </cdr:from>
    <cdr:to>
      <cdr:x>0.83275</cdr:x>
      <cdr:y>0.45875</cdr:y>
    </cdr:to>
    <cdr:sp macro="" textlink="">
      <cdr:nvSpPr>
        <cdr:cNvPr id="5" name="Rectangle 4"/>
        <cdr:cNvSpPr/>
      </cdr:nvSpPr>
      <cdr:spPr>
        <a:xfrm>
          <a:off x="8972550" y="3038475"/>
          <a:ext cx="171450" cy="190500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0.817</cdr:x>
      <cdr:y>0.5065</cdr:y>
    </cdr:from>
    <cdr:to>
      <cdr:x>0.83275</cdr:x>
      <cdr:y>0.533</cdr:y>
    </cdr:to>
    <cdr:sp macro="" textlink="">
      <cdr:nvSpPr>
        <cdr:cNvPr id="7" name="Rectangle 6"/>
        <cdr:cNvSpPr/>
      </cdr:nvSpPr>
      <cdr:spPr>
        <a:xfrm>
          <a:off x="8972550" y="3562350"/>
          <a:ext cx="171450" cy="190500"/>
        </a:xfrm>
        <a:prstGeom prst="rect">
          <a:avLst/>
        </a:prstGeom>
        <a:solidFill>
          <a:srgbClr val="FFC000"/>
        </a:solidFill>
        <a:ln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552450</xdr:colOff>
      <xdr:row>24</xdr:row>
      <xdr:rowOff>190500</xdr:rowOff>
    </xdr:from>
    <xdr:ext cx="7591425" cy="4067175"/>
    <xdr:graphicFrame macro="">
      <xdr:nvGraphicFramePr>
        <xdr:cNvPr id="868911542" name="Chart 3" title="Chart"/>
        <xdr:cNvGraphicFramePr/>
      </xdr:nvGraphicFramePr>
      <xdr:xfrm>
        <a:off x="9591675" y="4791075"/>
        <a:ext cx="75914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10</xdr:col>
      <xdr:colOff>533400</xdr:colOff>
      <xdr:row>0</xdr:row>
      <xdr:rowOff>95250</xdr:rowOff>
    </xdr:from>
    <xdr:ext cx="5715000" cy="3533775"/>
    <xdr:graphicFrame macro="">
      <xdr:nvGraphicFramePr>
        <xdr:cNvPr id="518729094" name="Chart 5" title="Chart"/>
        <xdr:cNvGraphicFramePr/>
      </xdr:nvGraphicFramePr>
      <xdr:xfrm>
        <a:off x="14220825" y="95250"/>
        <a:ext cx="57150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  <xdr:twoCellAnchor>
    <xdr:from>
      <xdr:col>8</xdr:col>
      <xdr:colOff>1076325</xdr:colOff>
      <xdr:row>44</xdr:row>
      <xdr:rowOff>123825</xdr:rowOff>
    </xdr:from>
    <xdr:to>
      <xdr:col>19</xdr:col>
      <xdr:colOff>0</xdr:colOff>
      <xdr:row>63</xdr:row>
      <xdr:rowOff>95250</xdr:rowOff>
    </xdr:to>
    <xdr:graphicFrame macro="">
      <xdr:nvGraphicFramePr>
        <xdr:cNvPr id="5" name="Chart 4"/>
        <xdr:cNvGraphicFramePr/>
      </xdr:nvGraphicFramePr>
      <xdr:xfrm>
        <a:off x="11563350" y="8724900"/>
        <a:ext cx="73533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65</xdr:row>
      <xdr:rowOff>0</xdr:rowOff>
    </xdr:from>
    <xdr:to>
      <xdr:col>8</xdr:col>
      <xdr:colOff>1190625</xdr:colOff>
      <xdr:row>78</xdr:row>
      <xdr:rowOff>142875</xdr:rowOff>
    </xdr:to>
    <xdr:graphicFrame macro="">
      <xdr:nvGraphicFramePr>
        <xdr:cNvPr id="7" name="Chart 6"/>
        <xdr:cNvGraphicFramePr/>
      </xdr:nvGraphicFramePr>
      <xdr:xfrm>
        <a:off x="7105650" y="128016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838200</xdr:colOff>
      <xdr:row>65</xdr:row>
      <xdr:rowOff>9525</xdr:rowOff>
    </xdr:from>
    <xdr:to>
      <xdr:col>5</xdr:col>
      <xdr:colOff>1428750</xdr:colOff>
      <xdr:row>78</xdr:row>
      <xdr:rowOff>152400</xdr:rowOff>
    </xdr:to>
    <xdr:graphicFrame macro="">
      <xdr:nvGraphicFramePr>
        <xdr:cNvPr id="8" name="Chart 7"/>
        <xdr:cNvGraphicFramePr/>
      </xdr:nvGraphicFramePr>
      <xdr:xfrm>
        <a:off x="1419225" y="12811125"/>
        <a:ext cx="56483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571500</xdr:colOff>
      <xdr:row>65</xdr:row>
      <xdr:rowOff>171450</xdr:rowOff>
    </xdr:from>
    <xdr:to>
      <xdr:col>8</xdr:col>
      <xdr:colOff>1066800</xdr:colOff>
      <xdr:row>101</xdr:row>
      <xdr:rowOff>19050</xdr:rowOff>
    </xdr:to>
    <xdr:graphicFrame macro="">
      <xdr:nvGraphicFramePr>
        <xdr:cNvPr id="2" name="Chart 1"/>
        <xdr:cNvGraphicFramePr/>
      </xdr:nvGraphicFramePr>
      <xdr:xfrm>
        <a:off x="571500" y="12973050"/>
        <a:ext cx="10982325" cy="704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0</xdr:colOff>
      <xdr:row>103</xdr:row>
      <xdr:rowOff>0</xdr:rowOff>
    </xdr:from>
    <xdr:to>
      <xdr:col>5</xdr:col>
      <xdr:colOff>895350</xdr:colOff>
      <xdr:row>118</xdr:row>
      <xdr:rowOff>9525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025" y="20402550"/>
          <a:ext cx="5953125" cy="3009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0</xdr:rowOff>
    </xdr:from>
    <xdr:to>
      <xdr:col>2</xdr:col>
      <xdr:colOff>38100</xdr:colOff>
      <xdr:row>7</xdr:row>
      <xdr:rowOff>28575</xdr:rowOff>
    </xdr:to>
    <xdr:sp macro="" textlink="">
      <xdr:nvSpPr>
        <xdr:cNvPr id="3" name="TX411506" hidden="1"/>
        <xdr:cNvSpPr txBox="1"/>
      </xdr:nvSpPr>
      <xdr:spPr>
        <a:xfrm>
          <a:off x="1066800" y="1266825"/>
          <a:ext cx="28575" cy="285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rtlCol="0" anchor="t"/>
        <a:lstStyle/>
        <a:p>
          <a:r>
            <a:rPr lang="en-US" sz="1100"/>
            <a:t>RunProcANO
Form54.txt
TextBoxList,TextBox,,False,03,False,,False,,,
CheckBoxTrans,CheckBox,False,False,04,False,Trans,False,,,
ComboBox_TestMethod,ComboBox,0,True,200000000200_Validation,True,Select the method for the extraction of validation data,False,,,
TextBoxTestNumber,TextBox,1,True,200000000400_Validation,True,,False,,,
RefEditGroup,RefEdit0,,True,200000000600_Validation,True,Group variable:,False,,,
CheckBox_Validation,CheckBox,False,True,200000000000_Validation,True,Validation,False,,,
CheckBoxSort,CheckBox,False,True,510000000201_Outputs|Means,True,Sort up,False,,,
CheckBoxApplyAll,CheckBox,False,True,510000000101_Outputs|Means,True,Apply to all factors,False,,,
CheckBoxMCompare,CheckBox,False,True,510000000001_Outputs|Means,True,Multiple comparisons,False,,,
CheckBoxCIMeans,CheckBox,False,True,510000000301_Outputs|Means,True,Confidence intervals,False,,,
CheckBoxSlopes,CheckBox,False,False,510000000401_Outputs|Means,False,Comparison of slopes,False,,,
CheckBoxPairwise,CheckBox,False,True,510000000002_Outputs|Means,True,Pairwise comparisons,False,,,
CheckBoxControl,CheckBox,False,True,510000000202_Outputs|Means,True,Comparisons with a control,False,,,
CheckBoxMeanSq,CheckBox,False,True,510000000402_Outputs|Means,True,Choose the MSE,False,,,
CheckBoxProtected,CheckBox,False,True,510000000502_Outputs|Means,True,Protected,False,,,
CheckBoxTB,CheckBox,False,True,510000000602_Outputs|Means,True,Top/Bottom boxes,False,,,
OptionButtonTB2,OptionButton,True,True,510000000702_Outputs|Means,True,2,False,,,
OptionButtonTB3,OptionButton,False,True,510000000802_Outputs|Means,True,3,False,,,
ListBoxControl,ListBox,,True,510000000302_Outputs|Means,True,Comparisons with a control:,False,,,
ListBoxPairwise,ListBox,,True,510000000102_Outputs|Means,True,Pairwise comparisons:,False,,,
CheckBoxMeanConfTab,CheckBox,True,True,510000000100_Outputs|Means,True,Confidence interval,False,,,
CheckBoxMeans,CheckBox,True,True,510000000000_Outputs|Means,True,Means,False,,,
CheckBoxMeanStdError,CheckBox,True,True,510000000200_Outputs|Means,True,Standard errors,False,,,
CheckBoxLSM,CheckBox,True,True,510000000300_Outputs|Means,True,LS means,False,,,
CheckBox_Desc,CheckBox,True,True,500000000000_Outputs|General,True,Descriptive statistics,False,,,
CheckBox_Corr,CheckBox,True,True,500000000100_Outputs|General,True,Correlations,False,,,
CheckBox_AV,CheckBox,True,True,500000000300_Outputs|General,True,Analysis of variance,False,,,
CheckBoxPress,CheckBox,False,True,500000000500_Outputs|General,True,Press,False,,,
CheckBox_TISS,CheckBox,False,True,500000000400_Outputs|General,True,Type I/II/III SS,False,,,
CheckBoxMultiCo,CheckBox,False,True,500000000200_Outputs|General,True,Multicolinearity statistics,False,,,
CheckBoxInterpret,CheckBox,False,True,500000000600_Outputs|General,True,Interpretation,False,,,
CheckBox_Resid,CheckBox,True,True,500000000101_Outputs|General,True,Predictions and residuals,False,,,
CheckBoxStdCoeff,CheckBox,True,True,500000000001_Outputs|General,True,Standardized coefficients,False,,,
CheckBoxDiag,CheckBox,False,True,500000000501_Outputs|General,True,Influence diagnostics,False,,,
CheckBoxAdjPred,CheckBox,False,True,500000000401_Outputs|General,True,Adjusted predictions,False,,,
CheckBoxWelch,CheckBox,False,True,500000000601_Outputs|General,True,Welch statistic,False,,,
CheckBoxDispX,CheckBox,False,False,500000000201_Outputs|General,False,X,False,,,
CheckBoxPredConf,CheckBox,True,True,500000000301_Outputs|General,True,Confidence intervals,False,,,
CheckBoxContrasts,CheckBox,False,True,520000000000_Outputs|Contrasts,True,Compute contrasts,False,,,
RefEditContrasts,RefEdit,,True,520000000200_Outputs|Contrasts,True,Definition:,False,,,
CheckBoxLevene,CheckBox,False,True,530000000000_Outputs|Test assumptions,True,Levene's test,False,,,
CheckBox_Intercept,CheckBox,False,True,100000000000_Options|Model,True,Fixed Intercept,False,,,
TextBox_Intercept,TextBox,0,True,100000010000_Options|Model,True,Fixed Intercept:,False,,,
TextBoxTol,TextBox,0.0001,True,100000020000_Options|Model,True,Tolerance:,False,,,
TextBox_Conf,TextBox,95,True,100000010100_Options|Model,True,Confidence interval (%):,False,,,
CheckBox_Interactions,CheckBox,False,True,100000000200_Options|Model,True,Interactions / Level,False,,,
TextBoxLevel,TextBox,2,True,100000010200_Options|Model,True,,False,,,
ComboBox_Selection,ComboBox,0,True,100000000101_Options|Model,True,Choose a model selection method,False,,,
CheckBox_Selection,CheckBox,False,True,100000000001_Options|Model,True,Model selection,False,,,
ComboBox_Criterion,ComboBox,0,True,100000000301_Options|Model,True,Criterion:,False,,,
TextBox_Threshold,TextBox,0.1,False,100000001101_Options|Model,False,Probability for removal:,False,,,
TextBox_MinVar,TextBox,2,True,100000000501_Options|Model,True,Min variables:,False,,,
TextBox_MaxVar,TextBox,2,True,100000000701_Options|Model,True,Max variables:,False,,,
TextBoxEntrance,TextBox,0.05,False,100000000901_Options|Model,False,Probability for entry:,False,,,
ComboBox_Constraints,ComboBox,1,True,110000010000_Options|ANOVA / ANCOVA,True,Select the type of constraint to apply to the qualitative variables of the OLS model,False,,,
CheckBoxNested,CheckBox,False,True,110000000100_Options|ANOVA / ANCOVA,True,Nested effects,False,,,
CheckBoxHetero,CheckBox,False,True,120000000000_Options|Covariances,True,Heteroscedasticity,False,,,
ComboBoxHACMethod,ComboBox,0,True,120000010100_Options|Covariances,True,Method:,False,,,
CheckBoxAutoCorr,CheckBox,False,True,120000000200_Options|Covariances,True,Autocorrelation,False,,,
TextBoxLag,TextBox,1,True,120000010300_Options|Covariances,True,Lag: ,False,,,
CheckBox_Predict,CheckBox,False,True,300000000102_Prediction,True,Prediction,False,,,
RefEdit_QPred,RefEdit0,,True,300000000402_Prediction,True,Qualitative:,False,,,
RefEdit_XPred,RefEdit0,,True,300000000302_Prediction,True,Quantitative:,False,,,
CheckBox_ObsLabelsPred,CheckBox,False,True,300000000502_Prediction,True,Observation labels,False,,,
RefEdit_PredLabels,RefEdit0,,True,300000000602_Prediction,True,,False,,,
OptionButton_MVEstimate,OptionButton,False,True,400000000000_Missing data,True,Estimate missing data,False,,,
OptionButton_MeanMode,OptionButton,True,True,400000000100_Missing data,True,Mean or mode,False,,,
OptionButton_NN,OptionButton,False,True,400000010100_Missing data,True,Nearest neighbor,False,,,
OptionButton_MVRemove,OptionButton,True,True,400000000200_Missing data,True,Remove the observations,False,,,
OptionButtonEachY,OptionButton,False,True,400000000300_Missing data,True,Check for each Y separately,False,,,
OptionButtonAcrossAll,OptionButton,True,True,400000010300_Missing data,True,Across all Ys,False,,,
OptionButtonMVRefuse,OptionButton,False,True,400000000400_Missing data,True,Do not accept missing data,False,,,
OptionButton_MVIgnore,OptionButton,False,True,400000000500_Missing data,True,Ignore missing data,False,,,
CheckBoxResidCharts,CheckBox,True,True,600000000200_Charts,True,Predictions and residuals,False,,,
CheckBoxRegCharts,CheckBox,True,True,600000000000_Charts,True,Regression charts,False,,,
CheckBoxChartsCoeff,CheckBox,True,True,600000000100_Charts,True,Standardized coefficients,False,,,
CheckBox_Conf,CheckBox,True,True,600000000300_Charts,True,Confidence intervals,False,,,
OptionButtonCol,OptionButton,True,True,000000010000_General,True,Column,False,,,
OptionButtonTab,OptionButton,False,True,000000020000_General,True,Table,False,,,
RefEditDataTable,RefEdit0,,True,000000010100_General,True,Data table:,False,,,
TextBoxNbFactors,TextBox,1,True,000001030100_General,True,Number of factors:,False,,,
OptionButton_W,OptionButton,False,True,000000000001_General,True,Workbook,False,,,
OptionButton_R,OptionButton,False,True,000000010001_General,True,Range,False,,,
OptionButton_S,OptionButton,True,True,000000020001_General,True,Sheet,False,,,
RefEdit_R,RefEdit,,True,000000000101_General,True,Range:,False,,,
CheckBoxVarLabels,CheckBox,True,True,000000000201_General,True,Variable labels,False,,,
CheckBox_ObsLabels,CheckBox,False,True,000000010301_General,True,Observation labels,False,,,
RefEdit_Wr,RefEdit0,,True,000000060301_General,True,Regression weights:,False,,,
CheckBox_Wr,CheckBox,False,True,000000050301_General,True,Regression weights,False,,,
RefEdit_ObsLabels,RefEdit0,,True,000000020301_General,True,Observation labels:,False,,,
CheckBox_W,CheckBox,False,True,000000030301_General,True,Observation weights,False,,,
RefEdit_W,RefEdit0,,True,000000040301_General,True,Observation weights:,False,,,
FileSelect2,CommandButton,,False,300000000702_Prediction,False,,False,,,
CheckBoxNorm,CheckBox,True,True,530000000100_Outputs|Test assumptions,True,Normality test,False,,,
OptionButtonMean,OptionButton,True,True,530000000200_Outputs|Test assumptions,True,Mean,False,,,
OptionButtonMedian,OptionButton,False,True,530000010200_Outputs|Test assumptions,True,Median,False,,,
RefEdit_Y,RefEdit0,'Sheet5'!$J$3:$J$23,True,000000010200_General,True,Y / Dependent variables:,False,,21,1
FileSelect1,CommandButton,,False,000000020200_General,False,,False,,,
ScrollBarSelect,ScrollBar,0,False,05,False,,,,,
CheckBox_X,CheckBox,False,True,000000050200_General,True,Quantitative,False,,,
RefEdit_X,RefEdit0,,True,000002050200_General,True,X / Explanatory variables:,False,,,
CheckBox_Q,CheckBox,True,True,000003050200_General,True,Qualitative,False,,,
RefEdit_Q,RefEdit0,'Sheet5'!$A$3:$A$23,True,000004050200_General,True,Qualitative:,False,,21,1
CheckBoxMeansCharts,CheckBox,True,True,600000000400_Charts,True,Means charts,False,,,
CheckBoxMeanConf,CheckBox,False,True,600000010400_Charts,True,Confidence intervals,False,,,
CheckBoxBar,CheckBox,False,True,600000030400_Charts,True,Bar chart,False,,,
CheckBox_PredVarLabels,CheckBox,False,True,300000001002_Prediction,True,Variable labels,False,,,
ScrollBarLevel,SpinButton,2,True,100000020200_Options|Model,False,,,,,
CheckBoxRand,CheckBox,False,True,110000000200_Options|ANOVA / ANCOVA,True,Random effects,False,,,
CheckBoxRestricted,CheckBox,False,True,110000010200_Options|ANOVA / ANCOVA,True,Restricted ANOVA,False,,,
CheckBoxProp,CheckBox,False,True,600000020400_Charts,True,Proportional,False,,,
CheckBoxSummary,CheckBox,True,True,510000000902_Outputs|Means,True,Summary,False,,,
CheckBoxSumCharts,CheckBox,True,True,600000000101_Charts,True,Summary charts,False,,,
CheckBoxFilterY,CheckBox,False,True,600000000001_Charts,True,Filter Ys,False,,,
CheckBoxDemsar,CheckBox,False,False,600000040400_Charts,False,Demsar plots,False,,,
CheckBoxContBonf,CheckBox,True,True,520000000300_Outputs|Contrasts,True,Bonferroni correction,False,,,
SpinButtonNbFactors,SpinButton,5,True,000002030100_General,False,,,,,
</a:t>
          </a:r>
        </a:p>
      </xdr:txBody>
    </xdr:sp>
    <xdr:clientData/>
  </xdr:twoCellAnchor>
  <xdr:twoCellAnchor editAs="absolute">
    <xdr:from>
      <xdr:col>1</xdr:col>
      <xdr:colOff>609600</xdr:colOff>
      <xdr:row>8</xdr:row>
      <xdr:rowOff>133350</xdr:rowOff>
    </xdr:from>
    <xdr:to>
      <xdr:col>2</xdr:col>
      <xdr:colOff>285750</xdr:colOff>
      <xdr:row>10</xdr:row>
      <xdr:rowOff>123825</xdr:rowOff>
    </xdr:to>
    <xdr:pic macro="[0]!AddRemovGrid">
      <xdr:nvPicPr>
        <xdr:cNvPr id="7" name="AD4115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876425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5</xdr:col>
      <xdr:colOff>0</xdr:colOff>
      <xdr:row>71</xdr:row>
      <xdr:rowOff>0</xdr:rowOff>
    </xdr:to>
    <xdr:graphicFrame macro="">
      <xdr:nvGraphicFramePr>
        <xdr:cNvPr id="14" name="Chart 13"/>
        <xdr:cNvGraphicFramePr/>
      </xdr:nvGraphicFramePr>
      <xdr:xfrm>
        <a:off x="371475" y="10525125"/>
        <a:ext cx="431482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0.5075</cdr:x>
      <cdr:y>0.93975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>
          <a:off x="2085975" y="3057525"/>
          <a:ext cx="2028825" cy="200025"/>
        </a:xfrm>
        <a:prstGeom prst="rect">
          <a:avLst/>
        </a:prstGeom>
        <a:ln>
          <a:noFill/>
        </a:ln>
      </cdr:spPr>
      <cdr:txBody>
        <a:bodyPr vertOverflow="clip" vert="horz" rtlCol="0">
          <a:spAutoFit/>
        </a:bodyPr>
        <a:lstStyle/>
        <a:p>
          <a:pPr algn="r"/>
          <a:r>
            <a:rPr lang="en-US" sz="700">
              <a:latin typeface="Arial" panose="020B0604020202020204" pitchFamily="34" charset="0"/>
            </a:rPr>
            <a:t>*: significant at level alpha=0.05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0.5075</cdr:x>
      <cdr:y>0.93975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>
          <a:off x="2085975" y="3057525"/>
          <a:ext cx="2028825" cy="200025"/>
        </a:xfrm>
        <a:prstGeom prst="rect">
          <a:avLst/>
        </a:prstGeom>
        <a:ln>
          <a:noFill/>
        </a:ln>
      </cdr:spPr>
      <cdr:txBody>
        <a:bodyPr vertOverflow="clip" vert="horz" rtlCol="0">
          <a:spAutoFit/>
        </a:bodyPr>
        <a:lstStyle/>
        <a:p>
          <a:pPr algn="r"/>
          <a:r>
            <a:rPr lang="en-US" sz="700">
              <a:latin typeface="Arial" panose="020B0604020202020204" pitchFamily="34" charset="0"/>
            </a:rPr>
            <a:t>*: significant at level alpha=0.05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0</xdr:rowOff>
    </xdr:from>
    <xdr:to>
      <xdr:col>2</xdr:col>
      <xdr:colOff>38100</xdr:colOff>
      <xdr:row>5</xdr:row>
      <xdr:rowOff>28575</xdr:rowOff>
    </xdr:to>
    <xdr:sp macro="" textlink="">
      <xdr:nvSpPr>
        <xdr:cNvPr id="3" name="TX784158" hidden="1"/>
        <xdr:cNvSpPr txBox="1"/>
      </xdr:nvSpPr>
      <xdr:spPr>
        <a:xfrm>
          <a:off x="1066800" y="904875"/>
          <a:ext cx="28575" cy="285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rtlCol="0" anchor="t"/>
        <a:lstStyle/>
        <a:p>
          <a:r>
            <a:rPr lang="en-US" sz="1100"/>
            <a:t>RunProcNPK
Form43.txt
CheckBoxTrans,CheckBox,False,False,03,False,Trans,False,,,
CheckBoxDom,CheckBox,False,False,400000000000_Charts,False,Dominance diagram,False,,,
CheckBoxCum,CheckBox,True,True,400000000100_Charts,True,Distributions,False,,,
OptionButtonLehmann,OptionButton,False,True,100000000201_Options,True,Lehmann,False,,,
OptionButtonHol,OptionButton,True,True,100000000001_Options,True,Hollander &amp; Wolfe,False,,,
CheckBoxLabels,CheckBox,True,True,000000000201_General,True,Column labels,False,,,
OptionButton_W,OptionButton,False,True,000000020001_General,True,Workbook,False,,,
OptionButton_R,OptionButton,False,True,000000000001_General,True,Range,False,,,
OptionButton_S,OptionButton,True,True,000000010001_General,True,Sheet,False,,,
RefEdit_R,RefEdit0,'Sheet5'!$A$3:$J$23,True,000000000101_General,True,Range:,False,,21,10
CheckBoxWTest,CheckBox,False,False,000000000301_General,False,Wilcoxon signed-rank test,False,,,
CheckBoxSTest,CheckBox,False,False,000000000401_General,False,Sign test,False,,,
CheckBoxMWTest,CheckBox,False,True,000000000501_General,True,Friedman's test,False,,,
CheckBoxKSTest,CheckBox,True,True,000000000601_General,True,Kruskal-Wallis test,False,,,
OptionButtonAsympt,OptionButton,False,True,100000010100_Options,True,Asymptotic p-value,False,,,
OptionButtonMonte,OptionButton,False,True,100000020100_Options,True,Monte Carlo method,False,,,
TextBoxPermut,TextBox,10000,True,100001030100_Options,True,Number of simulations:,False,,,
TextBoxMaxTime,TextBox,180,True,100001040100_Options,True,Maximum time (s):,False,,,
ComboBoxHyp,ComboBox,0,True,100000000000_Options,True,Choose the alternative hypothesis,False,,,
TextBoxDiff,TextBox,0,True,100000020000_Options,True,Hypothesized difference (D):,False,,,
CheckBoxCorrect,CheckBox,True,False,100000050100_Options,False,Continuity correction,False,,,
OptionButtonExact,OptionButton,True,True,100000060100_Options,True,Exact p-value,False,,,
CheckBoxSum,CheckBox,True,True,300000000000_Outputs,True,Summary table,False,,,
CheckBox_Desc,CheckBox,True,True,300000000200_Outputs,True,Descriptive statistics,False,,,
CheckBoxDetails,CheckBox,True,True,300000000100_Outputs,True,Detailed results,False,,,
ScrollBarSelect,ScrollBar,0,False,04,False,,,,,
TextBoxList,TextBox,,False,05,False,,False,,,
CheckBoxMultiple,CheckBox,True,True,000000000701_General,True,Multiple pairwise comparisons,False,,,
ComboBoxType,ComboBox,0,True,000000010701_General,True,,False,,,
CheckBoxBonf,CheckBox,True,True,000000020701_General,True,Bonferroni correction,False,,,
OptionButtonSample,OptionButton,False,True,000000010300_General,True,One column per sample,False,,,
OptionButtonVariable,OptionButton,True,True,000000020300_General,True,One column per variable,False,,,
OptionButtonPaired,OptionButton,False,True,000000030300_General,True,Paired samples,False,,,
RefEditT,RefEdit0,'Sheet5'!$A$3:$A$23&lt;LS&gt;'Sheet5'!$J$3:$J$23,True,000000000100_General,True,Data:,False,,21,2
RefEditGroups,RefEdit0,'Sheet5'!$A$3:$A$23,True,000000000200_General,True,Sample identifiers:,False,,21,1
TextBoxSig,TextBox,5,True,100001000100_Options,True,Significance level (%):,False,,,
OptionButtonMVRemove,OptionButton,False,True,200000000100_Missing data,True,Remove the observations,False,,,
OptionButtonMVRefuse,OptionButton,True,True,200000000000_Missing data,True,Do not accept missing data,False,,,
OptionButtonMVEstimate,OptionButton,False,True,200000000200_Missing data,True,Estimate missing data,False,,,
OptionButtonMeanMode,OptionButton,True,True,200000000300_Missing data,True,Mean,False,,,
OptionButtonMVIgnore,OptionButton,False,True,200000000400_Missing data,True,Ignore missing data,False,,,
CheckBoxSort,CheckBox,False,True,000000030701_General,True,Sort up,False,,,
CheckBoxPval,CheckBox,True,True,400000000200_Charts,True,Show p-values,False,,,
CheckBoxSP,CheckBox,False,True,400000010200_Charts,True,Strip plots,False,,,
CheckBoxBP,CheckBox,True,True,400000020200_Charts,True,Box plots,False,,,
CheckBoxComp,CheckBox,True,True,400000030200_Charts,True,Comparison plots,False,,,
CheckBoxSG,CheckBox,False,True,400000040200_Charts,True,Scattergrams,False,,,
CheckBoxBar,CheckBox,True,True,400000050200_Charts,True,Bar charts,False,,,
CheckBoxError,CheckBox,True,True,400000060200_Charts,True,Error bars,False,,,
ComboBoxError,ComboBox,1,True,400000070200_Charts,True,Error bars,False,,,
CheckBoxDemsar,CheckBox,False,True,400000080200_Charts,True,Demsar plot,False,,,
</a:t>
          </a:r>
        </a:p>
      </xdr:txBody>
    </xdr:sp>
    <xdr:clientData/>
  </xdr:twoCellAnchor>
  <xdr:twoCellAnchor editAs="absolute">
    <xdr:from>
      <xdr:col>1</xdr:col>
      <xdr:colOff>609600</xdr:colOff>
      <xdr:row>5</xdr:row>
      <xdr:rowOff>419100</xdr:rowOff>
    </xdr:from>
    <xdr:to>
      <xdr:col>2</xdr:col>
      <xdr:colOff>285750</xdr:colOff>
      <xdr:row>7</xdr:row>
      <xdr:rowOff>95250</xdr:rowOff>
    </xdr:to>
    <xdr:pic macro="[0]!AddRemovGrid">
      <xdr:nvPicPr>
        <xdr:cNvPr id="7" name="AD7841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323975"/>
          <a:ext cx="361950" cy="3619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103</xdr:row>
      <xdr:rowOff>0</xdr:rowOff>
    </xdr:from>
    <xdr:to>
      <xdr:col>7</xdr:col>
      <xdr:colOff>0</xdr:colOff>
      <xdr:row>121</xdr:row>
      <xdr:rowOff>0</xdr:rowOff>
    </xdr:to>
    <xdr:graphicFrame macro="">
      <xdr:nvGraphicFramePr>
        <xdr:cNvPr id="10" name="Chart 9"/>
        <xdr:cNvGraphicFramePr/>
      </xdr:nvGraphicFramePr>
      <xdr:xfrm>
        <a:off x="371475" y="19973925"/>
        <a:ext cx="411480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123</xdr:row>
      <xdr:rowOff>0</xdr:rowOff>
    </xdr:from>
    <xdr:to>
      <xdr:col>7</xdr:col>
      <xdr:colOff>0</xdr:colOff>
      <xdr:row>141</xdr:row>
      <xdr:rowOff>0</xdr:rowOff>
    </xdr:to>
    <xdr:graphicFrame macro="">
      <xdr:nvGraphicFramePr>
        <xdr:cNvPr id="11" name="Chart 10"/>
        <xdr:cNvGraphicFramePr/>
      </xdr:nvGraphicFramePr>
      <xdr:xfrm>
        <a:off x="371475" y="23593425"/>
        <a:ext cx="4114800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202</xdr:row>
      <xdr:rowOff>0</xdr:rowOff>
    </xdr:from>
    <xdr:to>
      <xdr:col>7</xdr:col>
      <xdr:colOff>0</xdr:colOff>
      <xdr:row>220</xdr:row>
      <xdr:rowOff>0</xdr:rowOff>
    </xdr:to>
    <xdr:graphicFrame macro="">
      <xdr:nvGraphicFramePr>
        <xdr:cNvPr id="12" name="Chart 11"/>
        <xdr:cNvGraphicFramePr/>
      </xdr:nvGraphicFramePr>
      <xdr:xfrm>
        <a:off x="371475" y="38185725"/>
        <a:ext cx="4114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222</xdr:row>
      <xdr:rowOff>0</xdr:rowOff>
    </xdr:from>
    <xdr:to>
      <xdr:col>7</xdr:col>
      <xdr:colOff>0</xdr:colOff>
      <xdr:row>240</xdr:row>
      <xdr:rowOff>0</xdr:rowOff>
    </xdr:to>
    <xdr:graphicFrame macro="">
      <xdr:nvGraphicFramePr>
        <xdr:cNvPr id="13" name="Chart 12"/>
        <xdr:cNvGraphicFramePr/>
      </xdr:nvGraphicFramePr>
      <xdr:xfrm>
        <a:off x="371475" y="41805225"/>
        <a:ext cx="4114800" cy="3257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249</xdr:row>
      <xdr:rowOff>0</xdr:rowOff>
    </xdr:from>
    <xdr:to>
      <xdr:col>7</xdr:col>
      <xdr:colOff>0</xdr:colOff>
      <xdr:row>267</xdr:row>
      <xdr:rowOff>0</xdr:rowOff>
    </xdr:to>
    <xdr:graphicFrame macro="">
      <xdr:nvGraphicFramePr>
        <xdr:cNvPr id="14" name="Chart 13"/>
        <xdr:cNvGraphicFramePr/>
      </xdr:nvGraphicFramePr>
      <xdr:xfrm>
        <a:off x="371475" y="46920150"/>
        <a:ext cx="4114800" cy="3257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361950</xdr:colOff>
          <xdr:row>5</xdr:row>
          <xdr:rowOff>466725</xdr:rowOff>
        </xdr:from>
        <xdr:to>
          <xdr:col>5</xdr:col>
          <xdr:colOff>676275</xdr:colOff>
          <xdr:row>6</xdr:row>
          <xdr:rowOff>200025</xdr:rowOff>
        </xdr:to>
        <xdr:sp macro="" textlink="">
          <xdr:nvSpPr>
            <xdr:cNvPr id="14337" name="DD320969" hidden="1">
              <a:extLst xmlns:a="http://schemas.openxmlformats.org/drawingml/2006/main"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800-000001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  <a:extLst xmlns:a="http://schemas.openxmlformats.org/drawingml/2006/main"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0.5075</cdr:x>
      <cdr:y>0.93975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>
          <a:off x="2085975" y="3057525"/>
          <a:ext cx="2028825" cy="200025"/>
        </a:xfrm>
        <a:prstGeom prst="rect">
          <a:avLst/>
        </a:prstGeom>
        <a:ln>
          <a:noFill/>
        </a:ln>
      </cdr:spPr>
      <cdr:txBody>
        <a:bodyPr vertOverflow="clip" vert="horz" rtlCol="0">
          <a:spAutoFit/>
        </a:bodyPr>
        <a:lstStyle/>
        <a:p>
          <a:pPr algn="r"/>
          <a:r>
            <a:rPr lang="en-US" sz="700">
              <a:latin typeface="Arial" panose="020B0604020202020204" pitchFamily="34" charset="0"/>
            </a:rPr>
            <a:t>*: significant at level alpha=0.05</a:t>
          </a:r>
        </a:p>
      </cdr:txBody>
    </cdr:sp>
  </cdr:relSizeAnchor>
</c:userShape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5098F-6073-41E6-A6B0-0BB0CDC96C79}">
  <dimension ref="C3:K21"/>
  <sheetViews>
    <sheetView tabSelected="1" workbookViewId="0" topLeftCell="A1">
      <selection activeCell="L10" sqref="L10"/>
    </sheetView>
  </sheetViews>
  <sheetFormatPr defaultColWidth="9.00390625" defaultRowHeight="14.25"/>
  <cols>
    <col min="6" max="6" width="11.75390625" style="0" customWidth="1"/>
  </cols>
  <sheetData>
    <row r="3" spans="3:11" ht="14.25">
      <c r="C3" s="165" t="s">
        <v>217</v>
      </c>
      <c r="D3" s="165"/>
      <c r="E3" s="165"/>
      <c r="F3" s="165"/>
      <c r="G3" s="165"/>
      <c r="H3" s="165"/>
      <c r="I3" s="165"/>
      <c r="J3" s="165"/>
      <c r="K3" s="165"/>
    </row>
    <row r="4" spans="3:11" ht="14.25">
      <c r="C4" s="165"/>
      <c r="D4" s="165"/>
      <c r="E4" s="165"/>
      <c r="F4" s="165"/>
      <c r="G4" s="165"/>
      <c r="H4" s="165"/>
      <c r="I4" s="165"/>
      <c r="J4" s="165"/>
      <c r="K4" s="165"/>
    </row>
    <row r="8" spans="5:7" ht="14.25">
      <c r="E8" s="6" t="s">
        <v>218</v>
      </c>
      <c r="G8" s="6" t="s">
        <v>219</v>
      </c>
    </row>
    <row r="10" spans="5:7" ht="14.25">
      <c r="E10" s="6" t="s">
        <v>213</v>
      </c>
      <c r="G10" s="161" t="s">
        <v>220</v>
      </c>
    </row>
    <row r="11" spans="5:7" ht="14.25">
      <c r="E11" s="6" t="s">
        <v>214</v>
      </c>
      <c r="G11" s="162" t="s">
        <v>221</v>
      </c>
    </row>
    <row r="12" spans="5:7" ht="14.25">
      <c r="E12" s="6" t="s">
        <v>215</v>
      </c>
      <c r="G12" s="162" t="s">
        <v>222</v>
      </c>
    </row>
    <row r="13" spans="5:7" ht="14.25">
      <c r="E13" s="6" t="s">
        <v>216</v>
      </c>
      <c r="G13" s="162" t="s">
        <v>223</v>
      </c>
    </row>
    <row r="14" spans="5:7" ht="14.25">
      <c r="E14" s="6" t="s">
        <v>230</v>
      </c>
      <c r="G14" s="162" t="s">
        <v>231</v>
      </c>
    </row>
    <row r="15" spans="5:7" ht="14.25">
      <c r="E15" s="6"/>
      <c r="G15" s="162"/>
    </row>
    <row r="16" ht="14.25">
      <c r="E16" s="6" t="s">
        <v>224</v>
      </c>
    </row>
    <row r="18" spans="5:7" ht="14.25">
      <c r="E18" s="6" t="s">
        <v>225</v>
      </c>
      <c r="G18" s="161" t="s">
        <v>228</v>
      </c>
    </row>
    <row r="19" ht="14.25">
      <c r="E19" s="6" t="s">
        <v>226</v>
      </c>
    </row>
    <row r="20" spans="5:7" ht="14.25">
      <c r="E20" s="6" t="s">
        <v>227</v>
      </c>
      <c r="G20" s="162" t="s">
        <v>229</v>
      </c>
    </row>
    <row r="21" spans="5:7" ht="14.25">
      <c r="E21" s="6" t="s">
        <v>232</v>
      </c>
      <c r="G21" s="162" t="s">
        <v>233</v>
      </c>
    </row>
  </sheetData>
  <mergeCells count="1">
    <mergeCell ref="C3:K4"/>
  </mergeCells>
  <hyperlinks>
    <hyperlink ref="G10" location="SAMPLES!A1" display="SAMPLES!A1"/>
    <hyperlink ref="G11" location="'MP by Colour'!A1" display="'MP by Colour'!A1"/>
    <hyperlink ref="G12" location="'MP by Fraction'!A1" display="'MP by Fraction'!A1"/>
    <hyperlink ref="G13" location="'MP by morphology'!A1" display="'MP by morphology'!A1"/>
    <hyperlink ref="G18" location="Normality_Test!A1" display="Normality_Test!A1"/>
    <hyperlink ref="G20" location="'Kruskal-Wallis Stations'!A1" display="'Kruskal-Wallis Stations'!A1"/>
    <hyperlink ref="G14" location="'MPsediment ratio'!A1" display="'MPsediment ratio'!A1"/>
    <hyperlink ref="G21" location="'Kruskal-SurfacewrtSubsurface'!A1" display="'Kruskal-SurfacewrtSubsurface'!A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F0DFC-DCBF-4D8C-87A8-D0ACA0372407}">
  <sheetPr codeName="XLSTAT_20210916_015143_1">
    <tabColor rgb="FF007800"/>
  </sheetPr>
  <dimension ref="B1:J267"/>
  <sheetViews>
    <sheetView workbookViewId="0" topLeftCell="A43">
      <selection activeCell="M5" sqref="M5"/>
    </sheetView>
  </sheetViews>
  <sheetFormatPr defaultColWidth="9.00390625" defaultRowHeight="14.25"/>
  <cols>
    <col min="1" max="1" width="4.875" style="0" customWidth="1"/>
    <col min="2" max="2" width="9.00390625" style="0" customWidth="1"/>
    <col min="6" max="7" width="9.00390625" style="0" customWidth="1"/>
    <col min="8" max="9" width="10.375" style="0" bestFit="1" customWidth="1"/>
  </cols>
  <sheetData>
    <row r="1" ht="14.25">
      <c r="B1" t="s">
        <v>171</v>
      </c>
    </row>
    <row r="2" ht="14.25">
      <c r="B2" t="s">
        <v>148</v>
      </c>
    </row>
    <row r="3" ht="14.25">
      <c r="B3" t="s">
        <v>149</v>
      </c>
    </row>
    <row r="4" ht="14.25">
      <c r="B4" t="s">
        <v>81</v>
      </c>
    </row>
    <row r="5" ht="14.25">
      <c r="B5" t="s">
        <v>133</v>
      </c>
    </row>
    <row r="6" ht="38.1" customHeight="1"/>
    <row r="7" ht="16.5" customHeight="1">
      <c r="B7" s="105"/>
    </row>
    <row r="10" ht="14.25">
      <c r="B10" s="61" t="s">
        <v>82</v>
      </c>
    </row>
    <row r="11" ht="15" thickBot="1"/>
    <row r="12" spans="2:9" ht="28.5" customHeight="1">
      <c r="B12" s="63" t="s">
        <v>83</v>
      </c>
      <c r="C12" s="64" t="s">
        <v>84</v>
      </c>
      <c r="D12" s="64" t="s">
        <v>85</v>
      </c>
      <c r="E12" s="64" t="s">
        <v>86</v>
      </c>
      <c r="F12" s="64" t="s">
        <v>87</v>
      </c>
      <c r="G12" s="64" t="s">
        <v>88</v>
      </c>
      <c r="H12" s="64" t="s">
        <v>89</v>
      </c>
      <c r="I12" s="64" t="s">
        <v>90</v>
      </c>
    </row>
    <row r="13" spans="2:9" ht="14.25">
      <c r="B13" s="65" t="s">
        <v>150</v>
      </c>
      <c r="C13" s="66">
        <v>20</v>
      </c>
      <c r="D13" s="66">
        <v>0</v>
      </c>
      <c r="E13" s="66">
        <v>20</v>
      </c>
      <c r="F13" s="73">
        <v>1</v>
      </c>
      <c r="G13" s="73">
        <v>5</v>
      </c>
      <c r="H13" s="73">
        <v>3</v>
      </c>
      <c r="I13" s="73">
        <v>1.4509525002200234</v>
      </c>
    </row>
    <row r="14" spans="2:9" ht="15" thickBot="1">
      <c r="B14" s="72" t="s">
        <v>61</v>
      </c>
      <c r="C14" s="68">
        <v>20</v>
      </c>
      <c r="D14" s="68">
        <v>0</v>
      </c>
      <c r="E14" s="68">
        <v>20</v>
      </c>
      <c r="F14" s="75">
        <v>0</v>
      </c>
      <c r="G14" s="75">
        <v>422639.8844965964</v>
      </c>
      <c r="H14" s="75">
        <v>103298.42808203107</v>
      </c>
      <c r="I14" s="75">
        <v>154608.88752431975</v>
      </c>
    </row>
    <row r="17" ht="14.25">
      <c r="B17" s="61" t="s">
        <v>91</v>
      </c>
    </row>
    <row r="18" ht="15" thickBot="1"/>
    <row r="19" spans="2:6" ht="28.5">
      <c r="B19" s="64" t="s">
        <v>83</v>
      </c>
      <c r="C19" s="64" t="s">
        <v>98</v>
      </c>
      <c r="D19" s="64" t="s">
        <v>99</v>
      </c>
      <c r="E19" s="64" t="s">
        <v>100</v>
      </c>
      <c r="F19" s="64" t="s">
        <v>101</v>
      </c>
    </row>
    <row r="20" spans="2:6" ht="14.25">
      <c r="B20" s="69" t="s">
        <v>150</v>
      </c>
      <c r="C20" s="65" t="s">
        <v>93</v>
      </c>
      <c r="D20" s="66">
        <v>4</v>
      </c>
      <c r="E20" s="66">
        <v>4</v>
      </c>
      <c r="F20" s="73">
        <v>20</v>
      </c>
    </row>
    <row r="21" spans="2:6" ht="14.25">
      <c r="B21" s="70" t="s">
        <v>92</v>
      </c>
      <c r="C21" s="62" t="s">
        <v>94</v>
      </c>
      <c r="D21" s="67">
        <v>4</v>
      </c>
      <c r="E21" s="67">
        <v>4</v>
      </c>
      <c r="F21" s="74">
        <v>20</v>
      </c>
    </row>
    <row r="22" spans="2:6" ht="14.25">
      <c r="B22" s="70" t="s">
        <v>92</v>
      </c>
      <c r="C22" s="62" t="s">
        <v>95</v>
      </c>
      <c r="D22" s="67">
        <v>4</v>
      </c>
      <c r="E22" s="67">
        <v>4</v>
      </c>
      <c r="F22" s="74">
        <v>20</v>
      </c>
    </row>
    <row r="23" spans="2:6" ht="14.25">
      <c r="B23" s="70" t="s">
        <v>92</v>
      </c>
      <c r="C23" s="62" t="s">
        <v>96</v>
      </c>
      <c r="D23" s="67">
        <v>4</v>
      </c>
      <c r="E23" s="67">
        <v>4</v>
      </c>
      <c r="F23" s="74">
        <v>20</v>
      </c>
    </row>
    <row r="24" spans="2:6" ht="15" thickBot="1">
      <c r="B24" s="71" t="s">
        <v>92</v>
      </c>
      <c r="C24" s="72" t="s">
        <v>97</v>
      </c>
      <c r="D24" s="68">
        <v>4</v>
      </c>
      <c r="E24" s="68">
        <v>4</v>
      </c>
      <c r="F24" s="75">
        <v>20</v>
      </c>
    </row>
    <row r="27" ht="14.25">
      <c r="B27" s="61" t="s">
        <v>102</v>
      </c>
    </row>
    <row r="28" ht="15" thickBot="1"/>
    <row r="29" spans="2:9" ht="28.5" customHeight="1">
      <c r="B29" s="63" t="s">
        <v>83</v>
      </c>
      <c r="C29" s="64" t="s">
        <v>84</v>
      </c>
      <c r="D29" s="64" t="s">
        <v>85</v>
      </c>
      <c r="E29" s="64" t="s">
        <v>86</v>
      </c>
      <c r="F29" s="64" t="s">
        <v>87</v>
      </c>
      <c r="G29" s="64" t="s">
        <v>88</v>
      </c>
      <c r="H29" s="64" t="s">
        <v>89</v>
      </c>
      <c r="I29" s="64" t="s">
        <v>90</v>
      </c>
    </row>
    <row r="30" spans="2:9" ht="14.25">
      <c r="B30" s="65" t="s">
        <v>151</v>
      </c>
      <c r="C30" s="66">
        <v>4</v>
      </c>
      <c r="D30" s="66">
        <v>0</v>
      </c>
      <c r="E30" s="66">
        <v>4</v>
      </c>
      <c r="F30" s="73">
        <v>1</v>
      </c>
      <c r="G30" s="73">
        <v>1</v>
      </c>
      <c r="H30" s="73">
        <v>1</v>
      </c>
      <c r="I30" s="73">
        <v>0</v>
      </c>
    </row>
    <row r="31" spans="2:9" ht="14.25">
      <c r="B31" s="62" t="s">
        <v>152</v>
      </c>
      <c r="C31" s="67">
        <v>4</v>
      </c>
      <c r="D31" s="67">
        <v>0</v>
      </c>
      <c r="E31" s="67">
        <v>4</v>
      </c>
      <c r="F31" s="74">
        <v>2</v>
      </c>
      <c r="G31" s="74">
        <v>2</v>
      </c>
      <c r="H31" s="74">
        <v>2</v>
      </c>
      <c r="I31" s="74">
        <v>0</v>
      </c>
    </row>
    <row r="32" spans="2:9" ht="14.25">
      <c r="B32" s="62" t="s">
        <v>153</v>
      </c>
      <c r="C32" s="67">
        <v>4</v>
      </c>
      <c r="D32" s="67">
        <v>0</v>
      </c>
      <c r="E32" s="67">
        <v>4</v>
      </c>
      <c r="F32" s="74">
        <v>3</v>
      </c>
      <c r="G32" s="74">
        <v>3</v>
      </c>
      <c r="H32" s="74">
        <v>3</v>
      </c>
      <c r="I32" s="74">
        <v>0</v>
      </c>
    </row>
    <row r="33" spans="2:9" ht="14.25">
      <c r="B33" s="62" t="s">
        <v>154</v>
      </c>
      <c r="C33" s="67">
        <v>4</v>
      </c>
      <c r="D33" s="67">
        <v>0</v>
      </c>
      <c r="E33" s="67">
        <v>4</v>
      </c>
      <c r="F33" s="74">
        <v>4</v>
      </c>
      <c r="G33" s="74">
        <v>4</v>
      </c>
      <c r="H33" s="74">
        <v>4</v>
      </c>
      <c r="I33" s="74">
        <v>0</v>
      </c>
    </row>
    <row r="34" spans="2:9" ht="14.25">
      <c r="B34" s="62" t="s">
        <v>155</v>
      </c>
      <c r="C34" s="67">
        <v>4</v>
      </c>
      <c r="D34" s="67">
        <v>0</v>
      </c>
      <c r="E34" s="67">
        <v>4</v>
      </c>
      <c r="F34" s="74">
        <v>5</v>
      </c>
      <c r="G34" s="74">
        <v>5</v>
      </c>
      <c r="H34" s="74">
        <v>5</v>
      </c>
      <c r="I34" s="74">
        <v>0</v>
      </c>
    </row>
    <row r="35" spans="2:9" ht="14.25">
      <c r="B35" s="62" t="s">
        <v>156</v>
      </c>
      <c r="C35" s="67">
        <v>4</v>
      </c>
      <c r="D35" s="67">
        <v>0</v>
      </c>
      <c r="E35" s="67">
        <v>4</v>
      </c>
      <c r="F35" s="74">
        <v>21848.674210596037</v>
      </c>
      <c r="G35" s="74">
        <v>422639.8844965964</v>
      </c>
      <c r="H35" s="74">
        <v>227567.62478414943</v>
      </c>
      <c r="I35" s="74">
        <v>212069.00499051868</v>
      </c>
    </row>
    <row r="36" spans="2:9" ht="14.25">
      <c r="B36" s="62" t="s">
        <v>157</v>
      </c>
      <c r="C36" s="67">
        <v>4</v>
      </c>
      <c r="D36" s="67">
        <v>0</v>
      </c>
      <c r="E36" s="67">
        <v>4</v>
      </c>
      <c r="F36" s="74">
        <v>16.718653319162605</v>
      </c>
      <c r="G36" s="74">
        <v>876.6699391216303</v>
      </c>
      <c r="H36" s="74">
        <v>415.73484251827335</v>
      </c>
      <c r="I36" s="74">
        <v>353.0411877212203</v>
      </c>
    </row>
    <row r="37" spans="2:9" ht="14.25">
      <c r="B37" s="62" t="s">
        <v>158</v>
      </c>
      <c r="C37" s="67">
        <v>4</v>
      </c>
      <c r="D37" s="67">
        <v>0</v>
      </c>
      <c r="E37" s="67">
        <v>4</v>
      </c>
      <c r="F37" s="74">
        <v>6210.916575621477</v>
      </c>
      <c r="G37" s="74">
        <v>385684.14190038544</v>
      </c>
      <c r="H37" s="74">
        <v>140393.524755932</v>
      </c>
      <c r="I37" s="74">
        <v>172858.96518270383</v>
      </c>
    </row>
    <row r="38" spans="2:9" ht="14.25">
      <c r="B38" s="62" t="s">
        <v>159</v>
      </c>
      <c r="C38" s="67">
        <v>4</v>
      </c>
      <c r="D38" s="67">
        <v>0</v>
      </c>
      <c r="E38" s="67">
        <v>4</v>
      </c>
      <c r="F38" s="74">
        <v>44313.62948993746</v>
      </c>
      <c r="G38" s="74">
        <v>374707.4666997265</v>
      </c>
      <c r="H38" s="74">
        <v>147043.42287233195</v>
      </c>
      <c r="I38" s="74">
        <v>153338.61634227404</v>
      </c>
    </row>
    <row r="39" spans="2:9" ht="15" thickBot="1">
      <c r="B39" s="72" t="s">
        <v>160</v>
      </c>
      <c r="C39" s="68">
        <v>4</v>
      </c>
      <c r="D39" s="68">
        <v>0</v>
      </c>
      <c r="E39" s="68">
        <v>4</v>
      </c>
      <c r="F39" s="75">
        <v>0</v>
      </c>
      <c r="G39" s="75">
        <v>2428.0116380540444</v>
      </c>
      <c r="H39" s="75">
        <v>1071.8331552236516</v>
      </c>
      <c r="I39" s="75">
        <v>1253.646423778154</v>
      </c>
    </row>
    <row r="42" ht="15">
      <c r="B42" s="60" t="s">
        <v>161</v>
      </c>
    </row>
    <row r="44" ht="14.25">
      <c r="B44" s="61" t="s">
        <v>162</v>
      </c>
    </row>
    <row r="45" ht="15" thickBot="1"/>
    <row r="46" spans="2:3" ht="14.25">
      <c r="B46" s="76" t="s">
        <v>140</v>
      </c>
      <c r="C46" s="143">
        <v>19.000000000000007</v>
      </c>
    </row>
    <row r="47" spans="2:3" ht="14.25">
      <c r="B47" s="62" t="s">
        <v>103</v>
      </c>
      <c r="C47" s="79">
        <v>3.927469650600956E-10</v>
      </c>
    </row>
    <row r="48" spans="2:3" ht="15" thickBot="1">
      <c r="B48" s="72" t="s">
        <v>104</v>
      </c>
      <c r="C48" s="80">
        <v>0.05</v>
      </c>
    </row>
    <row r="49" ht="14.25">
      <c r="B49" t="s">
        <v>141</v>
      </c>
    </row>
    <row r="51" ht="14.25">
      <c r="B51" s="61" t="s">
        <v>105</v>
      </c>
    </row>
    <row r="52" ht="14.25">
      <c r="B52" s="61" t="s">
        <v>106</v>
      </c>
    </row>
    <row r="53" ht="14.25">
      <c r="B53" s="61" t="s">
        <v>107</v>
      </c>
    </row>
    <row r="54" spans="2:10" ht="14.25" customHeight="1">
      <c r="B54" s="170" t="s">
        <v>108</v>
      </c>
      <c r="C54" s="170"/>
      <c r="D54" s="170"/>
      <c r="E54" s="170"/>
      <c r="F54" s="170"/>
      <c r="G54" s="170"/>
      <c r="H54" s="170"/>
      <c r="I54" s="170"/>
      <c r="J54" s="170"/>
    </row>
    <row r="55" spans="2:10" ht="14.25">
      <c r="B55" s="170"/>
      <c r="C55" s="170"/>
      <c r="D55" s="170"/>
      <c r="E55" s="170"/>
      <c r="F55" s="170"/>
      <c r="G55" s="170"/>
      <c r="H55" s="170"/>
      <c r="I55" s="170"/>
      <c r="J55" s="170"/>
    </row>
    <row r="58" ht="14.25">
      <c r="B58" t="s">
        <v>163</v>
      </c>
    </row>
    <row r="61" ht="14.25">
      <c r="B61" s="61" t="s">
        <v>110</v>
      </c>
    </row>
    <row r="62" ht="15" thickBot="1"/>
    <row r="63" spans="2:8" ht="28.5">
      <c r="B63" s="63" t="s">
        <v>111</v>
      </c>
      <c r="C63" s="64" t="s">
        <v>112</v>
      </c>
      <c r="D63" s="64" t="s">
        <v>113</v>
      </c>
      <c r="E63" s="64" t="s">
        <v>114</v>
      </c>
      <c r="F63" s="171" t="s">
        <v>115</v>
      </c>
      <c r="G63" s="172"/>
      <c r="H63" s="172"/>
    </row>
    <row r="64" spans="2:8" ht="14.25">
      <c r="B64" s="65" t="s">
        <v>97</v>
      </c>
      <c r="C64" s="81">
        <v>4</v>
      </c>
      <c r="D64" s="84">
        <v>74</v>
      </c>
      <c r="E64" s="84">
        <v>18.5</v>
      </c>
      <c r="F64" s="87" t="s">
        <v>71</v>
      </c>
      <c r="G64" s="84"/>
      <c r="H64" s="84"/>
    </row>
    <row r="65" spans="2:8" ht="14.25">
      <c r="B65" s="62" t="s">
        <v>96</v>
      </c>
      <c r="C65" s="82">
        <v>4</v>
      </c>
      <c r="D65" s="57">
        <v>58</v>
      </c>
      <c r="E65" s="57">
        <v>14.5</v>
      </c>
      <c r="F65" s="88" t="s">
        <v>71</v>
      </c>
      <c r="G65" s="57" t="s">
        <v>72</v>
      </c>
      <c r="H65" s="57"/>
    </row>
    <row r="66" spans="2:8" ht="14.25">
      <c r="B66" s="62" t="s">
        <v>95</v>
      </c>
      <c r="C66" s="82">
        <v>4</v>
      </c>
      <c r="D66" s="57">
        <v>42</v>
      </c>
      <c r="E66" s="57">
        <v>10.5</v>
      </c>
      <c r="F66" s="88" t="s">
        <v>71</v>
      </c>
      <c r="G66" s="57" t="s">
        <v>72</v>
      </c>
      <c r="H66" s="57" t="s">
        <v>164</v>
      </c>
    </row>
    <row r="67" spans="2:8" ht="14.25">
      <c r="B67" s="62" t="s">
        <v>94</v>
      </c>
      <c r="C67" s="82">
        <v>4</v>
      </c>
      <c r="D67" s="57">
        <v>26</v>
      </c>
      <c r="E67" s="57">
        <v>6.5</v>
      </c>
      <c r="F67" s="88"/>
      <c r="G67" s="57" t="s">
        <v>72</v>
      </c>
      <c r="H67" s="57" t="s">
        <v>164</v>
      </c>
    </row>
    <row r="68" spans="2:8" ht="15" thickBot="1">
      <c r="B68" s="72" t="s">
        <v>93</v>
      </c>
      <c r="C68" s="83">
        <v>4</v>
      </c>
      <c r="D68" s="85">
        <v>10</v>
      </c>
      <c r="E68" s="85">
        <v>2.5</v>
      </c>
      <c r="F68" s="89"/>
      <c r="G68" s="85"/>
      <c r="H68" s="85" t="s">
        <v>164</v>
      </c>
    </row>
    <row r="71" ht="15">
      <c r="B71" s="60" t="s">
        <v>165</v>
      </c>
    </row>
    <row r="73" ht="14.25">
      <c r="B73" s="61" t="s">
        <v>116</v>
      </c>
    </row>
    <row r="74" ht="15" thickBot="1"/>
    <row r="75" spans="2:7" ht="14.25">
      <c r="B75" s="63"/>
      <c r="C75" s="64" t="s">
        <v>93</v>
      </c>
      <c r="D75" s="64" t="s">
        <v>94</v>
      </c>
      <c r="E75" s="64" t="s">
        <v>95</v>
      </c>
      <c r="F75" s="64" t="s">
        <v>96</v>
      </c>
      <c r="G75" s="64" t="s">
        <v>97</v>
      </c>
    </row>
    <row r="76" spans="2:7" ht="15">
      <c r="B76" s="65" t="s">
        <v>93</v>
      </c>
      <c r="C76" s="91">
        <v>0</v>
      </c>
      <c r="D76" s="90">
        <v>-4</v>
      </c>
      <c r="E76" s="90">
        <v>-8</v>
      </c>
      <c r="F76" s="144">
        <v>-12</v>
      </c>
      <c r="G76" s="144">
        <v>-16</v>
      </c>
    </row>
    <row r="77" spans="2:7" ht="15">
      <c r="B77" s="62" t="s">
        <v>94</v>
      </c>
      <c r="C77" s="78">
        <v>4</v>
      </c>
      <c r="D77" s="92">
        <v>0</v>
      </c>
      <c r="E77" s="78">
        <v>-4</v>
      </c>
      <c r="F77" s="78">
        <v>-8</v>
      </c>
      <c r="G77" s="145">
        <v>-12</v>
      </c>
    </row>
    <row r="78" spans="2:7" ht="14.25">
      <c r="B78" s="62" t="s">
        <v>95</v>
      </c>
      <c r="C78" s="78">
        <v>8</v>
      </c>
      <c r="D78" s="78">
        <v>4</v>
      </c>
      <c r="E78" s="92">
        <v>0</v>
      </c>
      <c r="F78" s="78">
        <v>-4</v>
      </c>
      <c r="G78" s="78">
        <v>-8</v>
      </c>
    </row>
    <row r="79" spans="2:7" ht="15">
      <c r="B79" s="62" t="s">
        <v>96</v>
      </c>
      <c r="C79" s="145">
        <v>12</v>
      </c>
      <c r="D79" s="78">
        <v>8</v>
      </c>
      <c r="E79" s="78">
        <v>4</v>
      </c>
      <c r="F79" s="92">
        <v>0</v>
      </c>
      <c r="G79" s="78">
        <v>-4</v>
      </c>
    </row>
    <row r="80" spans="2:7" ht="15.75" thickBot="1">
      <c r="B80" s="72" t="s">
        <v>97</v>
      </c>
      <c r="C80" s="146">
        <v>16</v>
      </c>
      <c r="D80" s="146">
        <v>12</v>
      </c>
      <c r="E80" s="80">
        <v>8</v>
      </c>
      <c r="F80" s="80">
        <v>4</v>
      </c>
      <c r="G80" s="93">
        <v>0</v>
      </c>
    </row>
    <row r="83" ht="14.25">
      <c r="B83" s="61" t="s">
        <v>117</v>
      </c>
    </row>
    <row r="84" ht="15" thickBot="1"/>
    <row r="85" spans="2:7" ht="14.25">
      <c r="B85" s="63"/>
      <c r="C85" s="64" t="s">
        <v>93</v>
      </c>
      <c r="D85" s="64" t="s">
        <v>94</v>
      </c>
      <c r="E85" s="64" t="s">
        <v>95</v>
      </c>
      <c r="F85" s="64" t="s">
        <v>96</v>
      </c>
      <c r="G85" s="64" t="s">
        <v>97</v>
      </c>
    </row>
    <row r="86" spans="2:7" ht="15">
      <c r="B86" s="65" t="s">
        <v>93</v>
      </c>
      <c r="C86" s="94">
        <v>1</v>
      </c>
      <c r="D86" s="99">
        <v>0.3297192973126788</v>
      </c>
      <c r="E86" s="99">
        <v>0.051252582857369555</v>
      </c>
      <c r="F86" s="148">
        <v>0.0034552222675230393</v>
      </c>
      <c r="G86" s="148">
        <v>9.670342062695347E-05</v>
      </c>
    </row>
    <row r="87" spans="2:7" ht="15">
      <c r="B87" s="62" t="s">
        <v>94</v>
      </c>
      <c r="C87" s="100">
        <v>0.3297192973126788</v>
      </c>
      <c r="D87" s="97">
        <v>1</v>
      </c>
      <c r="E87" s="98">
        <v>0.3297192973126788</v>
      </c>
      <c r="F87" s="98">
        <v>0.051252582857369555</v>
      </c>
      <c r="G87" s="147">
        <v>0.0034552222675230393</v>
      </c>
    </row>
    <row r="88" spans="2:7" ht="14.25">
      <c r="B88" s="62" t="s">
        <v>95</v>
      </c>
      <c r="C88" s="100">
        <v>0.051252582857369555</v>
      </c>
      <c r="D88" s="100">
        <v>0.3297192973126788</v>
      </c>
      <c r="E88" s="97">
        <v>1</v>
      </c>
      <c r="F88" s="98">
        <v>0.3297192973126788</v>
      </c>
      <c r="G88" s="98">
        <v>0.051252582857369555</v>
      </c>
    </row>
    <row r="89" spans="2:7" ht="15">
      <c r="B89" s="62" t="s">
        <v>96</v>
      </c>
      <c r="C89" s="147">
        <v>0.0034552222675230393</v>
      </c>
      <c r="D89" s="100">
        <v>0.051252582857369555</v>
      </c>
      <c r="E89" s="100">
        <v>0.3297192973126788</v>
      </c>
      <c r="F89" s="97">
        <v>1</v>
      </c>
      <c r="G89" s="98">
        <v>0.3297192973126788</v>
      </c>
    </row>
    <row r="90" spans="2:7" ht="15.75" thickBot="1">
      <c r="B90" s="72" t="s">
        <v>97</v>
      </c>
      <c r="C90" s="149">
        <v>9.670342062695347E-05</v>
      </c>
      <c r="D90" s="149">
        <v>0.0034552222675230393</v>
      </c>
      <c r="E90" s="102">
        <v>0.051252582857369555</v>
      </c>
      <c r="F90" s="102">
        <v>0.3297192973126788</v>
      </c>
      <c r="G90" s="103">
        <v>1</v>
      </c>
    </row>
    <row r="91" ht="14.25">
      <c r="B91" s="104" t="s">
        <v>118</v>
      </c>
    </row>
    <row r="94" ht="14.25">
      <c r="B94" s="61" t="s">
        <v>119</v>
      </c>
    </row>
    <row r="95" ht="15" thickBot="1"/>
    <row r="96" spans="2:7" ht="14.25">
      <c r="B96" s="63"/>
      <c r="C96" s="64" t="s">
        <v>93</v>
      </c>
      <c r="D96" s="64" t="s">
        <v>94</v>
      </c>
      <c r="E96" s="64" t="s">
        <v>95</v>
      </c>
      <c r="F96" s="64" t="s">
        <v>96</v>
      </c>
      <c r="G96" s="64" t="s">
        <v>97</v>
      </c>
    </row>
    <row r="97" spans="2:7" ht="15">
      <c r="B97" s="65" t="s">
        <v>93</v>
      </c>
      <c r="C97" s="81" t="s">
        <v>120</v>
      </c>
      <c r="D97" s="81" t="s">
        <v>120</v>
      </c>
      <c r="E97" s="81" t="s">
        <v>120</v>
      </c>
      <c r="F97" s="150" t="s">
        <v>166</v>
      </c>
      <c r="G97" s="150" t="s">
        <v>166</v>
      </c>
    </row>
    <row r="98" spans="2:7" ht="15">
      <c r="B98" s="62" t="s">
        <v>94</v>
      </c>
      <c r="C98" s="82" t="s">
        <v>120</v>
      </c>
      <c r="D98" s="82" t="s">
        <v>120</v>
      </c>
      <c r="E98" s="82" t="s">
        <v>120</v>
      </c>
      <c r="F98" s="82" t="s">
        <v>120</v>
      </c>
      <c r="G98" s="151" t="s">
        <v>166</v>
      </c>
    </row>
    <row r="99" spans="2:7" ht="14.25">
      <c r="B99" s="62" t="s">
        <v>95</v>
      </c>
      <c r="C99" s="82" t="s">
        <v>120</v>
      </c>
      <c r="D99" s="82" t="s">
        <v>120</v>
      </c>
      <c r="E99" s="82" t="s">
        <v>120</v>
      </c>
      <c r="F99" s="82" t="s">
        <v>120</v>
      </c>
      <c r="G99" s="82" t="s">
        <v>120</v>
      </c>
    </row>
    <row r="100" spans="2:7" ht="15">
      <c r="B100" s="62" t="s">
        <v>96</v>
      </c>
      <c r="C100" s="151" t="s">
        <v>166</v>
      </c>
      <c r="D100" s="82" t="s">
        <v>120</v>
      </c>
      <c r="E100" s="82" t="s">
        <v>120</v>
      </c>
      <c r="F100" s="82" t="s">
        <v>120</v>
      </c>
      <c r="G100" s="82" t="s">
        <v>120</v>
      </c>
    </row>
    <row r="101" spans="2:7" ht="15.75" thickBot="1">
      <c r="B101" s="72" t="s">
        <v>97</v>
      </c>
      <c r="C101" s="152" t="s">
        <v>166</v>
      </c>
      <c r="D101" s="152" t="s">
        <v>166</v>
      </c>
      <c r="E101" s="83" t="s">
        <v>120</v>
      </c>
      <c r="F101" s="83" t="s">
        <v>120</v>
      </c>
      <c r="G101" s="83" t="s">
        <v>120</v>
      </c>
    </row>
    <row r="121" ht="14.25">
      <c r="G121" t="s">
        <v>109</v>
      </c>
    </row>
    <row r="141" ht="14.25">
      <c r="G141" t="s">
        <v>109</v>
      </c>
    </row>
    <row r="144" ht="15">
      <c r="B144" s="60" t="s">
        <v>167</v>
      </c>
    </row>
    <row r="146" ht="14.25">
      <c r="B146" s="61" t="s">
        <v>168</v>
      </c>
    </row>
    <row r="147" ht="15" thickBot="1"/>
    <row r="148" spans="2:3" ht="14.25">
      <c r="B148" s="76" t="s">
        <v>140</v>
      </c>
      <c r="C148" s="77">
        <v>13.942857142857136</v>
      </c>
    </row>
    <row r="149" spans="2:3" ht="14.25">
      <c r="B149" s="62" t="s">
        <v>103</v>
      </c>
      <c r="C149" s="79">
        <v>0.0005564446855910748</v>
      </c>
    </row>
    <row r="150" spans="2:3" ht="15" thickBot="1">
      <c r="B150" s="72" t="s">
        <v>104</v>
      </c>
      <c r="C150" s="80">
        <v>0.05</v>
      </c>
    </row>
    <row r="151" ht="14.25">
      <c r="B151" t="s">
        <v>169</v>
      </c>
    </row>
    <row r="153" ht="14.25">
      <c r="B153" s="61" t="s">
        <v>105</v>
      </c>
    </row>
    <row r="154" ht="14.25">
      <c r="B154" s="61" t="s">
        <v>106</v>
      </c>
    </row>
    <row r="155" ht="14.25">
      <c r="B155" s="61" t="s">
        <v>107</v>
      </c>
    </row>
    <row r="156" spans="2:10" ht="14.25" customHeight="1">
      <c r="B156" s="170" t="s">
        <v>108</v>
      </c>
      <c r="C156" s="170"/>
      <c r="D156" s="170"/>
      <c r="E156" s="170"/>
      <c r="F156" s="170"/>
      <c r="G156" s="170"/>
      <c r="H156" s="170"/>
      <c r="I156" s="170"/>
      <c r="J156" s="170"/>
    </row>
    <row r="157" spans="2:10" ht="14.25">
      <c r="B157" s="170"/>
      <c r="C157" s="170"/>
      <c r="D157" s="170"/>
      <c r="E157" s="170"/>
      <c r="F157" s="170"/>
      <c r="G157" s="170"/>
      <c r="H157" s="170"/>
      <c r="I157" s="170"/>
      <c r="J157" s="170"/>
    </row>
    <row r="160" ht="14.25">
      <c r="B160" s="61" t="s">
        <v>110</v>
      </c>
    </row>
    <row r="161" ht="15" thickBot="1"/>
    <row r="162" spans="2:6" ht="28.5">
      <c r="B162" s="63" t="s">
        <v>111</v>
      </c>
      <c r="C162" s="64" t="s">
        <v>112</v>
      </c>
      <c r="D162" s="64" t="s">
        <v>113</v>
      </c>
      <c r="E162" s="64" t="s">
        <v>114</v>
      </c>
      <c r="F162" s="86" t="s">
        <v>115</v>
      </c>
    </row>
    <row r="163" spans="2:6" ht="14.25">
      <c r="B163" s="65" t="s">
        <v>93</v>
      </c>
      <c r="C163" s="81">
        <v>4</v>
      </c>
      <c r="D163" s="84">
        <v>62</v>
      </c>
      <c r="E163" s="84">
        <v>15.5</v>
      </c>
      <c r="F163" s="87" t="s">
        <v>71</v>
      </c>
    </row>
    <row r="164" spans="2:6" ht="14.25">
      <c r="B164" s="62" t="s">
        <v>96</v>
      </c>
      <c r="C164" s="82">
        <v>4</v>
      </c>
      <c r="D164" s="57">
        <v>58</v>
      </c>
      <c r="E164" s="57">
        <v>14.5</v>
      </c>
      <c r="F164" s="88" t="s">
        <v>71</v>
      </c>
    </row>
    <row r="165" spans="2:6" ht="14.25">
      <c r="B165" s="62" t="s">
        <v>95</v>
      </c>
      <c r="C165" s="82">
        <v>4</v>
      </c>
      <c r="D165" s="57">
        <v>54</v>
      </c>
      <c r="E165" s="57">
        <v>13.5</v>
      </c>
      <c r="F165" s="88" t="s">
        <v>71</v>
      </c>
    </row>
    <row r="166" spans="2:6" ht="14.25">
      <c r="B166" s="62" t="s">
        <v>94</v>
      </c>
      <c r="C166" s="82">
        <v>4</v>
      </c>
      <c r="D166" s="57">
        <v>18</v>
      </c>
      <c r="E166" s="57">
        <v>4.5</v>
      </c>
      <c r="F166" s="88" t="s">
        <v>71</v>
      </c>
    </row>
    <row r="167" spans="2:6" ht="15" thickBot="1">
      <c r="B167" s="72" t="s">
        <v>97</v>
      </c>
      <c r="C167" s="83">
        <v>4</v>
      </c>
      <c r="D167" s="85">
        <v>18</v>
      </c>
      <c r="E167" s="85">
        <v>4.5</v>
      </c>
      <c r="F167" s="89" t="s">
        <v>71</v>
      </c>
    </row>
    <row r="170" ht="15">
      <c r="B170" s="60" t="s">
        <v>170</v>
      </c>
    </row>
    <row r="172" ht="14.25">
      <c r="B172" s="61" t="s">
        <v>116</v>
      </c>
    </row>
    <row r="173" ht="15" thickBot="1"/>
    <row r="174" spans="2:7" ht="14.25">
      <c r="B174" s="63"/>
      <c r="C174" s="64" t="s">
        <v>93</v>
      </c>
      <c r="D174" s="64" t="s">
        <v>94</v>
      </c>
      <c r="E174" s="64" t="s">
        <v>95</v>
      </c>
      <c r="F174" s="64" t="s">
        <v>96</v>
      </c>
      <c r="G174" s="64" t="s">
        <v>97</v>
      </c>
    </row>
    <row r="175" spans="2:7" ht="14.25">
      <c r="B175" s="65" t="s">
        <v>93</v>
      </c>
      <c r="C175" s="91">
        <v>0</v>
      </c>
      <c r="D175" s="90">
        <v>11</v>
      </c>
      <c r="E175" s="90">
        <v>2</v>
      </c>
      <c r="F175" s="90">
        <v>1</v>
      </c>
      <c r="G175" s="90">
        <v>11</v>
      </c>
    </row>
    <row r="176" spans="2:7" ht="14.25">
      <c r="B176" s="62" t="s">
        <v>94</v>
      </c>
      <c r="C176" s="78">
        <v>-11</v>
      </c>
      <c r="D176" s="92">
        <v>0</v>
      </c>
      <c r="E176" s="78">
        <v>-9</v>
      </c>
      <c r="F176" s="78">
        <v>-10</v>
      </c>
      <c r="G176" s="78">
        <v>0</v>
      </c>
    </row>
    <row r="177" spans="2:7" ht="14.25">
      <c r="B177" s="62" t="s">
        <v>95</v>
      </c>
      <c r="C177" s="78">
        <v>-2</v>
      </c>
      <c r="D177" s="78">
        <v>9</v>
      </c>
      <c r="E177" s="92">
        <v>0</v>
      </c>
      <c r="F177" s="78">
        <v>-1</v>
      </c>
      <c r="G177" s="78">
        <v>9</v>
      </c>
    </row>
    <row r="178" spans="2:7" ht="14.25">
      <c r="B178" s="62" t="s">
        <v>96</v>
      </c>
      <c r="C178" s="78">
        <v>-1</v>
      </c>
      <c r="D178" s="78">
        <v>10</v>
      </c>
      <c r="E178" s="78">
        <v>1</v>
      </c>
      <c r="F178" s="92">
        <v>0</v>
      </c>
      <c r="G178" s="78">
        <v>10</v>
      </c>
    </row>
    <row r="179" spans="2:7" ht="15" thickBot="1">
      <c r="B179" s="72" t="s">
        <v>97</v>
      </c>
      <c r="C179" s="80">
        <v>-11</v>
      </c>
      <c r="D179" s="80">
        <v>0</v>
      </c>
      <c r="E179" s="80">
        <v>-9</v>
      </c>
      <c r="F179" s="80">
        <v>-10</v>
      </c>
      <c r="G179" s="93">
        <v>0</v>
      </c>
    </row>
    <row r="182" ht="14.25">
      <c r="B182" s="61" t="s">
        <v>117</v>
      </c>
    </row>
    <row r="183" ht="15" thickBot="1"/>
    <row r="184" spans="2:7" ht="14.25">
      <c r="B184" s="63"/>
      <c r="C184" s="64" t="s">
        <v>93</v>
      </c>
      <c r="D184" s="64" t="s">
        <v>94</v>
      </c>
      <c r="E184" s="64" t="s">
        <v>95</v>
      </c>
      <c r="F184" s="64" t="s">
        <v>96</v>
      </c>
      <c r="G184" s="64" t="s">
        <v>97</v>
      </c>
    </row>
    <row r="185" spans="2:7" ht="14.25">
      <c r="B185" s="65" t="s">
        <v>93</v>
      </c>
      <c r="C185" s="94">
        <v>1</v>
      </c>
      <c r="D185" s="96">
        <v>0.008550979237125222</v>
      </c>
      <c r="E185" s="99">
        <v>0.6325851216960414</v>
      </c>
      <c r="F185" s="99">
        <v>0.8110701293339075</v>
      </c>
      <c r="G185" s="96">
        <v>0.008550979237125222</v>
      </c>
    </row>
    <row r="186" spans="2:7" ht="14.25">
      <c r="B186" s="62" t="s">
        <v>94</v>
      </c>
      <c r="C186" s="95">
        <v>0.008550979237125222</v>
      </c>
      <c r="D186" s="97">
        <v>1</v>
      </c>
      <c r="E186" s="95">
        <v>0.03144373454589244</v>
      </c>
      <c r="F186" s="95">
        <v>0.01682740948275696</v>
      </c>
      <c r="G186" s="98">
        <v>1</v>
      </c>
    </row>
    <row r="187" spans="2:7" ht="14.25">
      <c r="B187" s="62" t="s">
        <v>95</v>
      </c>
      <c r="C187" s="100">
        <v>0.6325851216960414</v>
      </c>
      <c r="D187" s="95">
        <v>0.03144373454589244</v>
      </c>
      <c r="E187" s="97">
        <v>1</v>
      </c>
      <c r="F187" s="98">
        <v>0.8110701293339075</v>
      </c>
      <c r="G187" s="95">
        <v>0.03144373454589244</v>
      </c>
    </row>
    <row r="188" spans="2:7" ht="14.25">
      <c r="B188" s="62" t="s">
        <v>96</v>
      </c>
      <c r="C188" s="100">
        <v>0.8110701293339075</v>
      </c>
      <c r="D188" s="95">
        <v>0.01682740948275696</v>
      </c>
      <c r="E188" s="100">
        <v>0.8110701293339075</v>
      </c>
      <c r="F188" s="97">
        <v>1</v>
      </c>
      <c r="G188" s="95">
        <v>0.01682740948275696</v>
      </c>
    </row>
    <row r="189" spans="2:7" ht="15" thickBot="1">
      <c r="B189" s="72" t="s">
        <v>97</v>
      </c>
      <c r="C189" s="101">
        <v>0.008550979237125222</v>
      </c>
      <c r="D189" s="102">
        <v>1</v>
      </c>
      <c r="E189" s="101">
        <v>0.03144373454589244</v>
      </c>
      <c r="F189" s="101">
        <v>0.01682740948275696</v>
      </c>
      <c r="G189" s="103">
        <v>1</v>
      </c>
    </row>
    <row r="190" ht="14.25">
      <c r="B190" s="104" t="s">
        <v>118</v>
      </c>
    </row>
    <row r="193" ht="14.25">
      <c r="B193" s="61" t="s">
        <v>119</v>
      </c>
    </row>
    <row r="194" ht="15" thickBot="1"/>
    <row r="195" spans="2:7" ht="14.25">
      <c r="B195" s="63"/>
      <c r="C195" s="64" t="s">
        <v>93</v>
      </c>
      <c r="D195" s="64" t="s">
        <v>94</v>
      </c>
      <c r="E195" s="64" t="s">
        <v>95</v>
      </c>
      <c r="F195" s="64" t="s">
        <v>96</v>
      </c>
      <c r="G195" s="64" t="s">
        <v>97</v>
      </c>
    </row>
    <row r="196" spans="2:7" ht="14.25">
      <c r="B196" s="65" t="s">
        <v>93</v>
      </c>
      <c r="C196" s="81" t="s">
        <v>120</v>
      </c>
      <c r="D196" s="81" t="s">
        <v>120</v>
      </c>
      <c r="E196" s="81" t="s">
        <v>120</v>
      </c>
      <c r="F196" s="81" t="s">
        <v>120</v>
      </c>
      <c r="G196" s="81" t="s">
        <v>120</v>
      </c>
    </row>
    <row r="197" spans="2:7" ht="14.25">
      <c r="B197" s="62" t="s">
        <v>94</v>
      </c>
      <c r="C197" s="82" t="s">
        <v>120</v>
      </c>
      <c r="D197" s="82" t="s">
        <v>120</v>
      </c>
      <c r="E197" s="82" t="s">
        <v>120</v>
      </c>
      <c r="F197" s="82" t="s">
        <v>120</v>
      </c>
      <c r="G197" s="82" t="s">
        <v>120</v>
      </c>
    </row>
    <row r="198" spans="2:7" ht="14.25">
      <c r="B198" s="62" t="s">
        <v>95</v>
      </c>
      <c r="C198" s="82" t="s">
        <v>120</v>
      </c>
      <c r="D198" s="82" t="s">
        <v>120</v>
      </c>
      <c r="E198" s="82" t="s">
        <v>120</v>
      </c>
      <c r="F198" s="82" t="s">
        <v>120</v>
      </c>
      <c r="G198" s="82" t="s">
        <v>120</v>
      </c>
    </row>
    <row r="199" spans="2:7" ht="14.25">
      <c r="B199" s="62" t="s">
        <v>96</v>
      </c>
      <c r="C199" s="82" t="s">
        <v>120</v>
      </c>
      <c r="D199" s="82" t="s">
        <v>120</v>
      </c>
      <c r="E199" s="82" t="s">
        <v>120</v>
      </c>
      <c r="F199" s="82" t="s">
        <v>120</v>
      </c>
      <c r="G199" s="82" t="s">
        <v>120</v>
      </c>
    </row>
    <row r="200" spans="2:7" ht="15" thickBot="1">
      <c r="B200" s="72" t="s">
        <v>97</v>
      </c>
      <c r="C200" s="83" t="s">
        <v>120</v>
      </c>
      <c r="D200" s="83" t="s">
        <v>120</v>
      </c>
      <c r="E200" s="83" t="s">
        <v>120</v>
      </c>
      <c r="F200" s="83" t="s">
        <v>120</v>
      </c>
      <c r="G200" s="83" t="s">
        <v>120</v>
      </c>
    </row>
    <row r="220" ht="14.25">
      <c r="G220" t="s">
        <v>109</v>
      </c>
    </row>
    <row r="240" ht="14.25">
      <c r="G240" t="s">
        <v>109</v>
      </c>
    </row>
    <row r="243" ht="15">
      <c r="B243" s="60" t="s">
        <v>145</v>
      </c>
    </row>
    <row r="244" ht="15" thickBot="1"/>
    <row r="245" spans="2:3" ht="28.5">
      <c r="B245" s="63" t="s">
        <v>83</v>
      </c>
      <c r="C245" s="64" t="s">
        <v>146</v>
      </c>
    </row>
    <row r="246" spans="2:3" ht="15">
      <c r="B246" s="65" t="s">
        <v>150</v>
      </c>
      <c r="C246" s="107">
        <v>3.927469650600956E-10</v>
      </c>
    </row>
    <row r="247" spans="2:3" ht="15.75" thickBot="1">
      <c r="B247" s="72" t="s">
        <v>61</v>
      </c>
      <c r="C247" s="153">
        <v>0.0005564446855910748</v>
      </c>
    </row>
    <row r="267" ht="14.25">
      <c r="G267" t="s">
        <v>109</v>
      </c>
    </row>
  </sheetData>
  <mergeCells count="3">
    <mergeCell ref="B54:J55"/>
    <mergeCell ref="F63:H63"/>
    <mergeCell ref="B156:J157"/>
  </mergeCells>
  <printOptions/>
  <pageMargins left="0.7" right="0.7" top="0.75" bottom="0.75" header="0.3" footer="0.3"/>
  <pageSetup orientation="portrait" paperSize="9"/>
  <ignoredErrors>
    <ignoredError sqref="C20:C24" numberStoredAsText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4337" r:id="rId3" name="DD320969">
              <controlPr defaultSize="0" autoFill="0" autoPict="0" macro="[0]!GoToResultsNew091620210153258">
                <anchor moveWithCells="1">
                  <from>
                    <xdr:col>0</xdr:col>
                    <xdr:colOff>361950</xdr:colOff>
                    <xdr:row>5</xdr:row>
                    <xdr:rowOff>466725</xdr:rowOff>
                  </from>
                  <to>
                    <xdr:col>5</xdr:col>
                    <xdr:colOff>676275</xdr:colOff>
                    <xdr:row>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FF2AE-CB4A-4C38-8F23-21ACC5C200DF}">
  <sheetPr codeName="XLSTAT_20210915_081855_1">
    <tabColor rgb="FF007800"/>
  </sheetPr>
  <dimension ref="B1:J183"/>
  <sheetViews>
    <sheetView workbookViewId="0" topLeftCell="A18">
      <selection activeCell="N4" sqref="N4"/>
    </sheetView>
  </sheetViews>
  <sheetFormatPr defaultColWidth="9.00390625" defaultRowHeight="14.25"/>
  <cols>
    <col min="1" max="1" width="4.875" style="0" customWidth="1"/>
    <col min="2" max="2" width="9.00390625" style="0" customWidth="1"/>
  </cols>
  <sheetData>
    <row r="1" ht="14.25">
      <c r="B1" t="s">
        <v>147</v>
      </c>
    </row>
    <row r="2" ht="14.25">
      <c r="B2" t="s">
        <v>131</v>
      </c>
    </row>
    <row r="3" ht="14.25">
      <c r="B3" t="s">
        <v>132</v>
      </c>
    </row>
    <row r="4" ht="14.25">
      <c r="B4" t="s">
        <v>81</v>
      </c>
    </row>
    <row r="5" ht="14.25">
      <c r="B5" t="s">
        <v>133</v>
      </c>
    </row>
    <row r="6" ht="38.1" customHeight="1"/>
    <row r="7" ht="16.5" customHeight="1">
      <c r="B7" s="105"/>
    </row>
    <row r="10" ht="14.25">
      <c r="B10" s="61" t="s">
        <v>82</v>
      </c>
    </row>
    <row r="11" ht="15" thickBot="1"/>
    <row r="12" spans="2:9" ht="28.5" customHeight="1">
      <c r="B12" s="63" t="s">
        <v>83</v>
      </c>
      <c r="C12" s="64" t="s">
        <v>84</v>
      </c>
      <c r="D12" s="64" t="s">
        <v>85</v>
      </c>
      <c r="E12" s="64" t="s">
        <v>86</v>
      </c>
      <c r="F12" s="64" t="s">
        <v>87</v>
      </c>
      <c r="G12" s="64" t="s">
        <v>88</v>
      </c>
      <c r="H12" s="64" t="s">
        <v>89</v>
      </c>
      <c r="I12" s="64" t="s">
        <v>90</v>
      </c>
    </row>
    <row r="13" spans="2:9" ht="14.25">
      <c r="B13" s="65" t="s">
        <v>62</v>
      </c>
      <c r="C13" s="66">
        <v>10</v>
      </c>
      <c r="D13" s="66">
        <v>0</v>
      </c>
      <c r="E13" s="66">
        <v>10</v>
      </c>
      <c r="F13" s="73">
        <v>0</v>
      </c>
      <c r="G13" s="73">
        <v>0.4226398844965964</v>
      </c>
      <c r="H13" s="73">
        <v>0.17917314529742603</v>
      </c>
      <c r="I13" s="73">
        <v>0.19113404703883408</v>
      </c>
    </row>
    <row r="14" spans="2:9" ht="15" thickBot="1">
      <c r="B14" s="72" t="s">
        <v>80</v>
      </c>
      <c r="C14" s="68">
        <v>10</v>
      </c>
      <c r="D14" s="68">
        <v>0</v>
      </c>
      <c r="E14" s="68">
        <v>10</v>
      </c>
      <c r="F14" s="75">
        <v>1.1397036588134499E-05</v>
      </c>
      <c r="G14" s="75">
        <v>0.09779717163627961</v>
      </c>
      <c r="H14" s="75">
        <v>0.027423710866636114</v>
      </c>
      <c r="I14" s="75">
        <v>0.03373884052762268</v>
      </c>
    </row>
    <row r="17" ht="14.25">
      <c r="B17" s="61" t="s">
        <v>91</v>
      </c>
    </row>
    <row r="18" ht="15" thickBot="1"/>
    <row r="19" spans="2:6" ht="28.5">
      <c r="B19" s="64" t="s">
        <v>83</v>
      </c>
      <c r="C19" s="64" t="s">
        <v>98</v>
      </c>
      <c r="D19" s="64" t="s">
        <v>99</v>
      </c>
      <c r="E19" s="64" t="s">
        <v>100</v>
      </c>
      <c r="F19" s="64" t="s">
        <v>101</v>
      </c>
    </row>
    <row r="20" spans="2:6" ht="14.25">
      <c r="B20" s="69" t="s">
        <v>111</v>
      </c>
      <c r="C20" s="65" t="s">
        <v>71</v>
      </c>
      <c r="D20" s="66">
        <v>5</v>
      </c>
      <c r="E20" s="66">
        <v>5</v>
      </c>
      <c r="F20" s="73">
        <v>50</v>
      </c>
    </row>
    <row r="21" spans="2:6" ht="15" thickBot="1">
      <c r="B21" s="71" t="s">
        <v>92</v>
      </c>
      <c r="C21" s="72" t="s">
        <v>72</v>
      </c>
      <c r="D21" s="68">
        <v>5</v>
      </c>
      <c r="E21" s="68">
        <v>5</v>
      </c>
      <c r="F21" s="75">
        <v>50</v>
      </c>
    </row>
    <row r="24" ht="14.25">
      <c r="B24" s="61" t="s">
        <v>102</v>
      </c>
    </row>
    <row r="25" ht="15" thickBot="1"/>
    <row r="26" spans="2:9" ht="28.5" customHeight="1">
      <c r="B26" s="63" t="s">
        <v>83</v>
      </c>
      <c r="C26" s="64" t="s">
        <v>84</v>
      </c>
      <c r="D26" s="64" t="s">
        <v>85</v>
      </c>
      <c r="E26" s="64" t="s">
        <v>86</v>
      </c>
      <c r="F26" s="64" t="s">
        <v>87</v>
      </c>
      <c r="G26" s="64" t="s">
        <v>88</v>
      </c>
      <c r="H26" s="64" t="s">
        <v>89</v>
      </c>
      <c r="I26" s="64" t="s">
        <v>90</v>
      </c>
    </row>
    <row r="27" spans="2:9" ht="14.25">
      <c r="B27" s="65" t="s">
        <v>134</v>
      </c>
      <c r="C27" s="66">
        <v>5</v>
      </c>
      <c r="D27" s="66">
        <v>0</v>
      </c>
      <c r="E27" s="66">
        <v>5</v>
      </c>
      <c r="F27" s="73">
        <v>0.13629684000069844</v>
      </c>
      <c r="G27" s="73">
        <v>0.4226398844965964</v>
      </c>
      <c r="H27" s="73">
        <v>0.34345587044233544</v>
      </c>
      <c r="I27" s="73">
        <v>0.11716930312907314</v>
      </c>
    </row>
    <row r="28" spans="2:9" ht="14.25">
      <c r="B28" s="62" t="s">
        <v>135</v>
      </c>
      <c r="C28" s="67">
        <v>5</v>
      </c>
      <c r="D28" s="67">
        <v>0</v>
      </c>
      <c r="E28" s="67">
        <v>5</v>
      </c>
      <c r="F28" s="74">
        <v>0</v>
      </c>
      <c r="G28" s="74">
        <v>0.07135542366338425</v>
      </c>
      <c r="H28" s="74">
        <v>0.014890420152516567</v>
      </c>
      <c r="I28" s="74">
        <v>0.03157251670203059</v>
      </c>
    </row>
    <row r="29" spans="2:9" ht="14.25">
      <c r="B29" s="62" t="s">
        <v>136</v>
      </c>
      <c r="C29" s="67">
        <v>5</v>
      </c>
      <c r="D29" s="67">
        <v>0</v>
      </c>
      <c r="E29" s="67">
        <v>5</v>
      </c>
      <c r="F29" s="74">
        <v>0.006210916575621477</v>
      </c>
      <c r="G29" s="74">
        <v>0.09779717163627961</v>
      </c>
      <c r="H29" s="74">
        <v>0.045413976856930924</v>
      </c>
      <c r="I29" s="74">
        <v>0.03702528041601573</v>
      </c>
    </row>
    <row r="30" spans="2:9" ht="15" thickBot="1">
      <c r="B30" s="72" t="s">
        <v>137</v>
      </c>
      <c r="C30" s="68">
        <v>5</v>
      </c>
      <c r="D30" s="68">
        <v>0</v>
      </c>
      <c r="E30" s="68">
        <v>5</v>
      </c>
      <c r="F30" s="75">
        <v>1.1397036588134499E-05</v>
      </c>
      <c r="G30" s="75">
        <v>0.04431362948993747</v>
      </c>
      <c r="H30" s="75">
        <v>0.009433444876341315</v>
      </c>
      <c r="I30" s="75">
        <v>0.019524356441258325</v>
      </c>
    </row>
    <row r="33" ht="15">
      <c r="B33" s="60" t="s">
        <v>138</v>
      </c>
    </row>
    <row r="35" ht="14.25">
      <c r="B35" s="61" t="s">
        <v>139</v>
      </c>
    </row>
    <row r="36" ht="15" thickBot="1"/>
    <row r="37" spans="2:3" ht="14.25">
      <c r="B37" s="76" t="s">
        <v>140</v>
      </c>
      <c r="C37" s="77">
        <v>6.81818181818182</v>
      </c>
    </row>
    <row r="38" spans="2:3" ht="14.25">
      <c r="B38" s="62" t="s">
        <v>103</v>
      </c>
      <c r="C38" s="79">
        <v>0.007936507936507929</v>
      </c>
    </row>
    <row r="39" spans="2:3" ht="15" thickBot="1">
      <c r="B39" s="72" t="s">
        <v>104</v>
      </c>
      <c r="C39" s="80">
        <v>0.05</v>
      </c>
    </row>
    <row r="40" ht="14.25">
      <c r="B40" t="s">
        <v>141</v>
      </c>
    </row>
    <row r="42" ht="14.25">
      <c r="B42" s="61" t="s">
        <v>105</v>
      </c>
    </row>
    <row r="43" ht="14.25">
      <c r="B43" s="61" t="s">
        <v>106</v>
      </c>
    </row>
    <row r="44" ht="14.25">
      <c r="B44" s="61" t="s">
        <v>107</v>
      </c>
    </row>
    <row r="45" spans="2:10" ht="14.25" customHeight="1">
      <c r="B45" s="170" t="s">
        <v>108</v>
      </c>
      <c r="C45" s="170"/>
      <c r="D45" s="170"/>
      <c r="E45" s="170"/>
      <c r="F45" s="170"/>
      <c r="G45" s="170"/>
      <c r="H45" s="170"/>
      <c r="I45" s="170"/>
      <c r="J45" s="170"/>
    </row>
    <row r="46" spans="2:10" ht="14.25">
      <c r="B46" s="170"/>
      <c r="C46" s="170"/>
      <c r="D46" s="170"/>
      <c r="E46" s="170"/>
      <c r="F46" s="170"/>
      <c r="G46" s="170"/>
      <c r="H46" s="170"/>
      <c r="I46" s="170"/>
      <c r="J46" s="170"/>
    </row>
    <row r="49" ht="14.25">
      <c r="B49" s="61" t="s">
        <v>110</v>
      </c>
    </row>
    <row r="50" ht="15" thickBot="1"/>
    <row r="51" spans="2:7" ht="28.5">
      <c r="B51" s="63" t="s">
        <v>111</v>
      </c>
      <c r="C51" s="64" t="s">
        <v>112</v>
      </c>
      <c r="D51" s="64" t="s">
        <v>113</v>
      </c>
      <c r="E51" s="64" t="s">
        <v>114</v>
      </c>
      <c r="F51" s="171" t="s">
        <v>115</v>
      </c>
      <c r="G51" s="172"/>
    </row>
    <row r="52" spans="2:7" ht="14.25">
      <c r="B52" s="65" t="s">
        <v>71</v>
      </c>
      <c r="C52" s="81">
        <v>5</v>
      </c>
      <c r="D52" s="84">
        <v>40</v>
      </c>
      <c r="E52" s="84">
        <v>8</v>
      </c>
      <c r="F52" s="87" t="s">
        <v>71</v>
      </c>
      <c r="G52" s="84"/>
    </row>
    <row r="53" spans="2:7" ht="15" thickBot="1">
      <c r="B53" s="72" t="s">
        <v>72</v>
      </c>
      <c r="C53" s="83">
        <v>5</v>
      </c>
      <c r="D53" s="85">
        <v>15</v>
      </c>
      <c r="E53" s="85">
        <v>3</v>
      </c>
      <c r="F53" s="89"/>
      <c r="G53" s="85" t="s">
        <v>72</v>
      </c>
    </row>
    <row r="73" ht="14.25">
      <c r="G73" t="s">
        <v>109</v>
      </c>
    </row>
    <row r="93" ht="14.25">
      <c r="G93" t="s">
        <v>109</v>
      </c>
    </row>
    <row r="96" ht="15">
      <c r="B96" s="60" t="s">
        <v>142</v>
      </c>
    </row>
    <row r="98" ht="14.25">
      <c r="B98" s="61" t="s">
        <v>143</v>
      </c>
    </row>
    <row r="99" ht="15" thickBot="1"/>
    <row r="100" spans="2:3" ht="14.25">
      <c r="B100" s="76" t="s">
        <v>140</v>
      </c>
      <c r="C100" s="77">
        <v>3.9381818181818176</v>
      </c>
    </row>
    <row r="101" spans="2:3" ht="14.25">
      <c r="B101" s="62" t="s">
        <v>103</v>
      </c>
      <c r="C101" s="79">
        <v>0.05555555555555552</v>
      </c>
    </row>
    <row r="102" spans="2:3" ht="15" thickBot="1">
      <c r="B102" s="72" t="s">
        <v>104</v>
      </c>
      <c r="C102" s="80">
        <v>0.05</v>
      </c>
    </row>
    <row r="103" ht="14.25">
      <c r="B103" t="s">
        <v>141</v>
      </c>
    </row>
    <row r="105" ht="14.25">
      <c r="B105" s="61" t="s">
        <v>105</v>
      </c>
    </row>
    <row r="106" ht="14.25">
      <c r="B106" s="61" t="s">
        <v>106</v>
      </c>
    </row>
    <row r="107" ht="14.25">
      <c r="B107" s="61" t="s">
        <v>107</v>
      </c>
    </row>
    <row r="108" spans="2:10" ht="14.25" customHeight="1">
      <c r="B108" s="170" t="s">
        <v>144</v>
      </c>
      <c r="C108" s="170"/>
      <c r="D108" s="170"/>
      <c r="E108" s="170"/>
      <c r="F108" s="170"/>
      <c r="G108" s="170"/>
      <c r="H108" s="170"/>
      <c r="I108" s="170"/>
      <c r="J108" s="170"/>
    </row>
    <row r="109" spans="2:10" ht="14.25">
      <c r="B109" s="170"/>
      <c r="C109" s="170"/>
      <c r="D109" s="170"/>
      <c r="E109" s="170"/>
      <c r="F109" s="170"/>
      <c r="G109" s="170"/>
      <c r="H109" s="170"/>
      <c r="I109" s="170"/>
      <c r="J109" s="170"/>
    </row>
    <row r="112" ht="14.25">
      <c r="B112" s="61" t="s">
        <v>110</v>
      </c>
    </row>
    <row r="113" ht="15" thickBot="1"/>
    <row r="114" spans="2:7" ht="28.5">
      <c r="B114" s="63" t="s">
        <v>111</v>
      </c>
      <c r="C114" s="64" t="s">
        <v>112</v>
      </c>
      <c r="D114" s="64" t="s">
        <v>113</v>
      </c>
      <c r="E114" s="64" t="s">
        <v>114</v>
      </c>
      <c r="F114" s="171" t="s">
        <v>115</v>
      </c>
      <c r="G114" s="172"/>
    </row>
    <row r="115" spans="2:7" ht="14.25">
      <c r="B115" s="65" t="s">
        <v>71</v>
      </c>
      <c r="C115" s="81">
        <v>5</v>
      </c>
      <c r="D115" s="84">
        <v>37</v>
      </c>
      <c r="E115" s="84">
        <v>7.4</v>
      </c>
      <c r="F115" s="87" t="s">
        <v>71</v>
      </c>
      <c r="G115" s="84"/>
    </row>
    <row r="116" spans="2:7" ht="15" thickBot="1">
      <c r="B116" s="72" t="s">
        <v>72</v>
      </c>
      <c r="C116" s="83">
        <v>5</v>
      </c>
      <c r="D116" s="85">
        <v>18</v>
      </c>
      <c r="E116" s="85">
        <v>3.6</v>
      </c>
      <c r="F116" s="89"/>
      <c r="G116" s="85" t="s">
        <v>72</v>
      </c>
    </row>
    <row r="136" ht="14.25">
      <c r="G136" t="s">
        <v>109</v>
      </c>
    </row>
    <row r="156" ht="14.25">
      <c r="G156" t="s">
        <v>109</v>
      </c>
    </row>
    <row r="159" ht="15">
      <c r="B159" s="60" t="s">
        <v>145</v>
      </c>
    </row>
    <row r="160" ht="15" thickBot="1"/>
    <row r="161" spans="2:3" ht="28.5">
      <c r="B161" s="63" t="s">
        <v>83</v>
      </c>
      <c r="C161" s="64" t="s">
        <v>146</v>
      </c>
    </row>
    <row r="162" spans="2:3" ht="15">
      <c r="B162" s="65" t="s">
        <v>62</v>
      </c>
      <c r="C162" s="107">
        <v>0.007936507936507929</v>
      </c>
    </row>
    <row r="163" spans="2:3" ht="15" thickBot="1">
      <c r="B163" s="72" t="s">
        <v>80</v>
      </c>
      <c r="C163" s="106">
        <v>0.05555555555555552</v>
      </c>
    </row>
    <row r="183" ht="14.25">
      <c r="G183" t="s">
        <v>109</v>
      </c>
    </row>
  </sheetData>
  <mergeCells count="4">
    <mergeCell ref="B45:J46"/>
    <mergeCell ref="F51:G51"/>
    <mergeCell ref="B108:J109"/>
    <mergeCell ref="F114:G114"/>
  </mergeCells>
  <printOptions/>
  <pageMargins left="0.7" right="0.7" top="0.75" bottom="0.75" header="0.3" footer="0.3"/>
  <pageSetup orientation="portrait" paperSize="9"/>
  <ignoredErrors>
    <ignoredError sqref="C20:C21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outlinePr summaryBelow="0" summaryRight="0"/>
  </sheetPr>
  <dimension ref="B2:J28"/>
  <sheetViews>
    <sheetView workbookViewId="0" topLeftCell="A1">
      <selection activeCell="H6" sqref="H6"/>
    </sheetView>
  </sheetViews>
  <sheetFormatPr defaultColWidth="12.625" defaultRowHeight="15" customHeight="1"/>
  <cols>
    <col min="9" max="9" width="19.875" style="0" customWidth="1"/>
    <col min="10" max="10" width="15.50390625" style="0" customWidth="1"/>
  </cols>
  <sheetData>
    <row r="2" spans="2:10" ht="15">
      <c r="B2" s="48" t="s">
        <v>0</v>
      </c>
      <c r="C2" s="49" t="s">
        <v>26</v>
      </c>
      <c r="D2" s="49" t="s">
        <v>28</v>
      </c>
      <c r="E2" s="49" t="s">
        <v>30</v>
      </c>
      <c r="F2" s="49" t="s">
        <v>27</v>
      </c>
      <c r="G2" s="49" t="s">
        <v>63</v>
      </c>
      <c r="H2" s="49" t="s">
        <v>64</v>
      </c>
      <c r="I2" s="163" t="s">
        <v>65</v>
      </c>
      <c r="J2" s="163" t="s">
        <v>66</v>
      </c>
    </row>
    <row r="3" spans="2:10" ht="15">
      <c r="B3" s="50" t="s">
        <v>1</v>
      </c>
      <c r="C3" s="50">
        <f>(SAMPLES!C8+SAMPLES!C31+SAMPLES!C55)</f>
        <v>956</v>
      </c>
      <c r="D3" s="50">
        <f>(SAMPLES!C10+SAMPLES!C33+SAMPLES!C57)</f>
        <v>53</v>
      </c>
      <c r="E3" s="50">
        <f>(SAMPLES!C12+SAMPLES!C35+SAMPLES!C59)</f>
        <v>23</v>
      </c>
      <c r="F3" s="50">
        <f>(SAMPLES!C9+SAMPLES!C32+SAMPLES!C56)</f>
        <v>111</v>
      </c>
      <c r="G3" s="50">
        <f>(SAMPLES!C34+SAMPLES!C58)</f>
        <v>509</v>
      </c>
      <c r="H3" s="50">
        <f aca="true" t="shared" si="0" ref="H3:H22">SUM(C3:G3)</f>
        <v>1652</v>
      </c>
      <c r="I3" s="44">
        <v>68.080418</v>
      </c>
      <c r="J3" s="51">
        <f aca="true" t="shared" si="1" ref="J3:J22">(H3/(I3/1000))</f>
        <v>24265.420932051275</v>
      </c>
    </row>
    <row r="4" spans="2:10" ht="15">
      <c r="B4" s="50" t="s">
        <v>2</v>
      </c>
      <c r="C4" s="50">
        <f>(SAMPLES!D8+SAMPLES!D31+SAMPLES!D55)</f>
        <v>1561</v>
      </c>
      <c r="D4" s="50">
        <f>SAMPLES!D10+SAMPLES!D33+SAMPLES!D57</f>
        <v>59</v>
      </c>
      <c r="E4" s="50">
        <f>SAMPLES!D12+SAMPLES!D35+SAMPLES!D59</f>
        <v>5</v>
      </c>
      <c r="F4" s="50">
        <f>SAMPLES!D9+SAMPLES!D32+SAMPLES!D56</f>
        <v>122</v>
      </c>
      <c r="G4" s="50">
        <f>SAMPLES!D11+SAMPLES!D34+SAMPLES!D58</f>
        <v>446</v>
      </c>
      <c r="H4" s="50">
        <f t="shared" si="0"/>
        <v>2193</v>
      </c>
      <c r="I4" s="52">
        <v>34.13209</v>
      </c>
      <c r="J4" s="51">
        <f t="shared" si="1"/>
        <v>64250.38724555104</v>
      </c>
    </row>
    <row r="5" spans="2:10" ht="15">
      <c r="B5" s="50" t="s">
        <v>3</v>
      </c>
      <c r="C5" s="50">
        <f>SAMPLES!E8+SAMPLES!E31+SAMPLES!E55</f>
        <v>64</v>
      </c>
      <c r="D5" s="50">
        <f>SAMPLES!E10+SAMPLES!E33+SAMPLES!E57</f>
        <v>2</v>
      </c>
      <c r="E5" s="50">
        <f>SAMPLES!E12+SAMPLES!E35+SAMPLES!E59</f>
        <v>0</v>
      </c>
      <c r="F5" s="50">
        <f>SAMPLES!E9+SAMPLES!E32+SAMPLES!E56</f>
        <v>2</v>
      </c>
      <c r="G5" s="50">
        <f>SAMPLES!E11+SAMPLES!E34+SAMPLES!E58</f>
        <v>27</v>
      </c>
      <c r="H5" s="50">
        <f t="shared" si="0"/>
        <v>95</v>
      </c>
      <c r="I5" s="52">
        <v>34.084447999999995</v>
      </c>
      <c r="J5" s="51">
        <f t="shared" si="1"/>
        <v>2787.1949107111845</v>
      </c>
    </row>
    <row r="6" spans="2:10" ht="15">
      <c r="B6" s="50" t="s">
        <v>4</v>
      </c>
      <c r="C6" s="50">
        <f>SAMPLES!F8+SAMPLES!F31+SAMPLES!F55</f>
        <v>65</v>
      </c>
      <c r="D6" s="50">
        <f>SAMPLES!F10+SAMPLES!F33+SAMPLES!F57</f>
        <v>7</v>
      </c>
      <c r="E6" s="50">
        <f>SAMPLES!F12+SAMPLES!F35+SAMPLES!F59</f>
        <v>7</v>
      </c>
      <c r="F6" s="50">
        <f>SAMPLES!F9+SAMPLES!F32+SAMPLES!F56</f>
        <v>6</v>
      </c>
      <c r="G6" s="50">
        <f>SAMPLES!F11+SAMPLES!F34+SAMPLES!F58</f>
        <v>63</v>
      </c>
      <c r="H6" s="50">
        <f t="shared" si="0"/>
        <v>148</v>
      </c>
      <c r="I6" s="44">
        <v>36.13986</v>
      </c>
      <c r="J6" s="51">
        <f t="shared" si="1"/>
        <v>4095.2012542383954</v>
      </c>
    </row>
    <row r="7" spans="2:10" ht="15">
      <c r="B7" s="50" t="s">
        <v>5</v>
      </c>
      <c r="C7" s="50">
        <f>SAMPLES!G8+SAMPLES!G31+SAMPLES!G55</f>
        <v>11</v>
      </c>
      <c r="D7" s="50">
        <f>SAMPLES!G10+SAMPLES!G33+SAMPLES!G57</f>
        <v>0</v>
      </c>
      <c r="E7" s="50">
        <f>SAMPLES!G12+SAMPLES!G35+SAMPLES!G59</f>
        <v>0</v>
      </c>
      <c r="F7" s="50">
        <f>SAMPLES!G9+SAMPLES!G32+SAMPLES!G56</f>
        <v>0</v>
      </c>
      <c r="G7" s="50">
        <f>SAMPLES!G11+SAMPLES!G58</f>
        <v>0</v>
      </c>
      <c r="H7" s="50">
        <f t="shared" si="0"/>
        <v>11</v>
      </c>
      <c r="I7" s="44">
        <v>59.77164</v>
      </c>
      <c r="J7" s="51">
        <f t="shared" si="1"/>
        <v>184.03376584614375</v>
      </c>
    </row>
    <row r="8" spans="2:10" ht="15">
      <c r="B8" s="50" t="s">
        <v>6</v>
      </c>
      <c r="C8" s="50">
        <f>SAMPLES!H8+SAMPLES!H31+SAMPLES!H55</f>
        <v>5</v>
      </c>
      <c r="D8" s="50">
        <f>SAMPLES!H10+SAMPLES!H57</f>
        <v>0</v>
      </c>
      <c r="E8" s="50">
        <f>SAMPLES!H12+SAMPLES!H35+SAMPLES!H59</f>
        <v>2</v>
      </c>
      <c r="F8" s="50">
        <f>SAMPLES!H9+SAMPLES!H32+SAMPLES!H56</f>
        <v>1</v>
      </c>
      <c r="G8" s="50">
        <f>SAMPLES!H11+SAMPLES!H34+SAMPLES!H58</f>
        <v>0</v>
      </c>
      <c r="H8" s="50">
        <f t="shared" si="0"/>
        <v>8</v>
      </c>
      <c r="I8" s="52">
        <v>59.932829999999996</v>
      </c>
      <c r="J8" s="51">
        <f t="shared" si="1"/>
        <v>133.48276729131598</v>
      </c>
    </row>
    <row r="9" spans="2:10" ht="15">
      <c r="B9" s="50" t="s">
        <v>7</v>
      </c>
      <c r="C9" s="50">
        <f>SAMPLES!I8+SAMPLES!I31+SAMPLES!I55</f>
        <v>2</v>
      </c>
      <c r="D9" s="50">
        <f>SAMPLES!I10+SAMPLES!I57</f>
        <v>0</v>
      </c>
      <c r="E9" s="50">
        <f>SAMPLES!I12+SAMPLES!I35+SAMPLES!I59</f>
        <v>0</v>
      </c>
      <c r="F9" s="50">
        <f>SAMPLES!I9+SAMPLES!I56+SAMPLES!I32</f>
        <v>0</v>
      </c>
      <c r="G9" s="50">
        <f>SAMPLES!I11+SAMPLES!I34+SAMPLES!I58</f>
        <v>0</v>
      </c>
      <c r="H9" s="50">
        <f t="shared" si="0"/>
        <v>2</v>
      </c>
      <c r="I9" s="44">
        <v>59.81343</v>
      </c>
      <c r="J9" s="51">
        <f t="shared" si="1"/>
        <v>33.43730663832521</v>
      </c>
    </row>
    <row r="10" spans="2:10" ht="15">
      <c r="B10" s="50" t="s">
        <v>8</v>
      </c>
      <c r="C10" s="50">
        <f>SAMPLES!J8+SAMPLES!J31+SAMPLES!J55</f>
        <v>0</v>
      </c>
      <c r="D10" s="50">
        <f>SAMPLES!J8+SAMPLES!J31+SAMPLES!J55</f>
        <v>0</v>
      </c>
      <c r="E10" s="50">
        <f>SAMPLES!J12+SAMPLES!J33+SAMPLES!J57</f>
        <v>0</v>
      </c>
      <c r="F10" s="50">
        <f>SAMPLES!J9+SAMPLES!J32+SAMPLES!J56</f>
        <v>1</v>
      </c>
      <c r="G10" s="50">
        <f>SAMPLES!J11+SAMPLES!J34+SAMPLES!J58</f>
        <v>0</v>
      </c>
      <c r="H10" s="50">
        <f t="shared" si="0"/>
        <v>1</v>
      </c>
      <c r="I10" s="44">
        <v>59.879099999999994</v>
      </c>
      <c r="J10" s="51">
        <f t="shared" si="1"/>
        <v>16.70031780704787</v>
      </c>
    </row>
    <row r="11" spans="2:10" ht="15">
      <c r="B11" s="50" t="s">
        <v>9</v>
      </c>
      <c r="C11" s="50">
        <f>SAMPLES!K8+SAMPLES!K31+SAMPLES!K55</f>
        <v>500</v>
      </c>
      <c r="D11" s="50">
        <f>SAMPLES!K10+SAMPLES!K33+SAMPLES!K57</f>
        <v>178</v>
      </c>
      <c r="E11" s="50">
        <f>SAMPLES!K12+SAMPLES!K35+SAMPLES!K59</f>
        <v>5</v>
      </c>
      <c r="F11" s="50">
        <f>SAMPLES!K9+SAMPLES!K32+SAMPLES!K56</f>
        <v>74</v>
      </c>
      <c r="G11" s="50">
        <f>SAMPLES!K11+SAMPLES!K34+SAMPLES!K58</f>
        <v>173</v>
      </c>
      <c r="H11" s="50">
        <f t="shared" si="0"/>
        <v>930</v>
      </c>
      <c r="I11" s="44">
        <v>31.511795999999997</v>
      </c>
      <c r="J11" s="51">
        <f t="shared" si="1"/>
        <v>29512.75769873606</v>
      </c>
    </row>
    <row r="12" spans="2:10" ht="15">
      <c r="B12" s="50" t="s">
        <v>10</v>
      </c>
      <c r="C12" s="50">
        <f>SAMPLES!L8+SAMPLES!L31+SAMPLES!L55</f>
        <v>74</v>
      </c>
      <c r="D12" s="50">
        <f>SAMPLES!L10+SAMPLES!L33+SAMPLES!L57</f>
        <v>67</v>
      </c>
      <c r="E12" s="50">
        <f>SAMPLES!L12+SAMPLES!L35+SAMPLES!L59</f>
        <v>0</v>
      </c>
      <c r="F12" s="50">
        <f>SAMPLES!L9+SAMPLES!L32+SAMPLES!L56</f>
        <v>5</v>
      </c>
      <c r="G12" s="50">
        <f>SAMPLES!L11+SAMPLES!L34+SAMPLES!L58</f>
        <v>134</v>
      </c>
      <c r="H12" s="50">
        <f t="shared" si="0"/>
        <v>280</v>
      </c>
      <c r="I12" s="52">
        <v>31.618488</v>
      </c>
      <c r="J12" s="51">
        <f t="shared" si="1"/>
        <v>8855.578419815647</v>
      </c>
    </row>
    <row r="13" spans="2:10" ht="15">
      <c r="B13" s="50" t="s">
        <v>11</v>
      </c>
      <c r="C13" s="50">
        <f>SAMPLES!M8+SAMPLES!M31+SAMPLES!M55</f>
        <v>38</v>
      </c>
      <c r="D13" s="50">
        <f>SAMPLES!M10+SAMPLES!M33+SAMPLES!M57</f>
        <v>23</v>
      </c>
      <c r="E13" s="50">
        <f>SAMPLES!M12+SAMPLES!M35+SAMPLES!M59</f>
        <v>0</v>
      </c>
      <c r="F13" s="50">
        <f>SAMPLES!M12+SAMPLES!M35+SAMPLES!M59</f>
        <v>0</v>
      </c>
      <c r="G13" s="50">
        <f>SAMPLES!M11+SAMPLES!M34+SAMPLES!M58</f>
        <v>38</v>
      </c>
      <c r="H13" s="50">
        <f t="shared" si="0"/>
        <v>99</v>
      </c>
      <c r="I13" s="52">
        <v>31.423931999999997</v>
      </c>
      <c r="J13" s="51">
        <f t="shared" si="1"/>
        <v>3150.465065924914</v>
      </c>
    </row>
    <row r="14" spans="2:10" ht="15">
      <c r="B14" s="50" t="s">
        <v>12</v>
      </c>
      <c r="C14" s="50">
        <f>SAMPLES!N8+SAMPLES!N31+SAMPLES!N55</f>
        <v>18</v>
      </c>
      <c r="D14" s="50">
        <f>SAMPLES!N10+SAMPLES!N33+SAMPLES!N57</f>
        <v>4</v>
      </c>
      <c r="E14" s="50">
        <f>SAMPLES!N12+SAMPLES!N35+SAMPLES!N59</f>
        <v>0</v>
      </c>
      <c r="F14" s="50">
        <f>SAMPLES!N9+SAMPLES!N32+SAMPLES!N56</f>
        <v>0</v>
      </c>
      <c r="G14" s="50">
        <f>SAMPLES!N11+SAMPLES!N34+SAMPLES!N58</f>
        <v>5</v>
      </c>
      <c r="H14" s="50">
        <f t="shared" si="0"/>
        <v>27</v>
      </c>
      <c r="I14" s="52">
        <v>31.863252</v>
      </c>
      <c r="J14" s="51">
        <f t="shared" si="1"/>
        <v>847.371134622417</v>
      </c>
    </row>
    <row r="15" spans="2:10" ht="15">
      <c r="B15" s="50" t="s">
        <v>13</v>
      </c>
      <c r="C15" s="50">
        <f>SAMPLES!O8+SAMPLES!O31+SAMPLES!O55</f>
        <v>1224</v>
      </c>
      <c r="D15" s="50">
        <f>SAMPLES!O10+SAMPLES!O33+SAMPLES!O57</f>
        <v>288</v>
      </c>
      <c r="E15" s="50">
        <f>SAMPLES!O12+SAMPLES!O59</f>
        <v>6</v>
      </c>
      <c r="F15" s="50">
        <f>SAMPLES!O9+SAMPLES!O32+SAMPLES!O56</f>
        <v>29</v>
      </c>
      <c r="G15" s="50">
        <f>SAMPLES!O11+SAMPLES!O34+SAMPLES!O58</f>
        <v>248</v>
      </c>
      <c r="H15" s="50">
        <f t="shared" si="0"/>
        <v>1795</v>
      </c>
      <c r="I15" s="44">
        <v>31.490432000000002</v>
      </c>
      <c r="J15" s="51">
        <f t="shared" si="1"/>
        <v>57001.44094561802</v>
      </c>
    </row>
    <row r="16" spans="2:10" ht="15">
      <c r="B16" s="50" t="s">
        <v>14</v>
      </c>
      <c r="C16" s="50">
        <f>SAMPLES!P8+SAMPLES!P31+SAMPLES!P55</f>
        <v>18</v>
      </c>
      <c r="D16" s="50">
        <f>SAMPLES!P10+SAMPLES!P33+SAMPLES!P57</f>
        <v>4</v>
      </c>
      <c r="E16" s="50">
        <f>SAMPLES!P12+SAMPLES!P35+SAMPLES!P59</f>
        <v>2</v>
      </c>
      <c r="F16" s="50">
        <f>SAMPLES!P9+SAMPLES!P32+SAMPLES!P56</f>
        <v>11</v>
      </c>
      <c r="G16" s="50">
        <f>SAMPLES!P11+SAMPLES!P34+SAMPLES!P58</f>
        <v>0</v>
      </c>
      <c r="H16" s="50">
        <f t="shared" si="0"/>
        <v>35</v>
      </c>
      <c r="I16" s="44">
        <v>31.634596000000002</v>
      </c>
      <c r="J16" s="51">
        <f t="shared" si="1"/>
        <v>1106.383656677645</v>
      </c>
    </row>
    <row r="17" spans="2:10" ht="15">
      <c r="B17" s="50" t="s">
        <v>15</v>
      </c>
      <c r="C17" s="50">
        <f>SAMPLES!Q8+SAMPLES!Q31+SAMPLES!Q55</f>
        <v>212</v>
      </c>
      <c r="D17" s="50">
        <f>SAMPLES!Q10+SAMPLES!Q33+SAMPLES!Q57</f>
        <v>47</v>
      </c>
      <c r="E17" s="50">
        <f>SAMPLES!Q12+SAMPLES!Q35+SAMPLES!Q59</f>
        <v>7</v>
      </c>
      <c r="F17" s="50">
        <f>SAMPLES!Q9+SAMPLES!Q32+SAMPLES!Q56</f>
        <v>2</v>
      </c>
      <c r="G17" s="50">
        <f>SAMPLES!Q11+SAMPLES!Q34+SAMPLES!Q58</f>
        <v>101</v>
      </c>
      <c r="H17" s="50">
        <f t="shared" si="0"/>
        <v>369</v>
      </c>
      <c r="I17" s="44">
        <v>31.647132000000003</v>
      </c>
      <c r="J17" s="51">
        <f t="shared" si="1"/>
        <v>11659.824340480522</v>
      </c>
    </row>
    <row r="18" spans="2:10" ht="15">
      <c r="B18" s="50" t="s">
        <v>16</v>
      </c>
      <c r="C18" s="50">
        <f>SAMPLES!R8+SAMPLES!R31+SAMPLES!R55</f>
        <v>17</v>
      </c>
      <c r="D18" s="50">
        <f>SAMPLES!R10+SAMPLES!R33+SAMPLES!R57</f>
        <v>5</v>
      </c>
      <c r="E18" s="50">
        <f>SAMPLES!R12+SAMPLES!R35+SAMPLES!R59</f>
        <v>0</v>
      </c>
      <c r="F18" s="50">
        <f>SAMPLES!R9+SAMPLES!R32+SAMPLES!R56</f>
        <v>0</v>
      </c>
      <c r="G18" s="50">
        <f>SAMPLES!R11+SAMPLES!R34+SAMPLES!R58</f>
        <v>24</v>
      </c>
      <c r="H18" s="50">
        <f t="shared" si="0"/>
        <v>46</v>
      </c>
      <c r="I18" s="44">
        <v>31.509236000000005</v>
      </c>
      <c r="J18" s="51">
        <f t="shared" si="1"/>
        <v>1459.889411472877</v>
      </c>
    </row>
    <row r="19" spans="2:10" ht="15">
      <c r="B19" s="50" t="s">
        <v>17</v>
      </c>
      <c r="C19" s="50">
        <f>SAMPLES!S8+SAMPLES!S31+SAMPLES!S55</f>
        <v>6</v>
      </c>
      <c r="D19" s="50">
        <f>SAMPLES!S33+SAMPLES!S57</f>
        <v>0</v>
      </c>
      <c r="E19" s="50">
        <f>SAMPLES!S12+SAMPLES!S35+SAMPLES!S59</f>
        <v>1</v>
      </c>
      <c r="F19" s="50">
        <f>SAMPLES!S9+SAMPLES!S32+SAMPLES!S56</f>
        <v>0</v>
      </c>
      <c r="G19" s="50">
        <f>SAMPLES!S9+SAMPLES!S32+SAMPLES!S56</f>
        <v>0</v>
      </c>
      <c r="H19" s="50">
        <f t="shared" si="0"/>
        <v>7</v>
      </c>
      <c r="I19" s="44">
        <v>26.462128</v>
      </c>
      <c r="J19" s="51">
        <f t="shared" si="1"/>
        <v>264.52899026110066</v>
      </c>
    </row>
    <row r="20" spans="2:10" ht="15">
      <c r="B20" s="50" t="s">
        <v>18</v>
      </c>
      <c r="C20" s="50">
        <f>SAMPLES!T8+SAMPLES!T31+SAMPLES!T55</f>
        <v>0</v>
      </c>
      <c r="D20" s="50">
        <f>SAMPLES!T10+SAMPLES!T33+SAMPLES!T57</f>
        <v>0</v>
      </c>
      <c r="E20" s="50">
        <f>SAMPLES!T12+SAMPLES!T35+SAMPLES!T59</f>
        <v>0</v>
      </c>
      <c r="F20" s="50">
        <f>SAMPLES!T9+SAMPLES!T32+SAMPLES!T56</f>
        <v>0</v>
      </c>
      <c r="G20" s="50">
        <f>SAMPLES!T11+SAMPLES!T34+SAMPLES!T58</f>
        <v>0</v>
      </c>
      <c r="H20" s="50">
        <f t="shared" si="0"/>
        <v>0</v>
      </c>
      <c r="I20" s="53">
        <v>0</v>
      </c>
      <c r="J20" s="53">
        <v>0</v>
      </c>
    </row>
    <row r="21" spans="2:10" ht="15">
      <c r="B21" s="50" t="s">
        <v>19</v>
      </c>
      <c r="C21" s="50">
        <f>SAMPLES!U8+SAMPLES!U31+SAMPLES!U55</f>
        <v>19</v>
      </c>
      <c r="D21" s="50">
        <f>SAMPLES!U10+SAMPLES!U33+SAMPLES!U57</f>
        <v>0</v>
      </c>
      <c r="E21" s="50">
        <f>SAMPLES!U12+SAMPLES!U35+SAMPLES!U59</f>
        <v>0</v>
      </c>
      <c r="F21" s="50">
        <f>SAMPLES!U9+SAMPLES!U32+SAMPLES!U56</f>
        <v>0</v>
      </c>
      <c r="G21" s="50">
        <f>SAMPLES!U11+SAMPLES!U34+SAMPLES!U58</f>
        <v>0</v>
      </c>
      <c r="H21" s="50">
        <f t="shared" si="0"/>
        <v>19</v>
      </c>
      <c r="I21" s="53">
        <v>52.67684799999999</v>
      </c>
      <c r="J21" s="51">
        <f t="shared" si="1"/>
        <v>360.6897664036391</v>
      </c>
    </row>
    <row r="22" spans="2:10" ht="15">
      <c r="B22" s="50" t="s">
        <v>20</v>
      </c>
      <c r="C22" s="50">
        <f>SAMPLES!V8+SAMPLES!V31+SAMPLES!V55</f>
        <v>3</v>
      </c>
      <c r="D22" s="50">
        <f>SAMPLES!V10+SAMPLES!V33+SAMPLES!V57</f>
        <v>0</v>
      </c>
      <c r="E22" s="50">
        <f>SAMPLES!V12+SAMPLES!V35+SAMPLES!V59</f>
        <v>0</v>
      </c>
      <c r="F22" s="50">
        <f>SAMPLES!V9+SAMPLES!V32+SAMPLES!V56</f>
        <v>0</v>
      </c>
      <c r="G22" s="50">
        <f>SAMPLES!V11+SAMPLES!V34+SAMPLES!V58</f>
        <v>0</v>
      </c>
      <c r="H22" s="50">
        <f t="shared" si="0"/>
        <v>3</v>
      </c>
      <c r="I22" s="53">
        <v>52.645264</v>
      </c>
      <c r="J22" s="51">
        <f t="shared" si="1"/>
        <v>56.9851829406725</v>
      </c>
    </row>
    <row r="23" spans="3:10" ht="15">
      <c r="C23" s="4">
        <f>SUM(C3:C22)</f>
        <v>4793</v>
      </c>
      <c r="D23" s="4">
        <f>SUM(D3:D22)</f>
        <v>737</v>
      </c>
      <c r="E23" s="4">
        <f>SUM(E3:E22)</f>
        <v>58</v>
      </c>
      <c r="F23" s="4">
        <f>SUM(F3:F22)</f>
        <v>364</v>
      </c>
      <c r="G23" s="4">
        <f>SUM(G3:G22)</f>
        <v>1768</v>
      </c>
      <c r="J23" s="4"/>
    </row>
    <row r="27" spans="3:7" ht="15">
      <c r="C27" s="49" t="s">
        <v>26</v>
      </c>
      <c r="D27" s="49" t="s">
        <v>28</v>
      </c>
      <c r="E27" s="49" t="s">
        <v>30</v>
      </c>
      <c r="F27" s="49" t="s">
        <v>27</v>
      </c>
      <c r="G27" s="49" t="s">
        <v>63</v>
      </c>
    </row>
    <row r="28" spans="3:7" ht="15">
      <c r="C28" s="4">
        <v>4809</v>
      </c>
      <c r="D28" s="4">
        <v>737</v>
      </c>
      <c r="E28" s="4">
        <v>55</v>
      </c>
      <c r="F28" s="4">
        <v>366</v>
      </c>
      <c r="G28" s="4">
        <v>1768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Y1005"/>
  <sheetViews>
    <sheetView workbookViewId="0" topLeftCell="A1">
      <pane xSplit="2" topLeftCell="L1" activePane="topRight" state="frozen"/>
      <selection pane="topRight" activeCell="B77" sqref="B77:V78"/>
    </sheetView>
  </sheetViews>
  <sheetFormatPr defaultColWidth="12.625" defaultRowHeight="15" customHeight="1"/>
  <cols>
    <col min="1" max="1" width="7.625" style="0" customWidth="1"/>
    <col min="2" max="2" width="25.75390625" style="0" bestFit="1" customWidth="1"/>
    <col min="3" max="3" width="8.25390625" style="0" customWidth="1"/>
    <col min="4" max="4" width="12.625" style="0" customWidth="1"/>
    <col min="5" max="5" width="7.625" style="0" customWidth="1"/>
    <col min="6" max="6" width="10.125" style="0" customWidth="1"/>
    <col min="7" max="26" width="7.625" style="0" customWidth="1"/>
  </cols>
  <sheetData>
    <row r="1" spans="4:14" ht="15">
      <c r="D1" s="1"/>
      <c r="E1" s="1"/>
      <c r="H1" s="2"/>
      <c r="L1" s="1"/>
      <c r="M1" s="1"/>
      <c r="N1" s="3"/>
    </row>
    <row r="2" spans="2:22" ht="15">
      <c r="B2" s="108" t="s">
        <v>0</v>
      </c>
      <c r="C2" s="109" t="s">
        <v>1</v>
      </c>
      <c r="D2" s="109" t="s">
        <v>2</v>
      </c>
      <c r="E2" s="109" t="s">
        <v>3</v>
      </c>
      <c r="F2" s="109" t="s">
        <v>4</v>
      </c>
      <c r="G2" s="109" t="s">
        <v>5</v>
      </c>
      <c r="H2" s="109" t="s">
        <v>6</v>
      </c>
      <c r="I2" s="109" t="s">
        <v>7</v>
      </c>
      <c r="J2" s="109" t="s">
        <v>8</v>
      </c>
      <c r="K2" s="109" t="s">
        <v>9</v>
      </c>
      <c r="L2" s="109" t="s">
        <v>10</v>
      </c>
      <c r="M2" s="109" t="s">
        <v>11</v>
      </c>
      <c r="N2" s="109" t="s">
        <v>12</v>
      </c>
      <c r="O2" s="109" t="s">
        <v>13</v>
      </c>
      <c r="P2" s="109" t="s">
        <v>14</v>
      </c>
      <c r="Q2" s="109" t="s">
        <v>15</v>
      </c>
      <c r="R2" s="109" t="s">
        <v>16</v>
      </c>
      <c r="S2" s="109" t="s">
        <v>17</v>
      </c>
      <c r="T2" s="109" t="s">
        <v>18</v>
      </c>
      <c r="U2" s="109" t="s">
        <v>19</v>
      </c>
      <c r="V2" s="109" t="s">
        <v>20</v>
      </c>
    </row>
    <row r="3" spans="2:22" ht="15">
      <c r="B3" s="108" t="s">
        <v>21</v>
      </c>
      <c r="C3" s="110">
        <v>100.03</v>
      </c>
      <c r="D3" s="109">
        <v>50.15</v>
      </c>
      <c r="E3" s="109">
        <v>50.08</v>
      </c>
      <c r="F3" s="110">
        <v>53.1</v>
      </c>
      <c r="G3" s="109">
        <v>100.12</v>
      </c>
      <c r="H3" s="109">
        <v>100.39</v>
      </c>
      <c r="I3" s="110">
        <v>100.19</v>
      </c>
      <c r="J3" s="110">
        <v>100.3</v>
      </c>
      <c r="K3" s="110">
        <v>50.21</v>
      </c>
      <c r="L3" s="109">
        <v>50.38</v>
      </c>
      <c r="M3" s="109">
        <v>50.07</v>
      </c>
      <c r="N3" s="109">
        <v>50.77</v>
      </c>
      <c r="O3" s="110">
        <v>50.24</v>
      </c>
      <c r="P3" s="109">
        <v>50.47</v>
      </c>
      <c r="Q3" s="109">
        <v>50.49</v>
      </c>
      <c r="R3" s="109">
        <v>50.27</v>
      </c>
      <c r="S3" s="109">
        <v>50.27</v>
      </c>
      <c r="T3" s="109">
        <v>100.53</v>
      </c>
      <c r="U3" s="110">
        <v>100.07</v>
      </c>
      <c r="V3" s="109">
        <v>100.4</v>
      </c>
    </row>
    <row r="4" spans="2:22" ht="15">
      <c r="B4" s="108" t="s">
        <v>22</v>
      </c>
      <c r="C4" s="111">
        <f>(22.4+32.4+43.2+37.7+24)/5</f>
        <v>31.939999999999998</v>
      </c>
      <c r="D4" s="111">
        <f>(22.4+32.4+43.2+37.7+24)/5</f>
        <v>31.939999999999998</v>
      </c>
      <c r="E4" s="111">
        <f>(22.4+32.4+43.2+37.7+24)/5</f>
        <v>31.939999999999998</v>
      </c>
      <c r="F4" s="111">
        <f>(22.4+32.4+43.2+37.7+24)/5</f>
        <v>31.939999999999998</v>
      </c>
      <c r="G4" s="111">
        <f>AVERAGE(39.8,39.8,40.1,40.8,41)</f>
        <v>40.3</v>
      </c>
      <c r="H4" s="111">
        <f>AVERAGE(39.8,39.8,40.1,40.8,41)</f>
        <v>40.3</v>
      </c>
      <c r="I4" s="111">
        <f>AVERAGE(39.8,39.8,40.1,40.8,41)</f>
        <v>40.3</v>
      </c>
      <c r="J4" s="111">
        <f>AVERAGE(39.8,39.8,40.1,40.8,41)</f>
        <v>40.3</v>
      </c>
      <c r="K4" s="111">
        <f>(34.1+40.5+39.9+40.8+30.9)/5</f>
        <v>37.24</v>
      </c>
      <c r="L4" s="111">
        <f>(34.1+40.5+39.9+40.8+30.9)/5</f>
        <v>37.24</v>
      </c>
      <c r="M4" s="111">
        <f>(34.1+40.5+39.9+40.8+30.9)/5</f>
        <v>37.24</v>
      </c>
      <c r="N4" s="111">
        <f>(34.1+40.5+39.9+40.8+30.9)/5</f>
        <v>37.24</v>
      </c>
      <c r="O4" s="111">
        <f>AVERAGE(31.1,40.4,42.9,35.8,36.4)</f>
        <v>37.32</v>
      </c>
      <c r="P4" s="111">
        <f>AVERAGE(31.1,40.4,42.9,35.8,36.4)</f>
        <v>37.32</v>
      </c>
      <c r="Q4" s="111">
        <f>AVERAGE(31.1,40.4,42.9,35.8,36.4)</f>
        <v>37.32</v>
      </c>
      <c r="R4" s="111">
        <f>AVERAGE(31.1,40.4,42.9,35.8,36.4)</f>
        <v>37.32</v>
      </c>
      <c r="S4" s="111">
        <f>(47.2+45.4+43.4+46.7+54.1)/5</f>
        <v>47.36</v>
      </c>
      <c r="T4" s="111">
        <f>(47.2+45.4+43.4+46.7+54.1)/5</f>
        <v>47.36</v>
      </c>
      <c r="U4" s="111">
        <f>(47.2+45.4+43.4+46.7+54.1)/5</f>
        <v>47.36</v>
      </c>
      <c r="V4" s="111">
        <f>(47.2+45.4+43.4+46.7+54.1)/5</f>
        <v>47.36</v>
      </c>
    </row>
    <row r="5" spans="2:22" ht="15">
      <c r="B5" s="108" t="s">
        <v>23</v>
      </c>
      <c r="C5" s="111">
        <f aca="true" t="shared" si="0" ref="C5:V5">((100-C4)/100)*C3</f>
        <v>68.080418</v>
      </c>
      <c r="D5" s="111">
        <f t="shared" si="0"/>
        <v>34.13209</v>
      </c>
      <c r="E5" s="111">
        <f t="shared" si="0"/>
        <v>34.084447999999995</v>
      </c>
      <c r="F5" s="111">
        <f t="shared" si="0"/>
        <v>36.13986</v>
      </c>
      <c r="G5" s="111">
        <f t="shared" si="0"/>
        <v>59.77164</v>
      </c>
      <c r="H5" s="111">
        <f t="shared" si="0"/>
        <v>59.932829999999996</v>
      </c>
      <c r="I5" s="111">
        <f t="shared" si="0"/>
        <v>59.81343</v>
      </c>
      <c r="J5" s="111">
        <f t="shared" si="0"/>
        <v>59.879099999999994</v>
      </c>
      <c r="K5" s="111">
        <f t="shared" si="0"/>
        <v>31.511795999999997</v>
      </c>
      <c r="L5" s="111">
        <f t="shared" si="0"/>
        <v>31.618488</v>
      </c>
      <c r="M5" s="111">
        <f t="shared" si="0"/>
        <v>31.423931999999997</v>
      </c>
      <c r="N5" s="111">
        <f t="shared" si="0"/>
        <v>31.863252</v>
      </c>
      <c r="O5" s="111">
        <f t="shared" si="0"/>
        <v>31.490432000000002</v>
      </c>
      <c r="P5" s="111">
        <f t="shared" si="0"/>
        <v>31.634596000000002</v>
      </c>
      <c r="Q5" s="111">
        <f t="shared" si="0"/>
        <v>31.647132000000003</v>
      </c>
      <c r="R5" s="111">
        <f t="shared" si="0"/>
        <v>31.509236000000005</v>
      </c>
      <c r="S5" s="111">
        <f t="shared" si="0"/>
        <v>26.462128</v>
      </c>
      <c r="T5" s="111">
        <f t="shared" si="0"/>
        <v>52.918991999999996</v>
      </c>
      <c r="U5" s="111">
        <f t="shared" si="0"/>
        <v>52.67684799999999</v>
      </c>
      <c r="V5" s="111">
        <f t="shared" si="0"/>
        <v>52.85056</v>
      </c>
    </row>
    <row r="6" spans="2:22" ht="18">
      <c r="B6" s="135" t="s">
        <v>24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7"/>
      <c r="O6" s="136"/>
      <c r="P6" s="136"/>
      <c r="Q6" s="136"/>
      <c r="R6" s="136"/>
      <c r="S6" s="137"/>
      <c r="T6" s="136"/>
      <c r="U6" s="136"/>
      <c r="V6" s="138"/>
    </row>
    <row r="7" spans="2:22" ht="15">
      <c r="B7" s="112" t="s">
        <v>25</v>
      </c>
      <c r="C7" s="113">
        <f>88.0381-76.0359</f>
        <v>12.002200000000002</v>
      </c>
      <c r="D7" s="114">
        <v>2.2434</v>
      </c>
      <c r="E7" s="113">
        <f>11.6965-11.6555</f>
        <v>0.04100000000000037</v>
      </c>
      <c r="F7" s="112">
        <v>0.8885</v>
      </c>
      <c r="G7" s="112">
        <v>0.0421</v>
      </c>
      <c r="H7" s="114">
        <v>0.0092</v>
      </c>
      <c r="I7" s="114">
        <v>0</v>
      </c>
      <c r="J7" s="113">
        <f>16.3789-16.3551</f>
        <v>0.023800000000001376</v>
      </c>
      <c r="K7" s="114">
        <v>5.9693</v>
      </c>
      <c r="L7" s="113">
        <f>16.5763-16.2431</f>
        <v>0.3332000000000015</v>
      </c>
      <c r="M7" s="114">
        <v>0</v>
      </c>
      <c r="N7" s="112">
        <v>0</v>
      </c>
      <c r="O7" s="113">
        <f>13.9017-12.1784</f>
        <v>1.7233</v>
      </c>
      <c r="P7" s="113">
        <f>19.791-17.8987</f>
        <v>1.8922999999999988</v>
      </c>
      <c r="Q7" s="113">
        <f>12.6093-12.2316</f>
        <v>0.37769999999999904</v>
      </c>
      <c r="R7" s="113">
        <f>18.3562-17.6884</f>
        <v>0.6677999999999997</v>
      </c>
      <c r="S7" s="112">
        <v>0.0323</v>
      </c>
      <c r="T7" s="112">
        <v>0</v>
      </c>
      <c r="U7" s="114">
        <v>0</v>
      </c>
      <c r="V7" s="114">
        <v>0</v>
      </c>
    </row>
    <row r="8" spans="2:22" ht="15">
      <c r="B8" s="115" t="s">
        <v>26</v>
      </c>
      <c r="C8" s="116">
        <v>52</v>
      </c>
      <c r="D8" s="112">
        <v>24</v>
      </c>
      <c r="E8" s="114">
        <v>4</v>
      </c>
      <c r="F8" s="112">
        <v>3</v>
      </c>
      <c r="G8" s="116">
        <v>1</v>
      </c>
      <c r="H8" s="114">
        <v>0</v>
      </c>
      <c r="I8" s="116">
        <v>0</v>
      </c>
      <c r="J8" s="116">
        <v>0</v>
      </c>
      <c r="K8" s="113">
        <f>3+1+4+3+1+2+2+1</f>
        <v>17</v>
      </c>
      <c r="L8" s="112">
        <v>4</v>
      </c>
      <c r="M8" s="114">
        <v>0</v>
      </c>
      <c r="N8" s="112">
        <v>0</v>
      </c>
      <c r="O8" s="113">
        <f>1+7+1+4+1</f>
        <v>14</v>
      </c>
      <c r="P8" s="113">
        <f>2+2+1+1</f>
        <v>6</v>
      </c>
      <c r="Q8" s="117">
        <f>1+1+2+3</f>
        <v>7</v>
      </c>
      <c r="R8" s="112">
        <v>3</v>
      </c>
      <c r="S8" s="112">
        <v>0</v>
      </c>
      <c r="T8" s="112">
        <v>0</v>
      </c>
      <c r="U8" s="116">
        <v>0</v>
      </c>
      <c r="V8" s="116">
        <v>0</v>
      </c>
    </row>
    <row r="9" spans="2:22" ht="15">
      <c r="B9" s="115" t="s">
        <v>27</v>
      </c>
      <c r="C9" s="113">
        <f>19+31</f>
        <v>50</v>
      </c>
      <c r="D9" s="114">
        <v>3</v>
      </c>
      <c r="E9" s="114">
        <v>2</v>
      </c>
      <c r="F9" s="112">
        <v>5</v>
      </c>
      <c r="G9" s="116">
        <v>0</v>
      </c>
      <c r="H9" s="114">
        <v>1</v>
      </c>
      <c r="I9" s="116">
        <v>0</v>
      </c>
      <c r="J9" s="116">
        <v>1</v>
      </c>
      <c r="K9" s="116">
        <v>9</v>
      </c>
      <c r="L9" s="112">
        <v>1</v>
      </c>
      <c r="M9" s="114">
        <v>0</v>
      </c>
      <c r="N9" s="112">
        <v>0</v>
      </c>
      <c r="O9" s="116">
        <v>3</v>
      </c>
      <c r="P9" s="112">
        <v>2</v>
      </c>
      <c r="Q9" s="112">
        <v>1</v>
      </c>
      <c r="R9" s="112">
        <v>0</v>
      </c>
      <c r="S9" s="112">
        <v>0</v>
      </c>
      <c r="T9" s="112">
        <v>0</v>
      </c>
      <c r="U9" s="116">
        <v>0</v>
      </c>
      <c r="V9" s="116">
        <v>0</v>
      </c>
    </row>
    <row r="10" spans="2:22" ht="14.25">
      <c r="B10" s="115" t="s">
        <v>28</v>
      </c>
      <c r="C10" s="116">
        <v>4</v>
      </c>
      <c r="D10" s="114">
        <v>4</v>
      </c>
      <c r="E10" s="114">
        <v>0</v>
      </c>
      <c r="F10" s="116">
        <v>1</v>
      </c>
      <c r="G10" s="116">
        <v>0</v>
      </c>
      <c r="H10" s="114">
        <v>0</v>
      </c>
      <c r="I10" s="116">
        <v>0</v>
      </c>
      <c r="J10" s="116">
        <v>0</v>
      </c>
      <c r="K10" s="116">
        <v>20</v>
      </c>
      <c r="L10" s="112">
        <v>4</v>
      </c>
      <c r="M10" s="114">
        <v>0</v>
      </c>
      <c r="N10" s="112">
        <v>0</v>
      </c>
      <c r="O10" s="116">
        <v>5</v>
      </c>
      <c r="P10" s="112">
        <v>1</v>
      </c>
      <c r="Q10" s="112">
        <v>1</v>
      </c>
      <c r="R10" s="112">
        <v>0</v>
      </c>
      <c r="S10" s="112">
        <v>0</v>
      </c>
      <c r="T10" s="112">
        <v>0</v>
      </c>
      <c r="U10" s="116">
        <v>0</v>
      </c>
      <c r="V10" s="116">
        <v>0</v>
      </c>
    </row>
    <row r="11" spans="2:22" ht="14.25">
      <c r="B11" s="115" t="s">
        <v>29</v>
      </c>
      <c r="C11" s="116">
        <v>5</v>
      </c>
      <c r="D11" s="114">
        <v>0</v>
      </c>
      <c r="E11" s="114">
        <v>0</v>
      </c>
      <c r="F11" s="116">
        <v>2</v>
      </c>
      <c r="G11" s="116">
        <v>0</v>
      </c>
      <c r="H11" s="114">
        <v>0</v>
      </c>
      <c r="I11" s="116">
        <v>0</v>
      </c>
      <c r="J11" s="116">
        <v>0</v>
      </c>
      <c r="K11" s="116">
        <v>0</v>
      </c>
      <c r="L11" s="112">
        <v>0</v>
      </c>
      <c r="M11" s="114">
        <v>0</v>
      </c>
      <c r="N11" s="112">
        <v>0</v>
      </c>
      <c r="O11" s="116">
        <v>0</v>
      </c>
      <c r="P11" s="112">
        <v>0</v>
      </c>
      <c r="Q11" s="112">
        <v>0</v>
      </c>
      <c r="R11" s="116">
        <v>0</v>
      </c>
      <c r="S11" s="112">
        <v>0</v>
      </c>
      <c r="T11" s="112">
        <v>0</v>
      </c>
      <c r="U11" s="116">
        <v>0</v>
      </c>
      <c r="V11" s="116">
        <v>0</v>
      </c>
    </row>
    <row r="12" spans="2:22" ht="15">
      <c r="B12" s="115" t="s">
        <v>30</v>
      </c>
      <c r="C12" s="116">
        <v>4</v>
      </c>
      <c r="D12" s="114">
        <v>0</v>
      </c>
      <c r="E12" s="114">
        <v>0</v>
      </c>
      <c r="F12" s="112">
        <v>6</v>
      </c>
      <c r="G12" s="116">
        <v>0</v>
      </c>
      <c r="H12" s="114">
        <v>0</v>
      </c>
      <c r="I12" s="116">
        <v>0</v>
      </c>
      <c r="J12" s="116">
        <v>0</v>
      </c>
      <c r="K12" s="113">
        <f>1+1+2+1</f>
        <v>5</v>
      </c>
      <c r="L12" s="112">
        <v>0</v>
      </c>
      <c r="M12" s="114">
        <v>0</v>
      </c>
      <c r="N12" s="112">
        <v>0</v>
      </c>
      <c r="O12" s="116">
        <v>1</v>
      </c>
      <c r="P12" s="112">
        <v>1</v>
      </c>
      <c r="Q12" s="112">
        <v>3</v>
      </c>
      <c r="R12" s="112">
        <v>0</v>
      </c>
      <c r="S12" s="112">
        <v>1</v>
      </c>
      <c r="T12" s="112">
        <v>0</v>
      </c>
      <c r="U12" s="116">
        <v>0</v>
      </c>
      <c r="V12" s="116">
        <v>0</v>
      </c>
    </row>
    <row r="13" spans="2:22" ht="14.25">
      <c r="B13" s="115" t="s">
        <v>31</v>
      </c>
      <c r="C13" s="112">
        <v>1</v>
      </c>
      <c r="D13" s="114">
        <v>0</v>
      </c>
      <c r="E13" s="114">
        <v>0</v>
      </c>
      <c r="F13" s="116">
        <v>0</v>
      </c>
      <c r="G13" s="116">
        <v>0</v>
      </c>
      <c r="H13" s="114">
        <v>0</v>
      </c>
      <c r="I13" s="116">
        <v>0</v>
      </c>
      <c r="J13" s="116">
        <v>0</v>
      </c>
      <c r="K13" s="116">
        <v>0</v>
      </c>
      <c r="L13" s="112">
        <v>0</v>
      </c>
      <c r="M13" s="114">
        <v>0</v>
      </c>
      <c r="N13" s="112">
        <v>0</v>
      </c>
      <c r="O13" s="116">
        <v>0</v>
      </c>
      <c r="P13" s="112">
        <v>0</v>
      </c>
      <c r="Q13" s="112">
        <v>0</v>
      </c>
      <c r="R13" s="116">
        <v>0</v>
      </c>
      <c r="S13" s="112">
        <v>0</v>
      </c>
      <c r="T13" s="112">
        <v>0</v>
      </c>
      <c r="U13" s="116">
        <v>0</v>
      </c>
      <c r="V13" s="116">
        <v>0</v>
      </c>
    </row>
    <row r="14" spans="2:22" ht="15">
      <c r="B14" s="118" t="s">
        <v>32</v>
      </c>
      <c r="C14" s="119">
        <v>116</v>
      </c>
      <c r="D14" s="120">
        <f aca="true" t="shared" si="1" ref="D14:V14">SUM(D8:D13)</f>
        <v>31</v>
      </c>
      <c r="E14" s="120">
        <f t="shared" si="1"/>
        <v>6</v>
      </c>
      <c r="F14" s="120">
        <f t="shared" si="1"/>
        <v>17</v>
      </c>
      <c r="G14" s="120">
        <f t="shared" si="1"/>
        <v>1</v>
      </c>
      <c r="H14" s="120">
        <f t="shared" si="1"/>
        <v>1</v>
      </c>
      <c r="I14" s="120">
        <f t="shared" si="1"/>
        <v>0</v>
      </c>
      <c r="J14" s="120">
        <f t="shared" si="1"/>
        <v>1</v>
      </c>
      <c r="K14" s="120">
        <f t="shared" si="1"/>
        <v>51</v>
      </c>
      <c r="L14" s="120">
        <f t="shared" si="1"/>
        <v>9</v>
      </c>
      <c r="M14" s="120">
        <f t="shared" si="1"/>
        <v>0</v>
      </c>
      <c r="N14" s="120">
        <f t="shared" si="1"/>
        <v>0</v>
      </c>
      <c r="O14" s="120">
        <f t="shared" si="1"/>
        <v>23</v>
      </c>
      <c r="P14" s="120">
        <f t="shared" si="1"/>
        <v>10</v>
      </c>
      <c r="Q14" s="120">
        <f t="shared" si="1"/>
        <v>12</v>
      </c>
      <c r="R14" s="120">
        <f t="shared" si="1"/>
        <v>3</v>
      </c>
      <c r="S14" s="120">
        <f t="shared" si="1"/>
        <v>1</v>
      </c>
      <c r="T14" s="120">
        <f t="shared" si="1"/>
        <v>0</v>
      </c>
      <c r="U14" s="120">
        <f t="shared" si="1"/>
        <v>0</v>
      </c>
      <c r="V14" s="120">
        <f t="shared" si="1"/>
        <v>0</v>
      </c>
    </row>
    <row r="15" spans="2:25" ht="15">
      <c r="B15" s="121" t="s">
        <v>33</v>
      </c>
      <c r="C15" s="122">
        <v>20</v>
      </c>
      <c r="D15" s="121">
        <v>3</v>
      </c>
      <c r="E15" s="121">
        <v>2</v>
      </c>
      <c r="F15" s="121">
        <v>4</v>
      </c>
      <c r="G15" s="121">
        <v>0</v>
      </c>
      <c r="H15" s="121">
        <v>1</v>
      </c>
      <c r="I15" s="121">
        <v>0</v>
      </c>
      <c r="J15" s="121">
        <v>0</v>
      </c>
      <c r="K15" s="123">
        <f>2+3+1</f>
        <v>6</v>
      </c>
      <c r="L15" s="124">
        <v>2</v>
      </c>
      <c r="M15" s="121">
        <v>0</v>
      </c>
      <c r="N15" s="124">
        <v>0</v>
      </c>
      <c r="O15" s="121">
        <v>3</v>
      </c>
      <c r="P15" s="124">
        <v>0</v>
      </c>
      <c r="Q15" s="124">
        <v>1</v>
      </c>
      <c r="R15" s="125">
        <v>0</v>
      </c>
      <c r="S15" s="124">
        <v>1</v>
      </c>
      <c r="T15" s="124">
        <v>0</v>
      </c>
      <c r="U15" s="121">
        <v>0</v>
      </c>
      <c r="V15" s="121">
        <v>0</v>
      </c>
      <c r="Y15" s="5"/>
    </row>
    <row r="16" spans="2:25" ht="14.25">
      <c r="B16" s="121" t="s">
        <v>34</v>
      </c>
      <c r="C16" s="124">
        <v>9</v>
      </c>
      <c r="D16" s="121">
        <v>1</v>
      </c>
      <c r="E16" s="121">
        <v>0</v>
      </c>
      <c r="F16" s="121">
        <v>1</v>
      </c>
      <c r="G16" s="121">
        <v>0</v>
      </c>
      <c r="H16" s="121">
        <v>0</v>
      </c>
      <c r="I16" s="121">
        <v>0</v>
      </c>
      <c r="J16" s="121">
        <v>0</v>
      </c>
      <c r="K16" s="122">
        <v>2</v>
      </c>
      <c r="L16" s="124">
        <v>0</v>
      </c>
      <c r="M16" s="121">
        <v>0</v>
      </c>
      <c r="N16" s="124">
        <v>0</v>
      </c>
      <c r="O16" s="121">
        <v>1</v>
      </c>
      <c r="P16" s="124">
        <v>0</v>
      </c>
      <c r="Q16" s="124">
        <v>1</v>
      </c>
      <c r="R16" s="125">
        <v>0</v>
      </c>
      <c r="S16" s="124">
        <v>0</v>
      </c>
      <c r="T16" s="124">
        <v>0</v>
      </c>
      <c r="U16" s="121">
        <v>0</v>
      </c>
      <c r="V16" s="121">
        <v>0</v>
      </c>
      <c r="Y16" s="5"/>
    </row>
    <row r="17" spans="2:25" ht="14.25">
      <c r="B17" s="121" t="s">
        <v>35</v>
      </c>
      <c r="C17" s="124">
        <v>6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2">
        <v>0</v>
      </c>
      <c r="L17" s="124">
        <v>0</v>
      </c>
      <c r="M17" s="121">
        <v>0</v>
      </c>
      <c r="N17" s="124">
        <v>0</v>
      </c>
      <c r="O17" s="121">
        <v>0</v>
      </c>
      <c r="P17" s="124">
        <v>0</v>
      </c>
      <c r="Q17" s="124">
        <v>1</v>
      </c>
      <c r="R17" s="121">
        <v>1</v>
      </c>
      <c r="S17" s="124">
        <v>0</v>
      </c>
      <c r="T17" s="124">
        <v>0</v>
      </c>
      <c r="U17" s="121">
        <v>0</v>
      </c>
      <c r="V17" s="121">
        <v>0</v>
      </c>
      <c r="Y17" s="5"/>
    </row>
    <row r="18" spans="2:25" ht="14.25">
      <c r="B18" s="121" t="s">
        <v>36</v>
      </c>
      <c r="C18" s="124">
        <v>14</v>
      </c>
      <c r="D18" s="121">
        <v>12</v>
      </c>
      <c r="E18" s="121">
        <v>2</v>
      </c>
      <c r="F18" s="122">
        <v>6</v>
      </c>
      <c r="G18" s="121">
        <v>0</v>
      </c>
      <c r="H18" s="121">
        <v>0</v>
      </c>
      <c r="I18" s="121">
        <v>0</v>
      </c>
      <c r="J18" s="121">
        <v>0</v>
      </c>
      <c r="K18" s="122">
        <v>26</v>
      </c>
      <c r="L18" s="124">
        <v>5</v>
      </c>
      <c r="M18" s="121">
        <v>0</v>
      </c>
      <c r="N18" s="124">
        <v>0</v>
      </c>
      <c r="O18" s="121">
        <v>9</v>
      </c>
      <c r="P18" s="124">
        <v>4</v>
      </c>
      <c r="Q18" s="124">
        <v>4</v>
      </c>
      <c r="R18" s="125">
        <v>1</v>
      </c>
      <c r="S18" s="124">
        <v>0</v>
      </c>
      <c r="T18" s="124">
        <v>0</v>
      </c>
      <c r="U18" s="121">
        <v>0</v>
      </c>
      <c r="V18" s="121">
        <v>0</v>
      </c>
      <c r="Y18" s="5"/>
    </row>
    <row r="19" spans="2:25" ht="14.25">
      <c r="B19" s="121" t="s">
        <v>37</v>
      </c>
      <c r="C19" s="124">
        <v>7</v>
      </c>
      <c r="D19" s="121">
        <v>0</v>
      </c>
      <c r="E19" s="126">
        <v>0</v>
      </c>
      <c r="F19" s="122">
        <v>0</v>
      </c>
      <c r="G19" s="121">
        <v>1</v>
      </c>
      <c r="H19" s="121">
        <v>0</v>
      </c>
      <c r="I19" s="121">
        <v>0</v>
      </c>
      <c r="J19" s="121">
        <v>0</v>
      </c>
      <c r="K19" s="122">
        <v>0</v>
      </c>
      <c r="L19" s="124">
        <v>0</v>
      </c>
      <c r="M19" s="121">
        <v>0</v>
      </c>
      <c r="N19" s="124">
        <v>0</v>
      </c>
      <c r="O19" s="121">
        <v>1</v>
      </c>
      <c r="P19" s="124">
        <v>0</v>
      </c>
      <c r="Q19" s="124">
        <v>0</v>
      </c>
      <c r="R19" s="121">
        <v>0</v>
      </c>
      <c r="S19" s="124">
        <v>0</v>
      </c>
      <c r="T19" s="124">
        <v>0</v>
      </c>
      <c r="U19" s="121">
        <v>0</v>
      </c>
      <c r="V19" s="121">
        <v>0</v>
      </c>
      <c r="Y19" s="5"/>
    </row>
    <row r="20" spans="2:25" ht="14.25">
      <c r="B20" s="121" t="s">
        <v>38</v>
      </c>
      <c r="C20" s="122">
        <v>1</v>
      </c>
      <c r="D20" s="121">
        <v>0</v>
      </c>
      <c r="E20" s="126">
        <v>0</v>
      </c>
      <c r="F20" s="122">
        <v>0</v>
      </c>
      <c r="G20" s="121">
        <v>0</v>
      </c>
      <c r="H20" s="121">
        <v>0</v>
      </c>
      <c r="I20" s="121">
        <v>0</v>
      </c>
      <c r="J20" s="121">
        <v>0</v>
      </c>
      <c r="K20" s="122">
        <v>0</v>
      </c>
      <c r="L20" s="124">
        <v>0</v>
      </c>
      <c r="M20" s="121">
        <v>0</v>
      </c>
      <c r="N20" s="124">
        <v>0</v>
      </c>
      <c r="O20" s="121">
        <v>0</v>
      </c>
      <c r="P20" s="124">
        <v>0</v>
      </c>
      <c r="Q20" s="124">
        <v>0</v>
      </c>
      <c r="R20" s="121">
        <v>0</v>
      </c>
      <c r="S20" s="124">
        <v>0</v>
      </c>
      <c r="T20" s="124">
        <v>0</v>
      </c>
      <c r="U20" s="121">
        <v>0</v>
      </c>
      <c r="V20" s="121">
        <v>0</v>
      </c>
      <c r="Y20" s="5"/>
    </row>
    <row r="21" spans="2:25" ht="15">
      <c r="B21" s="121" t="s">
        <v>39</v>
      </c>
      <c r="C21" s="122">
        <v>44</v>
      </c>
      <c r="D21" s="121">
        <v>5</v>
      </c>
      <c r="E21" s="126">
        <v>0</v>
      </c>
      <c r="F21" s="124">
        <v>3</v>
      </c>
      <c r="G21" s="127">
        <v>0</v>
      </c>
      <c r="H21" s="121">
        <v>0</v>
      </c>
      <c r="I21" s="127">
        <v>0</v>
      </c>
      <c r="J21" s="127">
        <v>0</v>
      </c>
      <c r="K21" s="128">
        <f>3</f>
        <v>3</v>
      </c>
      <c r="L21" s="129">
        <v>0</v>
      </c>
      <c r="M21" s="121">
        <v>0</v>
      </c>
      <c r="N21" s="124">
        <v>0</v>
      </c>
      <c r="O21" s="127">
        <v>7</v>
      </c>
      <c r="P21" s="129">
        <v>0</v>
      </c>
      <c r="Q21" s="129">
        <v>3</v>
      </c>
      <c r="R21" s="129">
        <v>1</v>
      </c>
      <c r="S21" s="129">
        <v>0</v>
      </c>
      <c r="T21" s="129">
        <v>0</v>
      </c>
      <c r="U21" s="121">
        <v>0</v>
      </c>
      <c r="V21" s="121">
        <v>0</v>
      </c>
      <c r="Y21" s="5"/>
    </row>
    <row r="22" spans="2:25" ht="14.25">
      <c r="B22" s="121" t="s">
        <v>40</v>
      </c>
      <c r="C22" s="122">
        <v>1</v>
      </c>
      <c r="D22" s="121">
        <v>1</v>
      </c>
      <c r="E22" s="126">
        <v>1</v>
      </c>
      <c r="F22" s="122">
        <v>1</v>
      </c>
      <c r="G22" s="121">
        <v>0</v>
      </c>
      <c r="H22" s="121">
        <v>0</v>
      </c>
      <c r="I22" s="121">
        <v>0</v>
      </c>
      <c r="J22" s="121">
        <v>0</v>
      </c>
      <c r="K22" s="122">
        <v>2</v>
      </c>
      <c r="L22" s="124">
        <v>1</v>
      </c>
      <c r="M22" s="121">
        <v>0</v>
      </c>
      <c r="N22" s="124">
        <v>0</v>
      </c>
      <c r="O22" s="121">
        <v>0</v>
      </c>
      <c r="P22" s="124">
        <v>2</v>
      </c>
      <c r="Q22" s="124">
        <v>0</v>
      </c>
      <c r="R22" s="121">
        <v>0</v>
      </c>
      <c r="S22" s="124">
        <v>0</v>
      </c>
      <c r="T22" s="124">
        <v>0</v>
      </c>
      <c r="U22" s="121">
        <v>0</v>
      </c>
      <c r="V22" s="121">
        <v>0</v>
      </c>
      <c r="Y22" s="5"/>
    </row>
    <row r="23" spans="2:25" ht="14.25">
      <c r="B23" s="121" t="s">
        <v>41</v>
      </c>
      <c r="C23" s="122">
        <v>5</v>
      </c>
      <c r="D23" s="121">
        <v>1</v>
      </c>
      <c r="E23" s="126">
        <v>0</v>
      </c>
      <c r="F23" s="122">
        <v>0</v>
      </c>
      <c r="G23" s="121">
        <v>0</v>
      </c>
      <c r="H23" s="121">
        <v>0</v>
      </c>
      <c r="I23" s="121">
        <v>0</v>
      </c>
      <c r="J23" s="121">
        <v>1</v>
      </c>
      <c r="K23" s="122">
        <v>5</v>
      </c>
      <c r="L23" s="124">
        <v>0</v>
      </c>
      <c r="M23" s="121">
        <v>0</v>
      </c>
      <c r="N23" s="124">
        <v>0</v>
      </c>
      <c r="O23" s="121">
        <v>1</v>
      </c>
      <c r="P23" s="124">
        <v>1</v>
      </c>
      <c r="Q23" s="124">
        <v>2</v>
      </c>
      <c r="R23" s="125">
        <v>0</v>
      </c>
      <c r="S23" s="124">
        <v>0</v>
      </c>
      <c r="T23" s="124">
        <v>0</v>
      </c>
      <c r="U23" s="121">
        <v>0</v>
      </c>
      <c r="V23" s="121">
        <v>0</v>
      </c>
      <c r="Y23" s="5"/>
    </row>
    <row r="24" spans="2:25" ht="15.75" customHeight="1">
      <c r="B24" s="121" t="s">
        <v>42</v>
      </c>
      <c r="C24" s="122">
        <v>0</v>
      </c>
      <c r="D24" s="121">
        <v>7</v>
      </c>
      <c r="E24" s="126">
        <v>0</v>
      </c>
      <c r="F24" s="124">
        <v>2</v>
      </c>
      <c r="G24" s="121">
        <v>0</v>
      </c>
      <c r="H24" s="121">
        <v>0</v>
      </c>
      <c r="I24" s="121">
        <v>0</v>
      </c>
      <c r="J24" s="121">
        <v>0</v>
      </c>
      <c r="K24" s="123">
        <f>4+2</f>
        <v>6</v>
      </c>
      <c r="L24" s="124">
        <v>1</v>
      </c>
      <c r="M24" s="121">
        <v>0</v>
      </c>
      <c r="N24" s="124">
        <v>0</v>
      </c>
      <c r="O24" s="121">
        <v>1</v>
      </c>
      <c r="P24" s="124">
        <v>3</v>
      </c>
      <c r="Q24" s="124">
        <v>0</v>
      </c>
      <c r="R24" s="125">
        <v>0</v>
      </c>
      <c r="S24" s="124">
        <v>0</v>
      </c>
      <c r="T24" s="124">
        <v>0</v>
      </c>
      <c r="U24" s="121">
        <v>0</v>
      </c>
      <c r="V24" s="121">
        <v>0</v>
      </c>
      <c r="Y24" s="5"/>
    </row>
    <row r="25" spans="2:25" ht="15.75" customHeight="1">
      <c r="B25" s="121" t="s">
        <v>43</v>
      </c>
      <c r="C25" s="122">
        <v>3</v>
      </c>
      <c r="D25" s="121">
        <v>0</v>
      </c>
      <c r="E25" s="126">
        <v>0</v>
      </c>
      <c r="F25" s="122">
        <v>0</v>
      </c>
      <c r="G25" s="121">
        <v>0</v>
      </c>
      <c r="H25" s="121">
        <v>0</v>
      </c>
      <c r="I25" s="121">
        <v>0</v>
      </c>
      <c r="J25" s="121">
        <v>0</v>
      </c>
      <c r="K25" s="122">
        <v>0</v>
      </c>
      <c r="L25" s="124">
        <v>0</v>
      </c>
      <c r="M25" s="121">
        <v>0</v>
      </c>
      <c r="N25" s="124">
        <v>0</v>
      </c>
      <c r="O25" s="121">
        <v>0</v>
      </c>
      <c r="P25" s="124">
        <v>0</v>
      </c>
      <c r="Q25" s="124">
        <v>0</v>
      </c>
      <c r="R25" s="121">
        <v>0</v>
      </c>
      <c r="S25" s="124">
        <v>0</v>
      </c>
      <c r="T25" s="124">
        <v>0</v>
      </c>
      <c r="U25" s="121">
        <v>0</v>
      </c>
      <c r="V25" s="121">
        <v>0</v>
      </c>
      <c r="Y25" s="5"/>
    </row>
    <row r="26" spans="2:25" ht="15.75" customHeight="1">
      <c r="B26" s="121" t="s">
        <v>44</v>
      </c>
      <c r="C26" s="124">
        <v>1</v>
      </c>
      <c r="D26" s="121">
        <v>0</v>
      </c>
      <c r="E26" s="126">
        <v>1</v>
      </c>
      <c r="F26" s="122">
        <v>0</v>
      </c>
      <c r="G26" s="121">
        <v>0</v>
      </c>
      <c r="H26" s="121">
        <v>0</v>
      </c>
      <c r="I26" s="121">
        <v>0</v>
      </c>
      <c r="J26" s="121">
        <v>0</v>
      </c>
      <c r="K26" s="122">
        <v>1</v>
      </c>
      <c r="L26" s="124">
        <v>0</v>
      </c>
      <c r="M26" s="121">
        <v>0</v>
      </c>
      <c r="N26" s="124">
        <v>0</v>
      </c>
      <c r="O26" s="121">
        <v>0</v>
      </c>
      <c r="P26" s="124">
        <v>0</v>
      </c>
      <c r="Q26" s="124">
        <v>0</v>
      </c>
      <c r="R26" s="121">
        <v>0</v>
      </c>
      <c r="S26" s="124">
        <v>0</v>
      </c>
      <c r="T26" s="124">
        <v>0</v>
      </c>
      <c r="U26" s="121">
        <v>0</v>
      </c>
      <c r="V26" s="121">
        <v>0</v>
      </c>
      <c r="Y26" s="5"/>
    </row>
    <row r="27" spans="2:25" ht="15.75" customHeight="1">
      <c r="B27" s="125" t="s">
        <v>45</v>
      </c>
      <c r="C27" s="124">
        <v>0</v>
      </c>
      <c r="D27" s="125">
        <v>1</v>
      </c>
      <c r="E27" s="124">
        <v>0</v>
      </c>
      <c r="F27" s="124">
        <v>0</v>
      </c>
      <c r="G27" s="125">
        <v>0</v>
      </c>
      <c r="H27" s="125">
        <v>0</v>
      </c>
      <c r="I27" s="125">
        <v>0</v>
      </c>
      <c r="J27" s="125">
        <v>0</v>
      </c>
      <c r="K27" s="124">
        <v>0</v>
      </c>
      <c r="L27" s="124">
        <v>0</v>
      </c>
      <c r="M27" s="125">
        <v>0</v>
      </c>
      <c r="N27" s="124">
        <v>0</v>
      </c>
      <c r="O27" s="125">
        <v>0</v>
      </c>
      <c r="P27" s="124">
        <v>0</v>
      </c>
      <c r="Q27" s="124">
        <v>0</v>
      </c>
      <c r="R27" s="125">
        <v>0</v>
      </c>
      <c r="S27" s="124">
        <v>0</v>
      </c>
      <c r="T27" s="124">
        <v>0</v>
      </c>
      <c r="U27" s="125">
        <v>0</v>
      </c>
      <c r="V27" s="125">
        <v>1</v>
      </c>
      <c r="Y27" s="6"/>
    </row>
    <row r="28" spans="2:25" ht="15.75" customHeight="1">
      <c r="B28" s="125" t="s">
        <v>46</v>
      </c>
      <c r="C28" s="124">
        <v>5</v>
      </c>
      <c r="D28" s="125">
        <v>0</v>
      </c>
      <c r="E28" s="124">
        <v>0</v>
      </c>
      <c r="F28" s="124">
        <v>0</v>
      </c>
      <c r="G28" s="125">
        <v>0</v>
      </c>
      <c r="H28" s="125">
        <v>0</v>
      </c>
      <c r="I28" s="125">
        <v>0</v>
      </c>
      <c r="J28" s="125">
        <v>0</v>
      </c>
      <c r="K28" s="124">
        <v>0</v>
      </c>
      <c r="L28" s="124">
        <v>0</v>
      </c>
      <c r="M28" s="125">
        <v>0</v>
      </c>
      <c r="N28" s="124">
        <v>0</v>
      </c>
      <c r="O28" s="125">
        <v>0</v>
      </c>
      <c r="P28" s="124">
        <v>0</v>
      </c>
      <c r="Q28" s="124">
        <v>0</v>
      </c>
      <c r="R28" s="125">
        <v>0</v>
      </c>
      <c r="S28" s="124">
        <v>0</v>
      </c>
      <c r="T28" s="124">
        <v>0</v>
      </c>
      <c r="U28" s="125">
        <v>0</v>
      </c>
      <c r="V28" s="125">
        <v>0</v>
      </c>
      <c r="Y28" s="6"/>
    </row>
    <row r="29" spans="2:22" ht="15.75" customHeight="1">
      <c r="B29" s="130" t="s">
        <v>32</v>
      </c>
      <c r="C29" s="131">
        <f aca="true" t="shared" si="2" ref="C29:V29">SUM(C15:C28)</f>
        <v>116</v>
      </c>
      <c r="D29" s="131">
        <f t="shared" si="2"/>
        <v>31</v>
      </c>
      <c r="E29" s="131">
        <f t="shared" si="2"/>
        <v>6</v>
      </c>
      <c r="F29" s="131">
        <f t="shared" si="2"/>
        <v>17</v>
      </c>
      <c r="G29" s="131">
        <f t="shared" si="2"/>
        <v>1</v>
      </c>
      <c r="H29" s="131">
        <f t="shared" si="2"/>
        <v>1</v>
      </c>
      <c r="I29" s="131">
        <f t="shared" si="2"/>
        <v>0</v>
      </c>
      <c r="J29" s="131">
        <f t="shared" si="2"/>
        <v>1</v>
      </c>
      <c r="K29" s="131">
        <f t="shared" si="2"/>
        <v>51</v>
      </c>
      <c r="L29" s="131">
        <f t="shared" si="2"/>
        <v>9</v>
      </c>
      <c r="M29" s="131">
        <f t="shared" si="2"/>
        <v>0</v>
      </c>
      <c r="N29" s="131">
        <f t="shared" si="2"/>
        <v>0</v>
      </c>
      <c r="O29" s="131">
        <f t="shared" si="2"/>
        <v>23</v>
      </c>
      <c r="P29" s="131">
        <f t="shared" si="2"/>
        <v>10</v>
      </c>
      <c r="Q29" s="131">
        <f t="shared" si="2"/>
        <v>12</v>
      </c>
      <c r="R29" s="131">
        <f t="shared" si="2"/>
        <v>3</v>
      </c>
      <c r="S29" s="131">
        <f t="shared" si="2"/>
        <v>1</v>
      </c>
      <c r="T29" s="131">
        <f t="shared" si="2"/>
        <v>0</v>
      </c>
      <c r="U29" s="131">
        <f t="shared" si="2"/>
        <v>0</v>
      </c>
      <c r="V29" s="131">
        <f t="shared" si="2"/>
        <v>1</v>
      </c>
    </row>
    <row r="30" spans="2:22" ht="15.75" customHeight="1">
      <c r="B30" s="132" t="s">
        <v>47</v>
      </c>
      <c r="C30" s="121">
        <v>16.3155</v>
      </c>
      <c r="D30" s="121">
        <v>10.2914</v>
      </c>
      <c r="E30" s="123">
        <f>18.5008-17.844</f>
        <v>0.6568000000000005</v>
      </c>
      <c r="F30" s="123">
        <f>123.4952-121.9484</f>
        <v>1.5467999999999904</v>
      </c>
      <c r="G30" s="124">
        <v>0.006</v>
      </c>
      <c r="H30" s="123">
        <f>17.782-17.7712</f>
        <v>0.010799999999999699</v>
      </c>
      <c r="I30" s="121">
        <v>0</v>
      </c>
      <c r="J30" s="121">
        <v>0</v>
      </c>
      <c r="K30" s="121">
        <v>5.8043</v>
      </c>
      <c r="L30" s="123">
        <f>20.1633-16.247</f>
        <v>3.9162999999999997</v>
      </c>
      <c r="M30" s="123">
        <f>33.837-32.8204</f>
        <v>1.016600000000004</v>
      </c>
      <c r="N30" s="123">
        <f>16.4737-16.3117</f>
        <v>0.1620000000000026</v>
      </c>
      <c r="O30" s="123">
        <f>26.9094-17.9909</f>
        <v>8.918500000000002</v>
      </c>
      <c r="P30" s="123">
        <f>17.9136-17.5534</f>
        <v>0.36019999999999897</v>
      </c>
      <c r="Q30" s="123">
        <f>20.3198-17.7906</f>
        <v>2.5291999999999994</v>
      </c>
      <c r="R30" s="123">
        <f>18.55-17.8442</f>
        <v>0.7058</v>
      </c>
      <c r="S30" s="123">
        <f>17.3207-17.3165</f>
        <v>0.004199999999997317</v>
      </c>
      <c r="T30" s="124">
        <v>0</v>
      </c>
      <c r="U30" s="123">
        <f>17.3575-17.3117</f>
        <v>0.045800000000003394</v>
      </c>
      <c r="V30" s="124">
        <v>0</v>
      </c>
    </row>
    <row r="31" spans="2:22" ht="15.75" customHeight="1">
      <c r="B31" s="121" t="s">
        <v>26</v>
      </c>
      <c r="C31" s="124">
        <v>244</v>
      </c>
      <c r="D31" s="123">
        <f>1+4+3+3+6+1+2+6+1+2+4+2+3+2+3+2+2+2+3+4+2+3+1+4+6+4+4+2+3+2+2+1+6+3+3+2+2+1+3+2+4+2+4+3+2+1+6+2+1+3+1+2+1+2+5+4+3+1+2+2+7+6+2+4+3+1+2+3+2+2</f>
        <v>195</v>
      </c>
      <c r="E31" s="123">
        <f>4+5+2+3+1+1</f>
        <v>16</v>
      </c>
      <c r="F31" s="123">
        <f>5+3+2+1+3+3+5+10+9+4+2+2</f>
        <v>49</v>
      </c>
      <c r="G31" s="124">
        <v>4</v>
      </c>
      <c r="H31" s="126">
        <v>2</v>
      </c>
      <c r="I31" s="121">
        <v>0</v>
      </c>
      <c r="J31" s="121">
        <v>0</v>
      </c>
      <c r="K31" s="123">
        <f>1+2+1+1+14+2+3+16+62+17+1+11+6</f>
        <v>137</v>
      </c>
      <c r="L31" s="123">
        <f>1+3+4+1+6+6+1+2+1</f>
        <v>25</v>
      </c>
      <c r="M31" s="123">
        <f>13</f>
        <v>13</v>
      </c>
      <c r="N31" s="124">
        <v>5</v>
      </c>
      <c r="O31" s="123">
        <f>101+1+19+12+2+28+1+38+4+19+1+2+11</f>
        <v>239</v>
      </c>
      <c r="P31" s="124">
        <v>4</v>
      </c>
      <c r="Q31" s="123">
        <f>6+3+1+10+1+2+3</f>
        <v>26</v>
      </c>
      <c r="R31" s="124">
        <v>2</v>
      </c>
      <c r="S31" s="124">
        <v>1</v>
      </c>
      <c r="T31" s="124">
        <v>0</v>
      </c>
      <c r="U31" s="122">
        <v>5</v>
      </c>
      <c r="V31" s="124">
        <v>0</v>
      </c>
    </row>
    <row r="32" spans="2:22" ht="15.75" customHeight="1">
      <c r="B32" s="121" t="s">
        <v>27</v>
      </c>
      <c r="C32" s="124">
        <v>41</v>
      </c>
      <c r="D32" s="123">
        <f>1+2+2+11+2+3+3+2</f>
        <v>26</v>
      </c>
      <c r="E32" s="126">
        <v>0</v>
      </c>
      <c r="F32" s="126">
        <v>0</v>
      </c>
      <c r="G32" s="124">
        <v>0</v>
      </c>
      <c r="H32" s="126">
        <v>0</v>
      </c>
      <c r="I32" s="121">
        <v>0</v>
      </c>
      <c r="J32" s="121">
        <v>0</v>
      </c>
      <c r="K32" s="123">
        <f>5+7+3+1+32</f>
        <v>48</v>
      </c>
      <c r="L32" s="133">
        <f>1+2+1</f>
        <v>4</v>
      </c>
      <c r="M32" s="126">
        <v>4</v>
      </c>
      <c r="N32" s="124">
        <v>0</v>
      </c>
      <c r="O32" s="123">
        <f>8+2+1+2</f>
        <v>13</v>
      </c>
      <c r="P32" s="124">
        <v>9</v>
      </c>
      <c r="Q32" s="124">
        <v>0</v>
      </c>
      <c r="R32" s="122">
        <v>0</v>
      </c>
      <c r="S32" s="124">
        <v>0</v>
      </c>
      <c r="T32" s="124">
        <v>0</v>
      </c>
      <c r="U32" s="122">
        <v>0</v>
      </c>
      <c r="V32" s="122">
        <v>0</v>
      </c>
    </row>
    <row r="33" spans="2:22" ht="15.75" customHeight="1">
      <c r="B33" s="121" t="s">
        <v>28</v>
      </c>
      <c r="C33" s="124">
        <v>33</v>
      </c>
      <c r="D33" s="123">
        <f>5+1+1+2+1+2+1+2+1+2+1+3+2+2+4+3+1+3</f>
        <v>37</v>
      </c>
      <c r="E33" s="126">
        <v>2</v>
      </c>
      <c r="F33" s="126">
        <v>6</v>
      </c>
      <c r="G33" s="124">
        <v>0</v>
      </c>
      <c r="H33" s="126">
        <v>0</v>
      </c>
      <c r="I33" s="121">
        <v>0</v>
      </c>
      <c r="J33" s="121">
        <v>0</v>
      </c>
      <c r="K33" s="122">
        <v>136</v>
      </c>
      <c r="L33" s="133">
        <f>44</f>
        <v>44</v>
      </c>
      <c r="M33" s="123">
        <f>7+2+1+6+1+2+1+1</f>
        <v>21</v>
      </c>
      <c r="N33" s="124">
        <v>4</v>
      </c>
      <c r="O33" s="122">
        <v>212</v>
      </c>
      <c r="P33" s="124">
        <v>3</v>
      </c>
      <c r="Q33" s="124">
        <v>32</v>
      </c>
      <c r="R33" s="124">
        <v>3</v>
      </c>
      <c r="S33" s="124">
        <v>0</v>
      </c>
      <c r="T33" s="124">
        <v>0</v>
      </c>
      <c r="U33" s="124">
        <v>0</v>
      </c>
      <c r="V33" s="122">
        <v>0</v>
      </c>
    </row>
    <row r="34" spans="2:22" ht="15.75" customHeight="1">
      <c r="B34" s="121" t="s">
        <v>29</v>
      </c>
      <c r="C34" s="124">
        <v>507</v>
      </c>
      <c r="D34" s="123">
        <f>150+62+6+1+4+5+3+3+5+16+5+2+3+5+1+1+4+2+2+3+3+3+2+4+1+4+3+5+2+3+1+3+3+4+3+4+2+2+2+7+4+1+7+3+3+3+2+3+2+1+2+6+1+4+7+1+3+4+1+3+2+1+11+3+4+5+1+3+4+4</f>
        <v>443</v>
      </c>
      <c r="E34" s="123">
        <f>17+6+2+2</f>
        <v>27</v>
      </c>
      <c r="F34" s="123">
        <f>28+3+7+2+4+3+4+1+2+1+3+3</f>
        <v>61</v>
      </c>
      <c r="G34" s="124">
        <v>0</v>
      </c>
      <c r="H34" s="126">
        <v>0</v>
      </c>
      <c r="I34" s="121">
        <v>0</v>
      </c>
      <c r="J34" s="121">
        <v>0</v>
      </c>
      <c r="K34" s="123">
        <f>2+1+119+17+10+18+1+2+1+2</f>
        <v>173</v>
      </c>
      <c r="L34" s="123">
        <f>101+3+4+11+8+4+3</f>
        <v>134</v>
      </c>
      <c r="M34" s="123">
        <f>23+2+2+1+4+1+1+3+1</f>
        <v>38</v>
      </c>
      <c r="N34" s="124">
        <v>5</v>
      </c>
      <c r="O34" s="123">
        <f>195+8+21+10+10+2+1+1</f>
        <v>248</v>
      </c>
      <c r="P34" s="124">
        <v>0</v>
      </c>
      <c r="Q34" s="123">
        <f>4+69+1+3+10+11+1+2</f>
        <v>101</v>
      </c>
      <c r="R34" s="123">
        <f>13+2+5+1+3</f>
        <v>24</v>
      </c>
      <c r="S34" s="124">
        <v>0</v>
      </c>
      <c r="T34" s="124">
        <v>0</v>
      </c>
      <c r="U34" s="122">
        <v>0</v>
      </c>
      <c r="V34" s="122">
        <v>0</v>
      </c>
    </row>
    <row r="35" spans="2:22" ht="15.75" customHeight="1">
      <c r="B35" s="121" t="s">
        <v>30</v>
      </c>
      <c r="C35" s="124">
        <v>14</v>
      </c>
      <c r="D35" s="126">
        <v>5</v>
      </c>
      <c r="E35" s="126">
        <v>0</v>
      </c>
      <c r="F35" s="126">
        <v>1</v>
      </c>
      <c r="G35" s="124">
        <v>0</v>
      </c>
      <c r="H35" s="126">
        <v>0</v>
      </c>
      <c r="I35" s="121">
        <v>0</v>
      </c>
      <c r="J35" s="121">
        <v>0</v>
      </c>
      <c r="K35" s="122">
        <v>0</v>
      </c>
      <c r="L35" s="124">
        <v>0</v>
      </c>
      <c r="M35" s="126">
        <v>0</v>
      </c>
      <c r="N35" s="124">
        <v>0</v>
      </c>
      <c r="O35" s="122">
        <v>10</v>
      </c>
      <c r="P35" s="124">
        <v>1</v>
      </c>
      <c r="Q35" s="124">
        <v>3</v>
      </c>
      <c r="R35" s="124">
        <v>0</v>
      </c>
      <c r="S35" s="124">
        <v>0</v>
      </c>
      <c r="T35" s="124">
        <v>0</v>
      </c>
      <c r="U35" s="122">
        <v>0</v>
      </c>
      <c r="V35" s="122">
        <v>0</v>
      </c>
    </row>
    <row r="36" spans="2:22" ht="15.75" customHeight="1">
      <c r="B36" s="121" t="s">
        <v>31</v>
      </c>
      <c r="C36" s="122">
        <v>0</v>
      </c>
      <c r="D36" s="126">
        <v>0</v>
      </c>
      <c r="E36" s="126">
        <v>0</v>
      </c>
      <c r="F36" s="126">
        <v>0</v>
      </c>
      <c r="G36" s="124">
        <v>0</v>
      </c>
      <c r="H36" s="126">
        <v>0</v>
      </c>
      <c r="I36" s="121">
        <v>0</v>
      </c>
      <c r="J36" s="121">
        <v>0</v>
      </c>
      <c r="K36" s="122">
        <v>2</v>
      </c>
      <c r="L36" s="124">
        <v>0</v>
      </c>
      <c r="M36" s="126">
        <v>0</v>
      </c>
      <c r="N36" s="124">
        <v>0</v>
      </c>
      <c r="O36" s="122">
        <v>0</v>
      </c>
      <c r="P36" s="124">
        <v>0</v>
      </c>
      <c r="Q36" s="124">
        <v>0</v>
      </c>
      <c r="R36" s="122">
        <v>0</v>
      </c>
      <c r="S36" s="124">
        <v>0</v>
      </c>
      <c r="T36" s="124">
        <v>0</v>
      </c>
      <c r="U36" s="122">
        <v>0</v>
      </c>
      <c r="V36" s="122">
        <v>0</v>
      </c>
    </row>
    <row r="37" spans="2:22" ht="15.75" customHeight="1">
      <c r="B37" s="130" t="s">
        <v>32</v>
      </c>
      <c r="C37" s="131">
        <f aca="true" t="shared" si="3" ref="C37:V37">SUM(C31:C36)</f>
        <v>839</v>
      </c>
      <c r="D37" s="134">
        <f t="shared" si="3"/>
        <v>706</v>
      </c>
      <c r="E37" s="131">
        <f t="shared" si="3"/>
        <v>45</v>
      </c>
      <c r="F37" s="131">
        <f t="shared" si="3"/>
        <v>117</v>
      </c>
      <c r="G37" s="131">
        <f t="shared" si="3"/>
        <v>4</v>
      </c>
      <c r="H37" s="131">
        <f t="shared" si="3"/>
        <v>2</v>
      </c>
      <c r="I37" s="131">
        <f t="shared" si="3"/>
        <v>0</v>
      </c>
      <c r="J37" s="131">
        <f t="shared" si="3"/>
        <v>0</v>
      </c>
      <c r="K37" s="131">
        <f t="shared" si="3"/>
        <v>496</v>
      </c>
      <c r="L37" s="131">
        <f t="shared" si="3"/>
        <v>207</v>
      </c>
      <c r="M37" s="134">
        <f t="shared" si="3"/>
        <v>76</v>
      </c>
      <c r="N37" s="131">
        <f t="shared" si="3"/>
        <v>14</v>
      </c>
      <c r="O37" s="131">
        <f t="shared" si="3"/>
        <v>722</v>
      </c>
      <c r="P37" s="131">
        <f t="shared" si="3"/>
        <v>17</v>
      </c>
      <c r="Q37" s="131">
        <f t="shared" si="3"/>
        <v>162</v>
      </c>
      <c r="R37" s="131">
        <f t="shared" si="3"/>
        <v>29</v>
      </c>
      <c r="S37" s="131">
        <f t="shared" si="3"/>
        <v>1</v>
      </c>
      <c r="T37" s="131">
        <f t="shared" si="3"/>
        <v>0</v>
      </c>
      <c r="U37" s="131">
        <f t="shared" si="3"/>
        <v>5</v>
      </c>
      <c r="V37" s="131">
        <f t="shared" si="3"/>
        <v>0</v>
      </c>
    </row>
    <row r="38" spans="2:22" ht="15.75" customHeight="1">
      <c r="B38" s="121" t="s">
        <v>33</v>
      </c>
      <c r="C38" s="124">
        <v>87</v>
      </c>
      <c r="D38" s="123">
        <f>5+1+3+2+14+4+1+2+5+2+1</f>
        <v>40</v>
      </c>
      <c r="E38" s="121">
        <v>2</v>
      </c>
      <c r="F38" s="126">
        <v>6</v>
      </c>
      <c r="G38" s="124">
        <v>2</v>
      </c>
      <c r="H38" s="121">
        <v>0</v>
      </c>
      <c r="I38" s="121">
        <v>0</v>
      </c>
      <c r="J38" s="121">
        <v>0</v>
      </c>
      <c r="K38" s="123">
        <f>10+4+7</f>
        <v>21</v>
      </c>
      <c r="L38" s="133">
        <f>3+4+2</f>
        <v>9</v>
      </c>
      <c r="M38" s="123">
        <f>4+2+2+1+1</f>
        <v>10</v>
      </c>
      <c r="N38" s="124">
        <v>1</v>
      </c>
      <c r="O38" s="123">
        <f>19+2+10</f>
        <v>31</v>
      </c>
      <c r="P38" s="124">
        <v>1</v>
      </c>
      <c r="Q38" s="123">
        <f>4+2</f>
        <v>6</v>
      </c>
      <c r="R38" s="124">
        <v>2</v>
      </c>
      <c r="S38" s="124">
        <v>0</v>
      </c>
      <c r="T38" s="124">
        <v>0</v>
      </c>
      <c r="U38" s="121">
        <v>1</v>
      </c>
      <c r="V38" s="125">
        <v>0</v>
      </c>
    </row>
    <row r="39" spans="2:22" ht="15.75" customHeight="1">
      <c r="B39" s="121" t="s">
        <v>34</v>
      </c>
      <c r="C39" s="122">
        <v>24</v>
      </c>
      <c r="D39" s="123">
        <f>3+3+3</f>
        <v>9</v>
      </c>
      <c r="E39" s="121">
        <v>0</v>
      </c>
      <c r="F39" s="126">
        <v>3</v>
      </c>
      <c r="G39" s="124">
        <v>0</v>
      </c>
      <c r="H39" s="121">
        <v>0</v>
      </c>
      <c r="I39" s="121">
        <v>0</v>
      </c>
      <c r="J39" s="121">
        <v>0</v>
      </c>
      <c r="K39" s="122">
        <v>2</v>
      </c>
      <c r="L39" s="124">
        <v>1</v>
      </c>
      <c r="M39" s="126">
        <v>1</v>
      </c>
      <c r="N39" s="124">
        <v>0</v>
      </c>
      <c r="O39" s="122">
        <v>11</v>
      </c>
      <c r="P39" s="124">
        <v>0</v>
      </c>
      <c r="Q39" s="124">
        <v>0</v>
      </c>
      <c r="R39" s="122">
        <v>0</v>
      </c>
      <c r="S39" s="124">
        <v>0</v>
      </c>
      <c r="T39" s="124">
        <v>0</v>
      </c>
      <c r="U39" s="121">
        <v>0</v>
      </c>
      <c r="V39" s="121">
        <v>0</v>
      </c>
    </row>
    <row r="40" spans="2:22" ht="15.75" customHeight="1">
      <c r="B40" s="121" t="s">
        <v>35</v>
      </c>
      <c r="C40" s="122">
        <v>4</v>
      </c>
      <c r="D40" s="126">
        <v>6</v>
      </c>
      <c r="E40" s="121">
        <v>1</v>
      </c>
      <c r="F40" s="126">
        <v>0</v>
      </c>
      <c r="G40" s="124">
        <v>0</v>
      </c>
      <c r="H40" s="121">
        <v>0</v>
      </c>
      <c r="I40" s="121">
        <v>0</v>
      </c>
      <c r="J40" s="121">
        <v>0</v>
      </c>
      <c r="K40" s="122">
        <v>5</v>
      </c>
      <c r="L40" s="124">
        <v>0</v>
      </c>
      <c r="M40" s="126">
        <v>0</v>
      </c>
      <c r="N40" s="124">
        <v>0</v>
      </c>
      <c r="O40" s="122">
        <v>2</v>
      </c>
      <c r="P40" s="124">
        <v>0</v>
      </c>
      <c r="Q40" s="124">
        <v>0</v>
      </c>
      <c r="R40" s="122">
        <v>0</v>
      </c>
      <c r="S40" s="124">
        <v>0</v>
      </c>
      <c r="T40" s="124">
        <v>0</v>
      </c>
      <c r="U40" s="121">
        <v>0</v>
      </c>
      <c r="V40" s="121">
        <v>0</v>
      </c>
    </row>
    <row r="41" spans="2:22" ht="15.75" customHeight="1">
      <c r="B41" s="121" t="s">
        <v>36</v>
      </c>
      <c r="C41" s="124">
        <v>116</v>
      </c>
      <c r="D41" s="126">
        <v>109</v>
      </c>
      <c r="E41" s="123">
        <f>2+1+2</f>
        <v>5</v>
      </c>
      <c r="F41" s="123">
        <f>2+2+4+1+1+3+1+3</f>
        <v>17</v>
      </c>
      <c r="G41" s="124">
        <v>0</v>
      </c>
      <c r="H41" s="121">
        <v>0</v>
      </c>
      <c r="I41" s="121">
        <v>0</v>
      </c>
      <c r="J41" s="121">
        <v>0</v>
      </c>
      <c r="K41" s="123">
        <f>2+136+17+32</f>
        <v>187</v>
      </c>
      <c r="L41" s="123">
        <f>4+3+44+1</f>
        <v>52</v>
      </c>
      <c r="M41" s="123">
        <f>7+2+1+6+1+1+3+1+1+1</f>
        <v>24</v>
      </c>
      <c r="N41" s="124">
        <v>5</v>
      </c>
      <c r="O41" s="123">
        <f>10+212+19+8</f>
        <v>249</v>
      </c>
      <c r="P41" s="124">
        <v>6</v>
      </c>
      <c r="Q41" s="123">
        <f>10+32+3</f>
        <v>45</v>
      </c>
      <c r="R41" s="124">
        <v>4</v>
      </c>
      <c r="S41" s="124">
        <v>0</v>
      </c>
      <c r="T41" s="124">
        <v>0</v>
      </c>
      <c r="U41" s="121">
        <v>2</v>
      </c>
      <c r="V41" s="125">
        <v>0</v>
      </c>
    </row>
    <row r="42" spans="2:22" ht="15.75" customHeight="1">
      <c r="B42" s="121" t="s">
        <v>37</v>
      </c>
      <c r="C42" s="122">
        <v>28</v>
      </c>
      <c r="D42" s="123">
        <f>5+5+2+1+1+1+2+8+2+2+2+1+4+5</f>
        <v>41</v>
      </c>
      <c r="E42" s="126">
        <v>0</v>
      </c>
      <c r="F42" s="126">
        <v>4</v>
      </c>
      <c r="G42" s="124">
        <v>0</v>
      </c>
      <c r="H42" s="121">
        <v>0</v>
      </c>
      <c r="I42" s="121">
        <v>0</v>
      </c>
      <c r="J42" s="121">
        <v>0</v>
      </c>
      <c r="K42" s="123">
        <f>17+6</f>
        <v>23</v>
      </c>
      <c r="L42" s="124">
        <v>8</v>
      </c>
      <c r="M42" s="126">
        <v>1</v>
      </c>
      <c r="N42" s="124">
        <v>0</v>
      </c>
      <c r="O42" s="123">
        <f>8+12</f>
        <v>20</v>
      </c>
      <c r="P42" s="124">
        <v>1</v>
      </c>
      <c r="Q42" s="124">
        <v>3</v>
      </c>
      <c r="R42" s="122">
        <v>3</v>
      </c>
      <c r="S42" s="124">
        <v>0</v>
      </c>
      <c r="T42" s="124">
        <v>0</v>
      </c>
      <c r="U42" s="121">
        <v>0</v>
      </c>
      <c r="V42" s="121">
        <v>0</v>
      </c>
    </row>
    <row r="43" spans="2:22" ht="15.75" customHeight="1">
      <c r="B43" s="121" t="s">
        <v>43</v>
      </c>
      <c r="C43" s="122">
        <v>0</v>
      </c>
      <c r="D43" s="126">
        <v>0</v>
      </c>
      <c r="E43" s="126">
        <v>0</v>
      </c>
      <c r="F43" s="126">
        <v>0</v>
      </c>
      <c r="G43" s="124">
        <v>0</v>
      </c>
      <c r="H43" s="121">
        <v>0</v>
      </c>
      <c r="I43" s="121">
        <v>0</v>
      </c>
      <c r="J43" s="121">
        <v>0</v>
      </c>
      <c r="K43" s="122">
        <v>1</v>
      </c>
      <c r="L43" s="124">
        <v>1</v>
      </c>
      <c r="M43" s="124">
        <v>0</v>
      </c>
      <c r="N43" s="124">
        <v>0</v>
      </c>
      <c r="O43" s="122">
        <v>3</v>
      </c>
      <c r="P43" s="124">
        <v>0</v>
      </c>
      <c r="Q43" s="124">
        <v>0</v>
      </c>
      <c r="R43" s="122">
        <v>0</v>
      </c>
      <c r="S43" s="124">
        <v>0</v>
      </c>
      <c r="T43" s="124">
        <v>0</v>
      </c>
      <c r="U43" s="121">
        <v>0</v>
      </c>
      <c r="V43" s="121">
        <v>0</v>
      </c>
    </row>
    <row r="44" spans="2:22" ht="15.75" customHeight="1">
      <c r="B44" s="121" t="s">
        <v>38</v>
      </c>
      <c r="C44" s="122">
        <v>0</v>
      </c>
      <c r="D44" s="126">
        <v>0</v>
      </c>
      <c r="E44" s="126">
        <v>0</v>
      </c>
      <c r="F44" s="126">
        <v>0</v>
      </c>
      <c r="G44" s="124">
        <v>0</v>
      </c>
      <c r="H44" s="121">
        <v>0</v>
      </c>
      <c r="I44" s="121">
        <v>0</v>
      </c>
      <c r="J44" s="121">
        <v>0</v>
      </c>
      <c r="K44" s="122">
        <v>2</v>
      </c>
      <c r="L44" s="124">
        <v>0</v>
      </c>
      <c r="M44" s="124">
        <v>0</v>
      </c>
      <c r="N44" s="124">
        <v>0</v>
      </c>
      <c r="O44" s="122">
        <v>0</v>
      </c>
      <c r="P44" s="124">
        <v>1</v>
      </c>
      <c r="Q44" s="124">
        <v>0</v>
      </c>
      <c r="R44" s="122">
        <v>0</v>
      </c>
      <c r="S44" s="124">
        <v>0</v>
      </c>
      <c r="T44" s="124">
        <v>0</v>
      </c>
      <c r="U44" s="121">
        <v>0</v>
      </c>
      <c r="V44" s="121">
        <v>0</v>
      </c>
    </row>
    <row r="45" spans="2:22" ht="15.75" customHeight="1">
      <c r="B45" s="121" t="s">
        <v>39</v>
      </c>
      <c r="C45" s="124">
        <v>324</v>
      </c>
      <c r="D45" s="124">
        <v>359</v>
      </c>
      <c r="E45" s="123">
        <f>17+4</f>
        <v>21</v>
      </c>
      <c r="F45" s="123">
        <f>39-3</f>
        <v>36</v>
      </c>
      <c r="G45" s="124">
        <v>2</v>
      </c>
      <c r="H45" s="121">
        <v>2</v>
      </c>
      <c r="I45" s="121">
        <v>0</v>
      </c>
      <c r="J45" s="121">
        <v>0</v>
      </c>
      <c r="K45" s="123">
        <f>119+62+1</f>
        <v>182</v>
      </c>
      <c r="L45" s="123">
        <f>6+101</f>
        <v>107</v>
      </c>
      <c r="M45" s="123">
        <f>23+1+1+1+2+1+1+1</f>
        <v>31</v>
      </c>
      <c r="N45" s="124">
        <v>3</v>
      </c>
      <c r="O45" s="123">
        <f>195+101+2</f>
        <v>298</v>
      </c>
      <c r="P45" s="124">
        <v>4</v>
      </c>
      <c r="Q45" s="123">
        <f>69+10</f>
        <v>79</v>
      </c>
      <c r="R45" s="124">
        <v>14</v>
      </c>
      <c r="S45" s="124">
        <v>0</v>
      </c>
      <c r="T45" s="124">
        <v>0</v>
      </c>
      <c r="U45" s="121">
        <v>2</v>
      </c>
      <c r="V45" s="125">
        <v>0</v>
      </c>
    </row>
    <row r="46" spans="2:22" ht="15.75" customHeight="1">
      <c r="B46" s="121" t="s">
        <v>40</v>
      </c>
      <c r="C46" s="122">
        <v>96</v>
      </c>
      <c r="D46" s="123">
        <f>3+1+1+1+1+2+6+2+3+2+5+2+2+4+2+1+2+3+7+2+3+1+9</f>
        <v>65</v>
      </c>
      <c r="E46" s="126">
        <v>8</v>
      </c>
      <c r="F46" s="123">
        <f>7+2+2+2+2+2+4</f>
        <v>21</v>
      </c>
      <c r="G46" s="124">
        <v>0</v>
      </c>
      <c r="H46" s="121">
        <v>0</v>
      </c>
      <c r="I46" s="121">
        <v>0</v>
      </c>
      <c r="J46" s="121">
        <v>0</v>
      </c>
      <c r="K46" s="123">
        <f>18+11</f>
        <v>29</v>
      </c>
      <c r="L46" s="133">
        <f>6+11</f>
        <v>17</v>
      </c>
      <c r="M46" s="126">
        <v>6</v>
      </c>
      <c r="N46" s="124">
        <v>0</v>
      </c>
      <c r="O46" s="123">
        <f>21+28</f>
        <v>49</v>
      </c>
      <c r="P46" s="124">
        <v>2</v>
      </c>
      <c r="Q46" s="124">
        <v>12</v>
      </c>
      <c r="R46" s="124">
        <v>5</v>
      </c>
      <c r="S46" s="124">
        <v>0</v>
      </c>
      <c r="T46" s="124">
        <v>0</v>
      </c>
      <c r="U46" s="121">
        <v>0</v>
      </c>
      <c r="V46" s="121">
        <v>0</v>
      </c>
    </row>
    <row r="47" spans="2:22" ht="15.75" customHeight="1">
      <c r="B47" s="121" t="s">
        <v>41</v>
      </c>
      <c r="C47" s="123">
        <f>35+1+3+1+4+1+4+2+2+6</f>
        <v>59</v>
      </c>
      <c r="D47" s="123">
        <f>2+2+15+4+3+4+4</f>
        <v>34</v>
      </c>
      <c r="E47" s="126">
        <v>3</v>
      </c>
      <c r="F47" s="126">
        <v>7</v>
      </c>
      <c r="G47" s="124">
        <v>0</v>
      </c>
      <c r="H47" s="121">
        <v>0</v>
      </c>
      <c r="I47" s="121">
        <v>0</v>
      </c>
      <c r="J47" s="121">
        <v>0</v>
      </c>
      <c r="K47" s="123">
        <f>2+14+5</f>
        <v>21</v>
      </c>
      <c r="L47" s="124">
        <v>6</v>
      </c>
      <c r="M47" s="126">
        <v>2</v>
      </c>
      <c r="N47" s="124">
        <v>0</v>
      </c>
      <c r="O47" s="123">
        <f>2+38+1</f>
        <v>41</v>
      </c>
      <c r="P47" s="124">
        <v>0</v>
      </c>
      <c r="Q47" s="124">
        <v>7</v>
      </c>
      <c r="R47" s="124">
        <v>1</v>
      </c>
      <c r="S47" s="124">
        <v>1</v>
      </c>
      <c r="T47" s="124">
        <v>0</v>
      </c>
      <c r="U47" s="121">
        <v>0</v>
      </c>
      <c r="V47" s="121">
        <v>0</v>
      </c>
    </row>
    <row r="48" spans="2:22" ht="15.75" customHeight="1">
      <c r="B48" s="121" t="s">
        <v>42</v>
      </c>
      <c r="C48" s="122">
        <v>90</v>
      </c>
      <c r="D48" s="123">
        <f>1+6+5+15+8+6</f>
        <v>41</v>
      </c>
      <c r="E48" s="126">
        <v>5</v>
      </c>
      <c r="F48" s="123">
        <f>25-3</f>
        <v>22</v>
      </c>
      <c r="G48" s="124">
        <v>0</v>
      </c>
      <c r="H48" s="121">
        <v>0</v>
      </c>
      <c r="I48" s="121">
        <v>0</v>
      </c>
      <c r="J48" s="121">
        <v>0</v>
      </c>
      <c r="K48" s="123">
        <f>16</f>
        <v>16</v>
      </c>
      <c r="L48" s="124">
        <v>5</v>
      </c>
      <c r="M48" s="126">
        <v>0</v>
      </c>
      <c r="N48" s="124">
        <v>0</v>
      </c>
      <c r="O48" s="123">
        <f>4+10</f>
        <v>14</v>
      </c>
      <c r="P48" s="124">
        <v>2</v>
      </c>
      <c r="Q48" s="123">
        <f>1+3+1</f>
        <v>5</v>
      </c>
      <c r="R48" s="124">
        <v>0</v>
      </c>
      <c r="S48" s="124">
        <v>0</v>
      </c>
      <c r="T48" s="124">
        <v>0</v>
      </c>
      <c r="U48" s="121">
        <v>0</v>
      </c>
      <c r="V48" s="121">
        <v>0</v>
      </c>
    </row>
    <row r="49" spans="2:22" ht="15.75" customHeight="1">
      <c r="B49" s="121" t="s">
        <v>48</v>
      </c>
      <c r="C49" s="122">
        <v>1</v>
      </c>
      <c r="D49" s="126">
        <v>1</v>
      </c>
      <c r="E49" s="126">
        <v>0</v>
      </c>
      <c r="F49" s="126">
        <v>0</v>
      </c>
      <c r="G49" s="124">
        <v>0</v>
      </c>
      <c r="H49" s="121">
        <v>0</v>
      </c>
      <c r="I49" s="121">
        <v>0</v>
      </c>
      <c r="J49" s="121">
        <v>0</v>
      </c>
      <c r="K49" s="122">
        <v>3</v>
      </c>
      <c r="L49" s="124">
        <v>0</v>
      </c>
      <c r="M49" s="126">
        <v>0</v>
      </c>
      <c r="N49" s="124">
        <v>0</v>
      </c>
      <c r="O49" s="122">
        <v>1</v>
      </c>
      <c r="P49" s="124">
        <v>0</v>
      </c>
      <c r="Q49" s="124">
        <v>0</v>
      </c>
      <c r="R49" s="122">
        <v>0</v>
      </c>
      <c r="S49" s="124">
        <v>0</v>
      </c>
      <c r="T49" s="124">
        <v>0</v>
      </c>
      <c r="U49" s="121">
        <v>0</v>
      </c>
      <c r="V49" s="121">
        <v>0</v>
      </c>
    </row>
    <row r="50" spans="2:22" ht="15.75" customHeight="1">
      <c r="B50" s="121" t="s">
        <v>49</v>
      </c>
      <c r="C50" s="122">
        <v>2</v>
      </c>
      <c r="D50" s="126">
        <v>1</v>
      </c>
      <c r="E50" s="126">
        <v>0</v>
      </c>
      <c r="F50" s="126">
        <v>0</v>
      </c>
      <c r="G50" s="124">
        <v>0</v>
      </c>
      <c r="H50" s="121">
        <v>0</v>
      </c>
      <c r="I50" s="121">
        <v>0</v>
      </c>
      <c r="J50" s="121">
        <v>0</v>
      </c>
      <c r="K50" s="122">
        <v>2</v>
      </c>
      <c r="L50" s="124">
        <v>1</v>
      </c>
      <c r="M50" s="126">
        <v>1</v>
      </c>
      <c r="N50" s="124">
        <v>0</v>
      </c>
      <c r="O50" s="122">
        <v>2</v>
      </c>
      <c r="P50" s="124">
        <v>0</v>
      </c>
      <c r="Q50" s="124">
        <v>1</v>
      </c>
      <c r="R50" s="124">
        <v>0</v>
      </c>
      <c r="S50" s="124">
        <v>0</v>
      </c>
      <c r="T50" s="124">
        <v>0</v>
      </c>
      <c r="U50" s="121">
        <v>0</v>
      </c>
      <c r="V50" s="121">
        <v>0</v>
      </c>
    </row>
    <row r="51" spans="2:22" ht="15.75" customHeight="1">
      <c r="B51" s="121" t="s">
        <v>44</v>
      </c>
      <c r="C51" s="122">
        <v>2</v>
      </c>
      <c r="D51" s="126">
        <v>0</v>
      </c>
      <c r="E51" s="126">
        <v>0</v>
      </c>
      <c r="F51" s="126">
        <v>0</v>
      </c>
      <c r="G51" s="124">
        <v>0</v>
      </c>
      <c r="H51" s="121">
        <v>0</v>
      </c>
      <c r="I51" s="121">
        <v>0</v>
      </c>
      <c r="J51" s="121">
        <v>0</v>
      </c>
      <c r="K51" s="122">
        <v>2</v>
      </c>
      <c r="L51" s="124">
        <v>0</v>
      </c>
      <c r="M51" s="126">
        <v>0</v>
      </c>
      <c r="N51" s="124">
        <v>0</v>
      </c>
      <c r="O51" s="122">
        <v>1</v>
      </c>
      <c r="P51" s="124">
        <v>0</v>
      </c>
      <c r="Q51" s="124">
        <v>2</v>
      </c>
      <c r="R51" s="124">
        <v>0</v>
      </c>
      <c r="S51" s="124">
        <v>0</v>
      </c>
      <c r="T51" s="124">
        <v>0</v>
      </c>
      <c r="U51" s="121">
        <v>0</v>
      </c>
      <c r="V51" s="121">
        <v>0</v>
      </c>
    </row>
    <row r="52" spans="2:22" ht="15.75" customHeight="1">
      <c r="B52" s="121" t="s">
        <v>46</v>
      </c>
      <c r="C52" s="122">
        <v>6</v>
      </c>
      <c r="D52" s="126">
        <v>0</v>
      </c>
      <c r="E52" s="126">
        <v>0</v>
      </c>
      <c r="F52" s="126">
        <v>1</v>
      </c>
      <c r="G52" s="124">
        <v>0</v>
      </c>
      <c r="H52" s="121">
        <v>0</v>
      </c>
      <c r="I52" s="121">
        <v>0</v>
      </c>
      <c r="J52" s="121">
        <v>0</v>
      </c>
      <c r="K52" s="122">
        <v>0</v>
      </c>
      <c r="L52" s="124">
        <v>0</v>
      </c>
      <c r="M52" s="126">
        <v>0</v>
      </c>
      <c r="N52" s="124">
        <v>0</v>
      </c>
      <c r="O52" s="122">
        <v>0</v>
      </c>
      <c r="P52" s="124">
        <v>0</v>
      </c>
      <c r="Q52" s="124">
        <v>2</v>
      </c>
      <c r="R52" s="124">
        <v>0</v>
      </c>
      <c r="S52" s="124">
        <v>0</v>
      </c>
      <c r="T52" s="124">
        <v>0</v>
      </c>
      <c r="U52" s="121">
        <v>0</v>
      </c>
      <c r="V52" s="121">
        <v>0</v>
      </c>
    </row>
    <row r="53" spans="2:22" ht="15.75" customHeight="1">
      <c r="B53" s="130" t="s">
        <v>32</v>
      </c>
      <c r="C53" s="131">
        <f aca="true" t="shared" si="4" ref="C53:V53">SUM(C38:C52)</f>
        <v>839</v>
      </c>
      <c r="D53" s="134">
        <f t="shared" si="4"/>
        <v>706</v>
      </c>
      <c r="E53" s="131">
        <f t="shared" si="4"/>
        <v>45</v>
      </c>
      <c r="F53" s="131">
        <f t="shared" si="4"/>
        <v>117</v>
      </c>
      <c r="G53" s="131">
        <f t="shared" si="4"/>
        <v>4</v>
      </c>
      <c r="H53" s="131">
        <f t="shared" si="4"/>
        <v>2</v>
      </c>
      <c r="I53" s="131">
        <f t="shared" si="4"/>
        <v>0</v>
      </c>
      <c r="J53" s="131">
        <f t="shared" si="4"/>
        <v>0</v>
      </c>
      <c r="K53" s="131">
        <f t="shared" si="4"/>
        <v>496</v>
      </c>
      <c r="L53" s="131">
        <f t="shared" si="4"/>
        <v>207</v>
      </c>
      <c r="M53" s="134">
        <f t="shared" si="4"/>
        <v>76</v>
      </c>
      <c r="N53" s="131">
        <f t="shared" si="4"/>
        <v>9</v>
      </c>
      <c r="O53" s="131">
        <f t="shared" si="4"/>
        <v>722</v>
      </c>
      <c r="P53" s="131">
        <f t="shared" si="4"/>
        <v>17</v>
      </c>
      <c r="Q53" s="131">
        <f t="shared" si="4"/>
        <v>162</v>
      </c>
      <c r="R53" s="131">
        <f t="shared" si="4"/>
        <v>29</v>
      </c>
      <c r="S53" s="131">
        <f t="shared" si="4"/>
        <v>1</v>
      </c>
      <c r="T53" s="131">
        <f t="shared" si="4"/>
        <v>0</v>
      </c>
      <c r="U53" s="131">
        <f t="shared" si="4"/>
        <v>5</v>
      </c>
      <c r="V53" s="131">
        <f t="shared" si="4"/>
        <v>0</v>
      </c>
    </row>
    <row r="54" spans="2:22" ht="15.75" customHeight="1">
      <c r="B54" s="132" t="s">
        <v>50</v>
      </c>
      <c r="C54" s="123">
        <f>76.6219-76.1661</f>
        <v>0.45579999999999643</v>
      </c>
      <c r="D54" s="123">
        <f>13.1649-12.1168</f>
        <v>1.0480999999999998</v>
      </c>
      <c r="E54" s="123">
        <f>17.638-17.5911</f>
        <v>0.04690000000000083</v>
      </c>
      <c r="F54" s="123">
        <f>17.8618-17.8457</f>
        <v>0.016099999999998005</v>
      </c>
      <c r="G54" s="124">
        <v>0.0043</v>
      </c>
      <c r="H54" s="124">
        <v>0.0023</v>
      </c>
      <c r="I54" s="121">
        <v>0.001</v>
      </c>
      <c r="J54" s="121">
        <v>0</v>
      </c>
      <c r="K54" s="123">
        <f>12.1626-11.7826</f>
        <v>0.379999999999999</v>
      </c>
      <c r="L54" s="123">
        <f>16.417-16.357</f>
        <v>0.060000000000002274</v>
      </c>
      <c r="M54" s="123">
        <f>17.8778-17.8454</f>
        <v>0.032399999999999096</v>
      </c>
      <c r="N54" s="123">
        <f>16.2636-16.2277</f>
        <v>0.0359000000000016</v>
      </c>
      <c r="O54" s="122">
        <v>1.1579</v>
      </c>
      <c r="P54" s="133">
        <f>17.3424-17.3376</f>
        <v>0.004800000000003024</v>
      </c>
      <c r="Q54" s="123">
        <f>18.0617-17.8736</f>
        <v>0.1880999999999986</v>
      </c>
      <c r="R54" s="123">
        <f>16.3031-16.2843</f>
        <v>0.018799999999998818</v>
      </c>
      <c r="S54" s="123">
        <f>16.3605-16.3481</f>
        <v>0.012399999999999523</v>
      </c>
      <c r="T54" s="124">
        <v>0</v>
      </c>
      <c r="U54" s="123">
        <f>16.4109-16.3288</f>
        <v>0.0821000000000005</v>
      </c>
      <c r="V54" s="124">
        <v>0.0006</v>
      </c>
    </row>
    <row r="55" spans="2:22" ht="15.75" customHeight="1">
      <c r="B55" s="121" t="s">
        <v>26</v>
      </c>
      <c r="C55" s="133">
        <f>470+14+4+2+3+5+6+4+4+4+4+2+7+5+8+3+5+6+6+10+3+4+4+5+4+2+5+3+4+5+4+3+2+7+9+4+2+11+6+1</f>
        <v>660</v>
      </c>
      <c r="D55" s="123">
        <f>1+12+5+4+2+3+3+7+3+3+10+3+2+1+1+6+4+5+6+2+2+1+3+5+3+3+6+3+6+2+3+2+6+4+8+7+3+4+13+10+2+8+8+15+7+12+9+8+15+9+4+4+8+8+12+12+9+12+7+3+7+7+7+3+11+8+5+3+6+4+11+3+4+5+3+7+4+4+4+6+7+1+1+14+7+7+4+8+8+5+9+6+4+12+18+17+6+5+5+5+5+4+13+8+6+9+3+6+5+13+5+7+5+4+5+4+8+5+4+6+4+6+12+7+7+6+4+4+7+6+10+10+7+10+9+11+11+12+11+10+13+16+12+9+10+7+16+10+7+14+8+11+7+8+8+6+19+19+8+10+9+11+6+5+13+12+4+11+6+12+9+5+17+14+6+4+4+7+6+14+3+9+8+9+9+6+6</f>
        <v>1342</v>
      </c>
      <c r="E55" s="123">
        <f>7+3+6+6+17+3+1+1</f>
        <v>44</v>
      </c>
      <c r="F55" s="122">
        <v>13</v>
      </c>
      <c r="G55" s="124">
        <v>6</v>
      </c>
      <c r="H55" s="126">
        <v>3</v>
      </c>
      <c r="I55" s="121">
        <v>2</v>
      </c>
      <c r="J55" s="121">
        <v>0</v>
      </c>
      <c r="K55" s="123">
        <f>37+44+183+13+21+7+3+15+21+1+1</f>
        <v>346</v>
      </c>
      <c r="L55" s="123">
        <f>26+5+6+1+1+4+2</f>
        <v>45</v>
      </c>
      <c r="M55" s="123">
        <f>8+16+1</f>
        <v>25</v>
      </c>
      <c r="N55" s="123">
        <f>5+2+3+1+1+1</f>
        <v>13</v>
      </c>
      <c r="O55" s="123">
        <f>589+55+70+70+77+3+49+16+9+19+3+10+1</f>
        <v>971</v>
      </c>
      <c r="P55" s="124">
        <v>8</v>
      </c>
      <c r="Q55" s="123">
        <f>8+19+77+26+14+7+14+13+1</f>
        <v>179</v>
      </c>
      <c r="R55" s="123">
        <f>4+5+1+1+1</f>
        <v>12</v>
      </c>
      <c r="S55" s="124">
        <v>5</v>
      </c>
      <c r="T55" s="124">
        <v>0</v>
      </c>
      <c r="U55" s="122">
        <v>14</v>
      </c>
      <c r="V55" s="124">
        <v>3</v>
      </c>
    </row>
    <row r="56" spans="2:22" ht="15.75" customHeight="1">
      <c r="B56" s="121" t="s">
        <v>27</v>
      </c>
      <c r="C56" s="122">
        <v>20</v>
      </c>
      <c r="D56" s="123">
        <f>2+1+12+3+6+2+2+1+1+6+1+1+1+4+4+3+1+1+1+1+1+2+1+1+2+2+1+2+1+1+1+1+2+1+1+2+2+2+1+2+4+4+2</f>
        <v>93</v>
      </c>
      <c r="E56" s="126">
        <v>0</v>
      </c>
      <c r="F56" s="122">
        <v>1</v>
      </c>
      <c r="G56" s="124">
        <v>0</v>
      </c>
      <c r="H56" s="126">
        <v>0</v>
      </c>
      <c r="I56" s="121">
        <v>0</v>
      </c>
      <c r="J56" s="121">
        <v>0</v>
      </c>
      <c r="K56" s="123">
        <f>6+4+1+1+3+2</f>
        <v>17</v>
      </c>
      <c r="L56" s="124">
        <v>0</v>
      </c>
      <c r="M56" s="126">
        <v>0</v>
      </c>
      <c r="N56" s="124">
        <v>0</v>
      </c>
      <c r="O56" s="123">
        <f>1+6+5+1</f>
        <v>13</v>
      </c>
      <c r="P56" s="124">
        <v>0</v>
      </c>
      <c r="Q56" s="124">
        <v>1</v>
      </c>
      <c r="R56" s="124">
        <v>0</v>
      </c>
      <c r="S56" s="124">
        <v>0</v>
      </c>
      <c r="T56" s="124">
        <v>0</v>
      </c>
      <c r="U56" s="122">
        <v>0</v>
      </c>
      <c r="V56" s="122">
        <v>0</v>
      </c>
    </row>
    <row r="57" spans="2:22" ht="15.75" customHeight="1">
      <c r="B57" s="121" t="s">
        <v>28</v>
      </c>
      <c r="C57" s="122">
        <v>16</v>
      </c>
      <c r="D57" s="123">
        <f>2+1+1+1+2+1+1+1+1+1+1+5</f>
        <v>18</v>
      </c>
      <c r="E57" s="126">
        <v>0</v>
      </c>
      <c r="F57" s="122">
        <v>0</v>
      </c>
      <c r="G57" s="124">
        <v>0</v>
      </c>
      <c r="H57" s="126">
        <v>0</v>
      </c>
      <c r="I57" s="121">
        <v>0</v>
      </c>
      <c r="J57" s="121">
        <v>0</v>
      </c>
      <c r="K57" s="122">
        <v>22</v>
      </c>
      <c r="L57" s="124">
        <v>19</v>
      </c>
      <c r="M57" s="126">
        <v>2</v>
      </c>
      <c r="N57" s="124">
        <v>0</v>
      </c>
      <c r="O57" s="122">
        <v>71</v>
      </c>
      <c r="P57" s="124">
        <v>0</v>
      </c>
      <c r="Q57" s="124">
        <v>14</v>
      </c>
      <c r="R57" s="124">
        <v>2</v>
      </c>
      <c r="S57" s="124">
        <v>0</v>
      </c>
      <c r="T57" s="124">
        <v>0</v>
      </c>
      <c r="U57" s="122">
        <v>0</v>
      </c>
      <c r="V57" s="122">
        <v>0</v>
      </c>
    </row>
    <row r="58" spans="2:22" ht="15.75" customHeight="1">
      <c r="B58" s="121" t="s">
        <v>29</v>
      </c>
      <c r="C58" s="122">
        <v>2</v>
      </c>
      <c r="D58" s="126">
        <v>3</v>
      </c>
      <c r="E58" s="126">
        <v>0</v>
      </c>
      <c r="F58" s="122">
        <v>0</v>
      </c>
      <c r="G58" s="124">
        <v>0</v>
      </c>
      <c r="H58" s="126">
        <v>0</v>
      </c>
      <c r="I58" s="121">
        <v>0</v>
      </c>
      <c r="J58" s="121">
        <v>0</v>
      </c>
      <c r="K58" s="122">
        <v>0</v>
      </c>
      <c r="L58" s="124">
        <v>0</v>
      </c>
      <c r="M58" s="126">
        <v>0</v>
      </c>
      <c r="N58" s="124">
        <v>0</v>
      </c>
      <c r="O58" s="122">
        <v>0</v>
      </c>
      <c r="P58" s="124">
        <v>0</v>
      </c>
      <c r="Q58" s="124">
        <v>0</v>
      </c>
      <c r="R58" s="122">
        <v>0</v>
      </c>
      <c r="S58" s="124">
        <v>0</v>
      </c>
      <c r="T58" s="124">
        <v>0</v>
      </c>
      <c r="U58" s="122">
        <v>0</v>
      </c>
      <c r="V58" s="122">
        <v>0</v>
      </c>
    </row>
    <row r="59" spans="2:22" ht="15.75" customHeight="1">
      <c r="B59" s="121" t="s">
        <v>30</v>
      </c>
      <c r="C59" s="122">
        <v>5</v>
      </c>
      <c r="D59" s="126">
        <v>0</v>
      </c>
      <c r="E59" s="126">
        <v>0</v>
      </c>
      <c r="F59" s="122">
        <v>0</v>
      </c>
      <c r="G59" s="124">
        <v>0</v>
      </c>
      <c r="H59" s="126">
        <v>2</v>
      </c>
      <c r="I59" s="121">
        <v>0</v>
      </c>
      <c r="J59" s="121">
        <v>0</v>
      </c>
      <c r="K59" s="122">
        <v>0</v>
      </c>
      <c r="L59" s="124">
        <v>0</v>
      </c>
      <c r="M59" s="126">
        <v>0</v>
      </c>
      <c r="N59" s="124">
        <v>0</v>
      </c>
      <c r="O59" s="123">
        <f>2+1+1+1</f>
        <v>5</v>
      </c>
      <c r="P59" s="124">
        <v>0</v>
      </c>
      <c r="Q59" s="124">
        <v>1</v>
      </c>
      <c r="R59" s="124">
        <v>0</v>
      </c>
      <c r="S59" s="124">
        <v>0</v>
      </c>
      <c r="T59" s="124">
        <v>0</v>
      </c>
      <c r="U59" s="122">
        <v>0</v>
      </c>
      <c r="V59" s="122">
        <v>0</v>
      </c>
    </row>
    <row r="60" spans="2:22" ht="15.75" customHeight="1">
      <c r="B60" s="121" t="s">
        <v>31</v>
      </c>
      <c r="C60" s="122">
        <v>0</v>
      </c>
      <c r="D60" s="126">
        <v>0</v>
      </c>
      <c r="E60" s="126">
        <v>0</v>
      </c>
      <c r="F60" s="122">
        <v>0</v>
      </c>
      <c r="G60" s="124">
        <v>0</v>
      </c>
      <c r="H60" s="126">
        <v>0</v>
      </c>
      <c r="I60" s="121">
        <v>0</v>
      </c>
      <c r="J60" s="121">
        <v>0</v>
      </c>
      <c r="K60" s="122">
        <v>0</v>
      </c>
      <c r="L60" s="124">
        <v>0</v>
      </c>
      <c r="M60" s="126">
        <v>0</v>
      </c>
      <c r="N60" s="124">
        <v>0</v>
      </c>
      <c r="O60" s="122">
        <v>0</v>
      </c>
      <c r="P60" s="124">
        <v>0</v>
      </c>
      <c r="Q60" s="124">
        <v>0</v>
      </c>
      <c r="R60" s="122">
        <v>0</v>
      </c>
      <c r="S60" s="124">
        <v>0</v>
      </c>
      <c r="T60" s="124">
        <v>0</v>
      </c>
      <c r="U60" s="122">
        <v>0</v>
      </c>
      <c r="V60" s="122">
        <v>0</v>
      </c>
    </row>
    <row r="61" spans="2:22" ht="15.75" customHeight="1">
      <c r="B61" s="130" t="s">
        <v>32</v>
      </c>
      <c r="C61" s="134">
        <f aca="true" t="shared" si="5" ref="C61:V61">SUM(C55:C60)</f>
        <v>703</v>
      </c>
      <c r="D61" s="131">
        <f t="shared" si="5"/>
        <v>1456</v>
      </c>
      <c r="E61" s="131">
        <f t="shared" si="5"/>
        <v>44</v>
      </c>
      <c r="F61" s="131">
        <f t="shared" si="5"/>
        <v>14</v>
      </c>
      <c r="G61" s="131">
        <f t="shared" si="5"/>
        <v>6</v>
      </c>
      <c r="H61" s="131">
        <f t="shared" si="5"/>
        <v>5</v>
      </c>
      <c r="I61" s="131">
        <f t="shared" si="5"/>
        <v>2</v>
      </c>
      <c r="J61" s="131">
        <f t="shared" si="5"/>
        <v>0</v>
      </c>
      <c r="K61" s="131">
        <f t="shared" si="5"/>
        <v>385</v>
      </c>
      <c r="L61" s="131">
        <f t="shared" si="5"/>
        <v>64</v>
      </c>
      <c r="M61" s="131">
        <f t="shared" si="5"/>
        <v>27</v>
      </c>
      <c r="N61" s="131">
        <f t="shared" si="5"/>
        <v>13</v>
      </c>
      <c r="O61" s="131">
        <f t="shared" si="5"/>
        <v>1060</v>
      </c>
      <c r="P61" s="131">
        <f t="shared" si="5"/>
        <v>8</v>
      </c>
      <c r="Q61" s="131">
        <f t="shared" si="5"/>
        <v>195</v>
      </c>
      <c r="R61" s="131">
        <f t="shared" si="5"/>
        <v>14</v>
      </c>
      <c r="S61" s="131">
        <f t="shared" si="5"/>
        <v>5</v>
      </c>
      <c r="T61" s="131">
        <f t="shared" si="5"/>
        <v>0</v>
      </c>
      <c r="U61" s="131">
        <f t="shared" si="5"/>
        <v>14</v>
      </c>
      <c r="V61" s="131">
        <f t="shared" si="5"/>
        <v>3</v>
      </c>
    </row>
    <row r="62" spans="2:22" ht="15.75" customHeight="1">
      <c r="B62" s="121" t="s">
        <v>33</v>
      </c>
      <c r="C62" s="124">
        <v>69</v>
      </c>
      <c r="D62" s="123">
        <f>2+1+12+2+5+10+2+3+10+10+7+10+5+5+1+8+6+4+11+14+2+1+1+1+1+4</f>
        <v>138</v>
      </c>
      <c r="E62" s="121">
        <v>6</v>
      </c>
      <c r="F62" s="122">
        <v>2</v>
      </c>
      <c r="G62" s="124">
        <v>4</v>
      </c>
      <c r="H62" s="121">
        <v>2</v>
      </c>
      <c r="I62" s="121">
        <v>2</v>
      </c>
      <c r="J62" s="121">
        <v>0</v>
      </c>
      <c r="K62" s="133">
        <f>37+6</f>
        <v>43</v>
      </c>
      <c r="L62" s="124">
        <v>6</v>
      </c>
      <c r="M62" s="121">
        <v>3</v>
      </c>
      <c r="N62" s="124">
        <v>0</v>
      </c>
      <c r="O62" s="123">
        <f>70+1</f>
        <v>71</v>
      </c>
      <c r="P62" s="124">
        <v>3</v>
      </c>
      <c r="Q62" s="124">
        <v>19</v>
      </c>
      <c r="R62" s="124">
        <v>1</v>
      </c>
      <c r="S62" s="124">
        <v>1</v>
      </c>
      <c r="T62" s="124">
        <v>0</v>
      </c>
      <c r="U62" s="121">
        <v>3</v>
      </c>
      <c r="V62" s="125">
        <v>1</v>
      </c>
    </row>
    <row r="63" spans="2:22" ht="15.75" customHeight="1">
      <c r="B63" s="121" t="s">
        <v>34</v>
      </c>
      <c r="C63" s="122">
        <v>16</v>
      </c>
      <c r="D63" s="123">
        <f>5+5+10+4</f>
        <v>24</v>
      </c>
      <c r="E63" s="121">
        <v>1</v>
      </c>
      <c r="F63" s="122">
        <v>1</v>
      </c>
      <c r="G63" s="124">
        <v>1</v>
      </c>
      <c r="H63" s="121">
        <v>0</v>
      </c>
      <c r="I63" s="121">
        <v>0</v>
      </c>
      <c r="J63" s="122">
        <v>0</v>
      </c>
      <c r="K63" s="122">
        <v>7</v>
      </c>
      <c r="L63" s="124">
        <v>1</v>
      </c>
      <c r="M63" s="121">
        <v>0</v>
      </c>
      <c r="N63" s="124">
        <v>0</v>
      </c>
      <c r="O63" s="122">
        <v>16</v>
      </c>
      <c r="P63" s="124">
        <v>0</v>
      </c>
      <c r="Q63" s="124">
        <v>8</v>
      </c>
      <c r="R63" s="124">
        <v>0</v>
      </c>
      <c r="S63" s="124">
        <v>0</v>
      </c>
      <c r="T63" s="124">
        <v>0</v>
      </c>
      <c r="U63" s="121">
        <v>2</v>
      </c>
      <c r="V63" s="125">
        <v>0</v>
      </c>
    </row>
    <row r="64" spans="2:22" ht="15.75" customHeight="1">
      <c r="B64" s="121" t="s">
        <v>35</v>
      </c>
      <c r="C64" s="122">
        <v>14</v>
      </c>
      <c r="D64" s="123">
        <f>9+6</f>
        <v>15</v>
      </c>
      <c r="E64" s="121">
        <v>1</v>
      </c>
      <c r="F64" s="122">
        <v>0</v>
      </c>
      <c r="G64" s="124">
        <v>0</v>
      </c>
      <c r="H64" s="121">
        <v>0</v>
      </c>
      <c r="I64" s="121">
        <v>0</v>
      </c>
      <c r="J64" s="122">
        <v>0</v>
      </c>
      <c r="K64" s="122">
        <v>3</v>
      </c>
      <c r="L64" s="124">
        <v>0</v>
      </c>
      <c r="M64" s="121">
        <v>0</v>
      </c>
      <c r="N64" s="124">
        <v>1</v>
      </c>
      <c r="O64" s="122">
        <v>10</v>
      </c>
      <c r="P64" s="124">
        <v>0</v>
      </c>
      <c r="Q64" s="124">
        <v>0</v>
      </c>
      <c r="R64" s="124">
        <v>0</v>
      </c>
      <c r="S64" s="124">
        <v>0</v>
      </c>
      <c r="T64" s="124">
        <v>0</v>
      </c>
      <c r="U64" s="121">
        <v>0</v>
      </c>
      <c r="V64" s="121">
        <v>0</v>
      </c>
    </row>
    <row r="65" spans="2:22" ht="15.75" customHeight="1">
      <c r="B65" s="121" t="s">
        <v>36</v>
      </c>
      <c r="C65" s="124">
        <v>69</v>
      </c>
      <c r="D65" s="123">
        <f>6+1+2+1+1+1+1+1+12+2+5+3+1+2+2+1+1+1+1+1+1+2+1+2+6+4+3+1+1+1+1+1+2+2+1+3+3+2+2+3+3+4+3+3+8+5+6+5+7+103+3+3+4+1+2+2+4+2+5+4+5+3+7</f>
        <v>280</v>
      </c>
      <c r="E65" s="121">
        <v>3</v>
      </c>
      <c r="F65" s="122">
        <v>2</v>
      </c>
      <c r="G65" s="124">
        <v>0</v>
      </c>
      <c r="H65" s="121">
        <v>1</v>
      </c>
      <c r="I65" s="121">
        <v>0</v>
      </c>
      <c r="J65" s="122">
        <v>0</v>
      </c>
      <c r="K65" s="123">
        <f>15+2+22</f>
        <v>39</v>
      </c>
      <c r="L65" s="133">
        <f>5+19</f>
        <v>24</v>
      </c>
      <c r="M65" s="121">
        <v>9</v>
      </c>
      <c r="N65" s="124">
        <v>3</v>
      </c>
      <c r="O65" s="123">
        <f>55+5+71+1</f>
        <v>132</v>
      </c>
      <c r="P65" s="124">
        <v>1</v>
      </c>
      <c r="Q65" s="123">
        <f>14+14+1</f>
        <v>29</v>
      </c>
      <c r="R65" s="124">
        <v>3</v>
      </c>
      <c r="S65" s="124">
        <v>1</v>
      </c>
      <c r="T65" s="124">
        <v>0</v>
      </c>
      <c r="U65" s="121">
        <v>0</v>
      </c>
      <c r="V65" s="125">
        <v>0</v>
      </c>
    </row>
    <row r="66" spans="2:22" ht="15.75" customHeight="1">
      <c r="B66" s="121" t="s">
        <v>37</v>
      </c>
      <c r="C66" s="122">
        <v>36</v>
      </c>
      <c r="D66" s="123">
        <f>2+8+6+63</f>
        <v>79</v>
      </c>
      <c r="E66" s="121">
        <v>0</v>
      </c>
      <c r="F66" s="122">
        <v>0</v>
      </c>
      <c r="G66" s="124">
        <v>0</v>
      </c>
      <c r="H66" s="121">
        <v>0</v>
      </c>
      <c r="I66" s="121">
        <v>0</v>
      </c>
      <c r="J66" s="122">
        <v>0</v>
      </c>
      <c r="K66" s="123">
        <f>21+3</f>
        <v>24</v>
      </c>
      <c r="L66" s="124">
        <v>1</v>
      </c>
      <c r="M66" s="121">
        <v>0</v>
      </c>
      <c r="N66" s="124">
        <v>1</v>
      </c>
      <c r="O66" s="122">
        <v>77</v>
      </c>
      <c r="P66" s="124">
        <v>0</v>
      </c>
      <c r="Q66" s="124">
        <v>7</v>
      </c>
      <c r="R66" s="124">
        <v>1</v>
      </c>
      <c r="S66" s="124">
        <v>0</v>
      </c>
      <c r="T66" s="124">
        <v>0</v>
      </c>
      <c r="U66" s="121">
        <v>0</v>
      </c>
      <c r="V66" s="121">
        <v>0</v>
      </c>
    </row>
    <row r="67" spans="2:22" ht="15.75" customHeight="1">
      <c r="B67" s="121" t="s">
        <v>39</v>
      </c>
      <c r="C67" s="124">
        <v>260</v>
      </c>
      <c r="D67" s="124">
        <v>645</v>
      </c>
      <c r="E67" s="121">
        <v>17</v>
      </c>
      <c r="F67" s="122">
        <v>2</v>
      </c>
      <c r="G67" s="124">
        <v>1</v>
      </c>
      <c r="H67" s="121">
        <v>1</v>
      </c>
      <c r="I67" s="121">
        <v>0</v>
      </c>
      <c r="J67" s="122">
        <v>0</v>
      </c>
      <c r="K67" s="123">
        <f>183+4</f>
        <v>187</v>
      </c>
      <c r="L67" s="124">
        <v>26</v>
      </c>
      <c r="M67" s="121">
        <v>0</v>
      </c>
      <c r="N67" s="124">
        <v>5</v>
      </c>
      <c r="O67" s="123">
        <f>589+6</f>
        <v>595</v>
      </c>
      <c r="P67" s="124">
        <v>2</v>
      </c>
      <c r="Q67" s="124">
        <v>77</v>
      </c>
      <c r="R67" s="124">
        <v>5</v>
      </c>
      <c r="S67" s="124">
        <v>2</v>
      </c>
      <c r="T67" s="124">
        <v>0</v>
      </c>
      <c r="U67" s="121">
        <v>7</v>
      </c>
      <c r="V67" s="125">
        <v>0</v>
      </c>
    </row>
    <row r="68" spans="2:22" ht="15.75" customHeight="1">
      <c r="B68" s="121" t="s">
        <v>40</v>
      </c>
      <c r="C68" s="124">
        <v>32</v>
      </c>
      <c r="D68" s="123">
        <f>1+1+1+2+1+1+2+4+1+1+7+5+7</f>
        <v>34</v>
      </c>
      <c r="E68" s="121">
        <v>3</v>
      </c>
      <c r="F68" s="122">
        <v>2</v>
      </c>
      <c r="G68" s="124">
        <v>0</v>
      </c>
      <c r="H68" s="121">
        <v>0</v>
      </c>
      <c r="I68" s="121">
        <v>0</v>
      </c>
      <c r="J68" s="122">
        <v>0</v>
      </c>
      <c r="K68" s="122">
        <v>21</v>
      </c>
      <c r="L68" s="124">
        <v>2</v>
      </c>
      <c r="M68" s="121">
        <v>11</v>
      </c>
      <c r="N68" s="124">
        <v>1</v>
      </c>
      <c r="O68" s="122">
        <v>49</v>
      </c>
      <c r="P68" s="124">
        <v>0</v>
      </c>
      <c r="Q68" s="124">
        <v>13</v>
      </c>
      <c r="R68" s="124">
        <v>0</v>
      </c>
      <c r="S68" s="124">
        <v>1</v>
      </c>
      <c r="T68" s="124">
        <v>0</v>
      </c>
      <c r="U68" s="121">
        <v>0</v>
      </c>
      <c r="V68" s="125">
        <v>0</v>
      </c>
    </row>
    <row r="69" spans="2:22" ht="15.75" customHeight="1">
      <c r="B69" s="121" t="s">
        <v>41</v>
      </c>
      <c r="C69" s="124">
        <v>70</v>
      </c>
      <c r="D69" s="123">
        <f>47+13+10+13+19+39+12+11+6</f>
        <v>170</v>
      </c>
      <c r="E69" s="121">
        <v>7</v>
      </c>
      <c r="F69" s="122">
        <v>1</v>
      </c>
      <c r="G69" s="124">
        <v>0</v>
      </c>
      <c r="H69" s="121">
        <v>1</v>
      </c>
      <c r="I69" s="121">
        <v>0</v>
      </c>
      <c r="J69" s="122">
        <v>0</v>
      </c>
      <c r="K69" s="122">
        <v>44</v>
      </c>
      <c r="L69" s="124">
        <v>4</v>
      </c>
      <c r="M69" s="121">
        <v>2</v>
      </c>
      <c r="N69" s="124">
        <v>2</v>
      </c>
      <c r="O69" s="122">
        <v>72</v>
      </c>
      <c r="P69" s="124">
        <v>2</v>
      </c>
      <c r="Q69" s="124">
        <v>26</v>
      </c>
      <c r="R69" s="124">
        <v>4</v>
      </c>
      <c r="S69" s="124">
        <v>0</v>
      </c>
      <c r="T69" s="124">
        <v>0</v>
      </c>
      <c r="U69" s="121">
        <v>2</v>
      </c>
      <c r="V69" s="125">
        <v>2</v>
      </c>
    </row>
    <row r="70" spans="2:22" ht="15.75" customHeight="1">
      <c r="B70" s="121" t="s">
        <v>42</v>
      </c>
      <c r="C70" s="124">
        <v>135</v>
      </c>
      <c r="D70" s="123">
        <f>10+20+5+26</f>
        <v>61</v>
      </c>
      <c r="E70" s="121">
        <v>6</v>
      </c>
      <c r="F70" s="122">
        <v>4</v>
      </c>
      <c r="G70" s="124">
        <v>0</v>
      </c>
      <c r="H70" s="121">
        <v>0</v>
      </c>
      <c r="I70" s="121">
        <v>0</v>
      </c>
      <c r="J70" s="122">
        <v>0</v>
      </c>
      <c r="K70" s="122">
        <v>13</v>
      </c>
      <c r="L70" s="124">
        <v>0</v>
      </c>
      <c r="M70" s="121">
        <v>2</v>
      </c>
      <c r="N70" s="124">
        <v>0</v>
      </c>
      <c r="O70" s="122">
        <v>21</v>
      </c>
      <c r="P70" s="124">
        <v>0</v>
      </c>
      <c r="Q70" s="124">
        <v>15</v>
      </c>
      <c r="R70" s="124">
        <v>0</v>
      </c>
      <c r="S70" s="124">
        <v>0</v>
      </c>
      <c r="T70" s="124">
        <v>0</v>
      </c>
      <c r="U70" s="121">
        <v>0</v>
      </c>
      <c r="V70" s="121">
        <v>0</v>
      </c>
    </row>
    <row r="71" spans="2:22" ht="15.75" customHeight="1">
      <c r="B71" s="121" t="s">
        <v>44</v>
      </c>
      <c r="C71" s="122">
        <v>0</v>
      </c>
      <c r="D71" s="126">
        <v>0</v>
      </c>
      <c r="E71" s="126">
        <v>0</v>
      </c>
      <c r="F71" s="122">
        <v>0</v>
      </c>
      <c r="G71" s="122">
        <v>0</v>
      </c>
      <c r="H71" s="126">
        <v>0</v>
      </c>
      <c r="I71" s="122">
        <v>0</v>
      </c>
      <c r="J71" s="122">
        <v>0</v>
      </c>
      <c r="K71" s="122">
        <v>0</v>
      </c>
      <c r="L71" s="126">
        <v>0</v>
      </c>
      <c r="M71" s="126">
        <v>0</v>
      </c>
      <c r="N71" s="124">
        <v>0</v>
      </c>
      <c r="O71" s="122">
        <v>3</v>
      </c>
      <c r="P71" s="124">
        <v>0</v>
      </c>
      <c r="Q71" s="124">
        <v>0</v>
      </c>
      <c r="R71" s="124">
        <v>0</v>
      </c>
      <c r="S71" s="124">
        <v>0</v>
      </c>
      <c r="T71" s="124">
        <v>0</v>
      </c>
      <c r="U71" s="125">
        <v>0</v>
      </c>
      <c r="V71" s="125">
        <v>0</v>
      </c>
    </row>
    <row r="72" spans="2:22" ht="15.75" customHeight="1">
      <c r="B72" s="121" t="s">
        <v>38</v>
      </c>
      <c r="C72" s="122">
        <v>0</v>
      </c>
      <c r="D72" s="126">
        <v>0</v>
      </c>
      <c r="E72" s="126">
        <v>0</v>
      </c>
      <c r="F72" s="122">
        <v>0</v>
      </c>
      <c r="G72" s="122">
        <v>0</v>
      </c>
      <c r="H72" s="126">
        <v>0</v>
      </c>
      <c r="I72" s="122">
        <v>0</v>
      </c>
      <c r="J72" s="122">
        <v>0</v>
      </c>
      <c r="K72" s="122">
        <v>0</v>
      </c>
      <c r="L72" s="126">
        <v>0</v>
      </c>
      <c r="M72" s="126">
        <v>0</v>
      </c>
      <c r="N72" s="124">
        <v>0</v>
      </c>
      <c r="O72" s="122">
        <v>1</v>
      </c>
      <c r="P72" s="124">
        <v>0</v>
      </c>
      <c r="Q72" s="124">
        <v>0</v>
      </c>
      <c r="R72" s="124">
        <v>0</v>
      </c>
      <c r="S72" s="124">
        <v>0</v>
      </c>
      <c r="T72" s="124">
        <v>0</v>
      </c>
      <c r="U72" s="125">
        <v>0</v>
      </c>
      <c r="V72" s="125">
        <v>0</v>
      </c>
    </row>
    <row r="73" spans="2:22" ht="15.75" customHeight="1">
      <c r="B73" s="121" t="s">
        <v>49</v>
      </c>
      <c r="C73" s="124">
        <v>1</v>
      </c>
      <c r="D73" s="126">
        <v>8</v>
      </c>
      <c r="E73" s="121">
        <v>0</v>
      </c>
      <c r="F73" s="121">
        <v>0</v>
      </c>
      <c r="G73" s="124">
        <v>0</v>
      </c>
      <c r="H73" s="121">
        <v>0</v>
      </c>
      <c r="I73" s="121">
        <v>0</v>
      </c>
      <c r="J73" s="122">
        <v>0</v>
      </c>
      <c r="K73" s="122">
        <v>1</v>
      </c>
      <c r="L73" s="124">
        <v>0</v>
      </c>
      <c r="M73" s="121">
        <v>0</v>
      </c>
      <c r="N73" s="124">
        <v>0</v>
      </c>
      <c r="O73" s="122">
        <v>10</v>
      </c>
      <c r="P73" s="124">
        <v>0</v>
      </c>
      <c r="Q73" s="124">
        <v>1</v>
      </c>
      <c r="R73" s="124">
        <v>0</v>
      </c>
      <c r="S73" s="124">
        <v>0</v>
      </c>
      <c r="T73" s="124">
        <v>0</v>
      </c>
      <c r="U73" s="121">
        <v>0</v>
      </c>
      <c r="V73" s="121">
        <v>0</v>
      </c>
    </row>
    <row r="74" spans="2:22" ht="15.75" customHeight="1">
      <c r="B74" s="121" t="s">
        <v>43</v>
      </c>
      <c r="C74" s="124">
        <v>1</v>
      </c>
      <c r="D74" s="126">
        <v>1</v>
      </c>
      <c r="E74" s="121">
        <v>0</v>
      </c>
      <c r="F74" s="121">
        <v>0</v>
      </c>
      <c r="G74" s="124">
        <v>0</v>
      </c>
      <c r="H74" s="121">
        <v>0</v>
      </c>
      <c r="I74" s="121">
        <v>0</v>
      </c>
      <c r="J74" s="122">
        <v>0</v>
      </c>
      <c r="K74" s="122">
        <v>2</v>
      </c>
      <c r="L74" s="124">
        <v>0</v>
      </c>
      <c r="M74" s="121">
        <v>0</v>
      </c>
      <c r="N74" s="124">
        <v>0</v>
      </c>
      <c r="O74" s="122">
        <v>0</v>
      </c>
      <c r="P74" s="124">
        <v>0</v>
      </c>
      <c r="Q74" s="124">
        <v>0</v>
      </c>
      <c r="R74" s="124">
        <v>0</v>
      </c>
      <c r="S74" s="124">
        <v>0</v>
      </c>
      <c r="T74" s="124">
        <v>0</v>
      </c>
      <c r="U74" s="121">
        <v>0</v>
      </c>
      <c r="V74" s="121">
        <v>0</v>
      </c>
    </row>
    <row r="75" spans="2:22" ht="15.75" customHeight="1">
      <c r="B75" s="121" t="s">
        <v>48</v>
      </c>
      <c r="C75" s="122">
        <v>0</v>
      </c>
      <c r="D75" s="126">
        <v>1</v>
      </c>
      <c r="E75" s="121">
        <v>0</v>
      </c>
      <c r="F75" s="121">
        <v>0</v>
      </c>
      <c r="G75" s="124">
        <v>0</v>
      </c>
      <c r="H75" s="121">
        <v>0</v>
      </c>
      <c r="I75" s="121">
        <v>0</v>
      </c>
      <c r="J75" s="122">
        <v>0</v>
      </c>
      <c r="K75" s="122">
        <v>1</v>
      </c>
      <c r="L75" s="124">
        <v>0</v>
      </c>
      <c r="M75" s="121">
        <v>0</v>
      </c>
      <c r="N75" s="124">
        <v>0</v>
      </c>
      <c r="O75" s="122">
        <v>3</v>
      </c>
      <c r="P75" s="124">
        <v>0</v>
      </c>
      <c r="Q75" s="124">
        <v>0</v>
      </c>
      <c r="R75" s="124">
        <v>0</v>
      </c>
      <c r="S75" s="124">
        <v>0</v>
      </c>
      <c r="T75" s="124">
        <v>0</v>
      </c>
      <c r="U75" s="121">
        <v>0</v>
      </c>
      <c r="V75" s="121">
        <v>0</v>
      </c>
    </row>
    <row r="76" spans="2:22" ht="15.75" customHeight="1">
      <c r="B76" s="130" t="s">
        <v>32</v>
      </c>
      <c r="C76" s="134">
        <f aca="true" t="shared" si="6" ref="C76:V76">SUM(C62:C75)</f>
        <v>703</v>
      </c>
      <c r="D76" s="134">
        <f t="shared" si="6"/>
        <v>1456</v>
      </c>
      <c r="E76" s="134">
        <f t="shared" si="6"/>
        <v>44</v>
      </c>
      <c r="F76" s="134">
        <f t="shared" si="6"/>
        <v>14</v>
      </c>
      <c r="G76" s="134">
        <f t="shared" si="6"/>
        <v>6</v>
      </c>
      <c r="H76" s="134">
        <f t="shared" si="6"/>
        <v>5</v>
      </c>
      <c r="I76" s="134">
        <f t="shared" si="6"/>
        <v>2</v>
      </c>
      <c r="J76" s="134">
        <f t="shared" si="6"/>
        <v>0</v>
      </c>
      <c r="K76" s="134">
        <f t="shared" si="6"/>
        <v>385</v>
      </c>
      <c r="L76" s="134">
        <f t="shared" si="6"/>
        <v>64</v>
      </c>
      <c r="M76" s="134">
        <f t="shared" si="6"/>
        <v>27</v>
      </c>
      <c r="N76" s="134">
        <f t="shared" si="6"/>
        <v>13</v>
      </c>
      <c r="O76" s="134">
        <f t="shared" si="6"/>
        <v>1060</v>
      </c>
      <c r="P76" s="134">
        <f t="shared" si="6"/>
        <v>8</v>
      </c>
      <c r="Q76" s="134">
        <f t="shared" si="6"/>
        <v>195</v>
      </c>
      <c r="R76" s="134">
        <f t="shared" si="6"/>
        <v>14</v>
      </c>
      <c r="S76" s="134">
        <f t="shared" si="6"/>
        <v>5</v>
      </c>
      <c r="T76" s="134">
        <f t="shared" si="6"/>
        <v>0</v>
      </c>
      <c r="U76" s="134">
        <f t="shared" si="6"/>
        <v>14</v>
      </c>
      <c r="V76" s="134">
        <f t="shared" si="6"/>
        <v>3</v>
      </c>
    </row>
    <row r="77" spans="2:22" ht="15.75" customHeight="1">
      <c r="B77" s="124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</row>
    <row r="78" spans="2:22" ht="15.75" customHeight="1">
      <c r="B78" s="124"/>
      <c r="C78" s="122"/>
      <c r="D78" s="126"/>
      <c r="E78" s="126"/>
      <c r="F78" s="122"/>
      <c r="G78" s="122"/>
      <c r="H78" s="126"/>
      <c r="I78" s="122"/>
      <c r="J78" s="122"/>
      <c r="K78" s="122"/>
      <c r="L78" s="124"/>
      <c r="M78" s="124"/>
      <c r="N78" s="124"/>
      <c r="O78" s="122"/>
      <c r="P78" s="122"/>
      <c r="Q78" s="122"/>
      <c r="R78" s="122"/>
      <c r="S78" s="122"/>
      <c r="T78" s="122"/>
      <c r="U78" s="122"/>
      <c r="V78" s="122"/>
    </row>
    <row r="79" spans="4:14" ht="15.75" customHeight="1">
      <c r="D79" s="1"/>
      <c r="E79" s="1"/>
      <c r="H79" s="2"/>
      <c r="L79" s="1"/>
      <c r="M79" s="7"/>
      <c r="N79" s="3"/>
    </row>
    <row r="80" spans="4:14" ht="15.75" customHeight="1">
      <c r="D80" s="1"/>
      <c r="E80" s="1"/>
      <c r="H80" s="2"/>
      <c r="L80" s="1"/>
      <c r="M80" s="1"/>
      <c r="N80" s="3"/>
    </row>
    <row r="81" spans="4:14" ht="15.75" customHeight="1">
      <c r="D81" s="1"/>
      <c r="E81" s="1"/>
      <c r="H81" s="2"/>
      <c r="L81" s="1"/>
      <c r="M81" s="1"/>
      <c r="N81" s="3"/>
    </row>
    <row r="82" spans="4:14" ht="15.75" customHeight="1">
      <c r="D82" s="1"/>
      <c r="E82" s="1"/>
      <c r="H82" s="2"/>
      <c r="L82" s="1"/>
      <c r="M82" s="1"/>
      <c r="N82" s="3"/>
    </row>
    <row r="83" spans="4:14" ht="15.75" customHeight="1">
      <c r="D83" s="1"/>
      <c r="E83" s="1"/>
      <c r="H83" s="2"/>
      <c r="L83" s="1"/>
      <c r="M83" s="1"/>
      <c r="N83" s="3"/>
    </row>
    <row r="84" spans="4:14" ht="15.75" customHeight="1">
      <c r="D84" s="1"/>
      <c r="E84" s="1"/>
      <c r="H84" s="2"/>
      <c r="L84" s="1"/>
      <c r="M84" s="1"/>
      <c r="N84" s="3"/>
    </row>
    <row r="85" spans="4:14" ht="15.75" customHeight="1">
      <c r="D85" s="1"/>
      <c r="E85" s="1"/>
      <c r="H85" s="2"/>
      <c r="L85" s="1"/>
      <c r="M85" s="1"/>
      <c r="N85" s="3"/>
    </row>
    <row r="86" spans="4:14" ht="15.75" customHeight="1">
      <c r="D86" s="1"/>
      <c r="E86" s="1"/>
      <c r="H86" s="2"/>
      <c r="L86" s="1"/>
      <c r="M86" s="1"/>
      <c r="N86" s="3"/>
    </row>
    <row r="87" spans="4:14" ht="15.75" customHeight="1">
      <c r="D87" s="1"/>
      <c r="E87" s="1"/>
      <c r="H87" s="2"/>
      <c r="L87" s="1"/>
      <c r="M87" s="1"/>
      <c r="N87" s="3"/>
    </row>
    <row r="88" spans="4:14" ht="15.75" customHeight="1">
      <c r="D88" s="1"/>
      <c r="E88" s="1"/>
      <c r="H88" s="2"/>
      <c r="L88" s="1"/>
      <c r="M88" s="1"/>
      <c r="N88" s="3"/>
    </row>
    <row r="89" spans="4:14" ht="15.75" customHeight="1">
      <c r="D89" s="1"/>
      <c r="E89" s="1"/>
      <c r="H89" s="2"/>
      <c r="L89" s="1"/>
      <c r="M89" s="1"/>
      <c r="N89" s="3"/>
    </row>
    <row r="90" spans="4:14" ht="15.75" customHeight="1">
      <c r="D90" s="1"/>
      <c r="E90" s="1"/>
      <c r="H90" s="2"/>
      <c r="L90" s="1"/>
      <c r="M90" s="1"/>
      <c r="N90" s="3"/>
    </row>
    <row r="91" spans="4:14" ht="15.75" customHeight="1">
      <c r="D91" s="1"/>
      <c r="E91" s="1"/>
      <c r="H91" s="2"/>
      <c r="L91" s="1"/>
      <c r="M91" s="1"/>
      <c r="N91" s="3"/>
    </row>
    <row r="92" spans="4:14" ht="15.75" customHeight="1">
      <c r="D92" s="1"/>
      <c r="E92" s="1"/>
      <c r="H92" s="2"/>
      <c r="L92" s="1"/>
      <c r="M92" s="1"/>
      <c r="N92" s="3"/>
    </row>
    <row r="93" spans="4:14" ht="15.75" customHeight="1">
      <c r="D93" s="1"/>
      <c r="E93" s="1"/>
      <c r="H93" s="2"/>
      <c r="L93" s="1"/>
      <c r="M93" s="1"/>
      <c r="N93" s="3"/>
    </row>
    <row r="94" spans="4:14" ht="15.75" customHeight="1">
      <c r="D94" s="1"/>
      <c r="E94" s="1"/>
      <c r="H94" s="2"/>
      <c r="L94" s="1"/>
      <c r="M94" s="1"/>
      <c r="N94" s="3"/>
    </row>
    <row r="95" spans="4:14" ht="15.75" customHeight="1">
      <c r="D95" s="1"/>
      <c r="E95" s="1"/>
      <c r="H95" s="2"/>
      <c r="L95" s="1"/>
      <c r="M95" s="1"/>
      <c r="N95" s="3"/>
    </row>
    <row r="96" spans="4:14" ht="15.75" customHeight="1">
      <c r="D96" s="1"/>
      <c r="E96" s="1"/>
      <c r="H96" s="2"/>
      <c r="L96" s="1"/>
      <c r="M96" s="1"/>
      <c r="N96" s="3"/>
    </row>
    <row r="97" spans="4:14" ht="15.75" customHeight="1">
      <c r="D97" s="1"/>
      <c r="E97" s="1"/>
      <c r="H97" s="2"/>
      <c r="L97" s="1"/>
      <c r="M97" s="1"/>
      <c r="N97" s="3"/>
    </row>
    <row r="98" spans="4:14" ht="15.75" customHeight="1">
      <c r="D98" s="1"/>
      <c r="E98" s="1"/>
      <c r="H98" s="2"/>
      <c r="L98" s="1"/>
      <c r="M98" s="1"/>
      <c r="N98" s="3"/>
    </row>
    <row r="99" spans="4:14" ht="15.75" customHeight="1">
      <c r="D99" s="1"/>
      <c r="E99" s="1"/>
      <c r="H99" s="2"/>
      <c r="L99" s="1"/>
      <c r="M99" s="1"/>
      <c r="N99" s="3"/>
    </row>
    <row r="100" spans="4:14" ht="15.75" customHeight="1">
      <c r="D100" s="1"/>
      <c r="E100" s="1"/>
      <c r="H100" s="2"/>
      <c r="L100" s="1"/>
      <c r="M100" s="1"/>
      <c r="N100" s="3"/>
    </row>
    <row r="101" spans="4:14" ht="15.75" customHeight="1">
      <c r="D101" s="1"/>
      <c r="E101" s="1"/>
      <c r="H101" s="2"/>
      <c r="L101" s="1"/>
      <c r="M101" s="1"/>
      <c r="N101" s="3"/>
    </row>
    <row r="102" spans="4:14" ht="15.75" customHeight="1">
      <c r="D102" s="1"/>
      <c r="E102" s="1"/>
      <c r="H102" s="2"/>
      <c r="L102" s="1"/>
      <c r="M102" s="1"/>
      <c r="N102" s="3"/>
    </row>
    <row r="103" spans="4:14" ht="15.75" customHeight="1">
      <c r="D103" s="1"/>
      <c r="E103" s="1"/>
      <c r="H103" s="2"/>
      <c r="L103" s="1"/>
      <c r="M103" s="1"/>
      <c r="N103" s="3"/>
    </row>
    <row r="104" spans="4:14" ht="15.75" customHeight="1">
      <c r="D104" s="1"/>
      <c r="E104" s="1"/>
      <c r="H104" s="2"/>
      <c r="L104" s="1"/>
      <c r="M104" s="1"/>
      <c r="N104" s="3"/>
    </row>
    <row r="105" spans="4:14" ht="15.75" customHeight="1">
      <c r="D105" s="1"/>
      <c r="E105" s="1"/>
      <c r="H105" s="2"/>
      <c r="L105" s="1"/>
      <c r="M105" s="1"/>
      <c r="N105" s="3"/>
    </row>
    <row r="106" spans="4:14" ht="15.75" customHeight="1">
      <c r="D106" s="1"/>
      <c r="E106" s="1"/>
      <c r="H106" s="2"/>
      <c r="L106" s="1"/>
      <c r="M106" s="1"/>
      <c r="N106" s="3"/>
    </row>
    <row r="107" spans="4:14" ht="15.75" customHeight="1">
      <c r="D107" s="1"/>
      <c r="E107" s="1"/>
      <c r="H107" s="2"/>
      <c r="L107" s="1"/>
      <c r="M107" s="1"/>
      <c r="N107" s="3"/>
    </row>
    <row r="108" spans="4:14" ht="15.75" customHeight="1">
      <c r="D108" s="1"/>
      <c r="E108" s="1"/>
      <c r="H108" s="2"/>
      <c r="L108" s="1"/>
      <c r="M108" s="1"/>
      <c r="N108" s="3"/>
    </row>
    <row r="109" spans="4:14" ht="15.75" customHeight="1">
      <c r="D109" s="1"/>
      <c r="E109" s="1"/>
      <c r="H109" s="2"/>
      <c r="L109" s="1"/>
      <c r="M109" s="1"/>
      <c r="N109" s="3"/>
    </row>
    <row r="110" spans="4:14" ht="15.75" customHeight="1">
      <c r="D110" s="1"/>
      <c r="E110" s="1"/>
      <c r="H110" s="2"/>
      <c r="L110" s="1"/>
      <c r="M110" s="1"/>
      <c r="N110" s="3"/>
    </row>
    <row r="111" spans="4:14" ht="15.75" customHeight="1">
      <c r="D111" s="1"/>
      <c r="E111" s="1"/>
      <c r="H111" s="2"/>
      <c r="L111" s="1"/>
      <c r="M111" s="1"/>
      <c r="N111" s="3"/>
    </row>
    <row r="112" spans="4:14" ht="15.75" customHeight="1">
      <c r="D112" s="1"/>
      <c r="E112" s="1"/>
      <c r="H112" s="2"/>
      <c r="L112" s="1"/>
      <c r="M112" s="1"/>
      <c r="N112" s="3"/>
    </row>
    <row r="113" spans="4:14" ht="15.75" customHeight="1">
      <c r="D113" s="1"/>
      <c r="E113" s="1"/>
      <c r="H113" s="2"/>
      <c r="L113" s="1"/>
      <c r="M113" s="1"/>
      <c r="N113" s="3"/>
    </row>
    <row r="114" spans="4:14" ht="15.75" customHeight="1">
      <c r="D114" s="1"/>
      <c r="E114" s="1"/>
      <c r="H114" s="2"/>
      <c r="L114" s="1"/>
      <c r="M114" s="1"/>
      <c r="N114" s="3"/>
    </row>
    <row r="115" spans="4:14" ht="15.75" customHeight="1">
      <c r="D115" s="1"/>
      <c r="E115" s="1"/>
      <c r="H115" s="2"/>
      <c r="L115" s="1"/>
      <c r="M115" s="1"/>
      <c r="N115" s="3"/>
    </row>
    <row r="116" spans="4:14" ht="15.75" customHeight="1">
      <c r="D116" s="1"/>
      <c r="E116" s="1"/>
      <c r="H116" s="2"/>
      <c r="L116" s="1"/>
      <c r="M116" s="1"/>
      <c r="N116" s="3"/>
    </row>
    <row r="117" spans="4:14" ht="15.75" customHeight="1">
      <c r="D117" s="1"/>
      <c r="E117" s="1"/>
      <c r="H117" s="2"/>
      <c r="L117" s="1"/>
      <c r="M117" s="1"/>
      <c r="N117" s="3"/>
    </row>
    <row r="118" spans="4:14" ht="15.75" customHeight="1">
      <c r="D118" s="1"/>
      <c r="E118" s="1"/>
      <c r="H118" s="2"/>
      <c r="L118" s="1"/>
      <c r="M118" s="1"/>
      <c r="N118" s="3"/>
    </row>
    <row r="119" spans="4:14" ht="15.75" customHeight="1">
      <c r="D119" s="1"/>
      <c r="E119" s="1"/>
      <c r="H119" s="2"/>
      <c r="L119" s="1"/>
      <c r="M119" s="1"/>
      <c r="N119" s="3"/>
    </row>
    <row r="120" spans="4:14" ht="15.75" customHeight="1">
      <c r="D120" s="1"/>
      <c r="E120" s="1"/>
      <c r="H120" s="2"/>
      <c r="L120" s="1"/>
      <c r="M120" s="1"/>
      <c r="N120" s="3"/>
    </row>
    <row r="121" spans="4:14" ht="15.75" customHeight="1">
      <c r="D121" s="1"/>
      <c r="E121" s="1"/>
      <c r="H121" s="2"/>
      <c r="L121" s="1"/>
      <c r="M121" s="1"/>
      <c r="N121" s="3"/>
    </row>
    <row r="122" spans="4:14" ht="15.75" customHeight="1">
      <c r="D122" s="1"/>
      <c r="E122" s="1"/>
      <c r="H122" s="2"/>
      <c r="L122" s="1"/>
      <c r="M122" s="1"/>
      <c r="N122" s="3"/>
    </row>
    <row r="123" spans="4:14" ht="15.75" customHeight="1">
      <c r="D123" s="1"/>
      <c r="E123" s="1"/>
      <c r="H123" s="2"/>
      <c r="L123" s="1"/>
      <c r="M123" s="1"/>
      <c r="N123" s="3"/>
    </row>
    <row r="124" spans="4:14" ht="15.75" customHeight="1">
      <c r="D124" s="1"/>
      <c r="E124" s="1"/>
      <c r="H124" s="2"/>
      <c r="L124" s="1"/>
      <c r="M124" s="1"/>
      <c r="N124" s="3"/>
    </row>
    <row r="125" spans="4:14" ht="15.75" customHeight="1">
      <c r="D125" s="1"/>
      <c r="E125" s="1"/>
      <c r="H125" s="2"/>
      <c r="L125" s="1"/>
      <c r="M125" s="1"/>
      <c r="N125" s="3"/>
    </row>
    <row r="126" spans="4:14" ht="15.75" customHeight="1">
      <c r="D126" s="1"/>
      <c r="E126" s="1"/>
      <c r="H126" s="2"/>
      <c r="L126" s="1"/>
      <c r="M126" s="1"/>
      <c r="N126" s="3"/>
    </row>
    <row r="127" spans="4:14" ht="15.75" customHeight="1">
      <c r="D127" s="1"/>
      <c r="E127" s="1"/>
      <c r="H127" s="2"/>
      <c r="L127" s="1"/>
      <c r="M127" s="1"/>
      <c r="N127" s="3"/>
    </row>
    <row r="128" spans="4:14" ht="15.75" customHeight="1">
      <c r="D128" s="1"/>
      <c r="E128" s="1"/>
      <c r="H128" s="2"/>
      <c r="L128" s="1"/>
      <c r="M128" s="1"/>
      <c r="N128" s="3"/>
    </row>
    <row r="129" spans="4:14" ht="15.75" customHeight="1">
      <c r="D129" s="1"/>
      <c r="E129" s="1"/>
      <c r="H129" s="2"/>
      <c r="L129" s="1"/>
      <c r="M129" s="1"/>
      <c r="N129" s="3"/>
    </row>
    <row r="130" spans="4:14" ht="15.75" customHeight="1">
      <c r="D130" s="1"/>
      <c r="E130" s="1"/>
      <c r="H130" s="2"/>
      <c r="L130" s="1"/>
      <c r="M130" s="1"/>
      <c r="N130" s="3"/>
    </row>
    <row r="131" spans="4:14" ht="15.75" customHeight="1">
      <c r="D131" s="1"/>
      <c r="E131" s="1"/>
      <c r="H131" s="2"/>
      <c r="L131" s="1"/>
      <c r="M131" s="1"/>
      <c r="N131" s="3"/>
    </row>
    <row r="132" spans="4:14" ht="15.75" customHeight="1">
      <c r="D132" s="1"/>
      <c r="E132" s="1"/>
      <c r="H132" s="2"/>
      <c r="L132" s="1"/>
      <c r="M132" s="1"/>
      <c r="N132" s="3"/>
    </row>
    <row r="133" spans="4:14" ht="15.75" customHeight="1">
      <c r="D133" s="1"/>
      <c r="E133" s="1"/>
      <c r="H133" s="2"/>
      <c r="L133" s="1"/>
      <c r="M133" s="1"/>
      <c r="N133" s="3"/>
    </row>
    <row r="134" spans="4:14" ht="15.75" customHeight="1">
      <c r="D134" s="1"/>
      <c r="E134" s="1"/>
      <c r="H134" s="2"/>
      <c r="L134" s="1"/>
      <c r="M134" s="1"/>
      <c r="N134" s="3"/>
    </row>
    <row r="135" spans="4:14" ht="15.75" customHeight="1">
      <c r="D135" s="1"/>
      <c r="E135" s="1"/>
      <c r="H135" s="2"/>
      <c r="L135" s="1"/>
      <c r="M135" s="1"/>
      <c r="N135" s="3"/>
    </row>
    <row r="136" spans="4:14" ht="15.75" customHeight="1">
      <c r="D136" s="1"/>
      <c r="E136" s="1"/>
      <c r="H136" s="2"/>
      <c r="L136" s="1"/>
      <c r="M136" s="1"/>
      <c r="N136" s="3"/>
    </row>
    <row r="137" spans="4:14" ht="15.75" customHeight="1">
      <c r="D137" s="1"/>
      <c r="E137" s="1"/>
      <c r="H137" s="2"/>
      <c r="L137" s="1"/>
      <c r="M137" s="1"/>
      <c r="N137" s="3"/>
    </row>
    <row r="138" spans="4:14" ht="15.75" customHeight="1">
      <c r="D138" s="1"/>
      <c r="E138" s="1"/>
      <c r="H138" s="2"/>
      <c r="L138" s="1"/>
      <c r="M138" s="1"/>
      <c r="N138" s="3"/>
    </row>
    <row r="139" spans="4:14" ht="15.75" customHeight="1">
      <c r="D139" s="1"/>
      <c r="E139" s="1"/>
      <c r="H139" s="2"/>
      <c r="L139" s="1"/>
      <c r="M139" s="1"/>
      <c r="N139" s="3"/>
    </row>
    <row r="140" spans="4:14" ht="15.75" customHeight="1">
      <c r="D140" s="1"/>
      <c r="E140" s="1"/>
      <c r="H140" s="2"/>
      <c r="L140" s="1"/>
      <c r="M140" s="1"/>
      <c r="N140" s="3"/>
    </row>
    <row r="141" spans="4:14" ht="15.75" customHeight="1">
      <c r="D141" s="1"/>
      <c r="E141" s="1"/>
      <c r="H141" s="2"/>
      <c r="L141" s="1"/>
      <c r="M141" s="1"/>
      <c r="N141" s="3"/>
    </row>
    <row r="142" spans="4:14" ht="15.75" customHeight="1">
      <c r="D142" s="1"/>
      <c r="E142" s="1"/>
      <c r="H142" s="2"/>
      <c r="L142" s="1"/>
      <c r="M142" s="1"/>
      <c r="N142" s="3"/>
    </row>
    <row r="143" spans="4:14" ht="15.75" customHeight="1">
      <c r="D143" s="1"/>
      <c r="E143" s="1"/>
      <c r="H143" s="2"/>
      <c r="L143" s="1"/>
      <c r="M143" s="1"/>
      <c r="N143" s="3"/>
    </row>
    <row r="144" spans="4:14" ht="15.75" customHeight="1">
      <c r="D144" s="1"/>
      <c r="E144" s="1"/>
      <c r="H144" s="2"/>
      <c r="L144" s="1"/>
      <c r="M144" s="1"/>
      <c r="N144" s="3"/>
    </row>
    <row r="145" spans="4:14" ht="15.75" customHeight="1">
      <c r="D145" s="1"/>
      <c r="E145" s="1"/>
      <c r="H145" s="2"/>
      <c r="L145" s="1"/>
      <c r="M145" s="1"/>
      <c r="N145" s="3"/>
    </row>
    <row r="146" spans="4:14" ht="15.75" customHeight="1">
      <c r="D146" s="1"/>
      <c r="E146" s="1"/>
      <c r="H146" s="2"/>
      <c r="L146" s="1"/>
      <c r="M146" s="1"/>
      <c r="N146" s="3"/>
    </row>
    <row r="147" spans="4:14" ht="15.75" customHeight="1">
      <c r="D147" s="1"/>
      <c r="E147" s="1"/>
      <c r="H147" s="2"/>
      <c r="L147" s="1"/>
      <c r="M147" s="1"/>
      <c r="N147" s="3"/>
    </row>
    <row r="148" spans="4:14" ht="15.75" customHeight="1">
      <c r="D148" s="1"/>
      <c r="E148" s="1"/>
      <c r="H148" s="2"/>
      <c r="L148" s="1"/>
      <c r="M148" s="1"/>
      <c r="N148" s="3"/>
    </row>
    <row r="149" spans="4:14" ht="15.75" customHeight="1">
      <c r="D149" s="1"/>
      <c r="E149" s="1"/>
      <c r="H149" s="2"/>
      <c r="L149" s="1"/>
      <c r="M149" s="1"/>
      <c r="N149" s="3"/>
    </row>
    <row r="150" spans="4:14" ht="15.75" customHeight="1">
      <c r="D150" s="1"/>
      <c r="E150" s="1"/>
      <c r="H150" s="2"/>
      <c r="L150" s="1"/>
      <c r="M150" s="1"/>
      <c r="N150" s="3"/>
    </row>
    <row r="151" spans="4:14" ht="15.75" customHeight="1">
      <c r="D151" s="1"/>
      <c r="E151" s="1"/>
      <c r="H151" s="2"/>
      <c r="L151" s="1"/>
      <c r="M151" s="1"/>
      <c r="N151" s="3"/>
    </row>
    <row r="152" spans="4:14" ht="15.75" customHeight="1">
      <c r="D152" s="1"/>
      <c r="E152" s="1"/>
      <c r="H152" s="2"/>
      <c r="L152" s="1"/>
      <c r="M152" s="1"/>
      <c r="N152" s="3"/>
    </row>
    <row r="153" spans="4:14" ht="15.75" customHeight="1">
      <c r="D153" s="1"/>
      <c r="E153" s="1"/>
      <c r="H153" s="2"/>
      <c r="L153" s="1"/>
      <c r="M153" s="1"/>
      <c r="N153" s="3"/>
    </row>
    <row r="154" spans="4:14" ht="15.75" customHeight="1">
      <c r="D154" s="1"/>
      <c r="E154" s="1"/>
      <c r="H154" s="2"/>
      <c r="L154" s="1"/>
      <c r="M154" s="1"/>
      <c r="N154" s="3"/>
    </row>
    <row r="155" spans="4:14" ht="15.75" customHeight="1">
      <c r="D155" s="1"/>
      <c r="E155" s="1"/>
      <c r="H155" s="2"/>
      <c r="L155" s="1"/>
      <c r="M155" s="1"/>
      <c r="N155" s="3"/>
    </row>
    <row r="156" spans="4:14" ht="15.75" customHeight="1">
      <c r="D156" s="1"/>
      <c r="E156" s="1"/>
      <c r="H156" s="2"/>
      <c r="L156" s="1"/>
      <c r="M156" s="1"/>
      <c r="N156" s="3"/>
    </row>
    <row r="157" spans="4:14" ht="15.75" customHeight="1">
      <c r="D157" s="1"/>
      <c r="E157" s="1"/>
      <c r="H157" s="2"/>
      <c r="L157" s="1"/>
      <c r="M157" s="1"/>
      <c r="N157" s="3"/>
    </row>
    <row r="158" spans="4:14" ht="15.75" customHeight="1">
      <c r="D158" s="1"/>
      <c r="E158" s="1"/>
      <c r="H158" s="2"/>
      <c r="L158" s="1"/>
      <c r="M158" s="1"/>
      <c r="N158" s="3"/>
    </row>
    <row r="159" spans="4:14" ht="15.75" customHeight="1">
      <c r="D159" s="1"/>
      <c r="E159" s="1"/>
      <c r="H159" s="2"/>
      <c r="L159" s="1"/>
      <c r="M159" s="1"/>
      <c r="N159" s="3"/>
    </row>
    <row r="160" spans="4:14" ht="15.75" customHeight="1">
      <c r="D160" s="1"/>
      <c r="E160" s="1"/>
      <c r="H160" s="2"/>
      <c r="L160" s="1"/>
      <c r="M160" s="1"/>
      <c r="N160" s="3"/>
    </row>
    <row r="161" spans="4:14" ht="15.75" customHeight="1">
      <c r="D161" s="1"/>
      <c r="E161" s="1"/>
      <c r="H161" s="2"/>
      <c r="L161" s="1"/>
      <c r="M161" s="1"/>
      <c r="N161" s="3"/>
    </row>
    <row r="162" spans="4:14" ht="15.75" customHeight="1">
      <c r="D162" s="1"/>
      <c r="E162" s="1"/>
      <c r="H162" s="2"/>
      <c r="L162" s="1"/>
      <c r="M162" s="1"/>
      <c r="N162" s="3"/>
    </row>
    <row r="163" spans="4:14" ht="15.75" customHeight="1">
      <c r="D163" s="1"/>
      <c r="E163" s="1"/>
      <c r="H163" s="2"/>
      <c r="L163" s="1"/>
      <c r="M163" s="1"/>
      <c r="N163" s="3"/>
    </row>
    <row r="164" spans="4:14" ht="15.75" customHeight="1">
      <c r="D164" s="1"/>
      <c r="E164" s="1"/>
      <c r="H164" s="2"/>
      <c r="L164" s="1"/>
      <c r="M164" s="1"/>
      <c r="N164" s="3"/>
    </row>
    <row r="165" spans="4:14" ht="15.75" customHeight="1">
      <c r="D165" s="1"/>
      <c r="E165" s="1"/>
      <c r="H165" s="2"/>
      <c r="L165" s="1"/>
      <c r="M165" s="1"/>
      <c r="N165" s="3"/>
    </row>
    <row r="166" spans="4:14" ht="15.75" customHeight="1">
      <c r="D166" s="1"/>
      <c r="E166" s="1"/>
      <c r="H166" s="2"/>
      <c r="L166" s="1"/>
      <c r="M166" s="1"/>
      <c r="N166" s="3"/>
    </row>
    <row r="167" spans="4:14" ht="15.75" customHeight="1">
      <c r="D167" s="1"/>
      <c r="E167" s="1"/>
      <c r="H167" s="2"/>
      <c r="L167" s="1"/>
      <c r="M167" s="1"/>
      <c r="N167" s="3"/>
    </row>
    <row r="168" spans="4:14" ht="15.75" customHeight="1">
      <c r="D168" s="1"/>
      <c r="E168" s="1"/>
      <c r="H168" s="2"/>
      <c r="L168" s="1"/>
      <c r="M168" s="1"/>
      <c r="N168" s="3"/>
    </row>
    <row r="169" spans="4:14" ht="15.75" customHeight="1">
      <c r="D169" s="1"/>
      <c r="E169" s="1"/>
      <c r="H169" s="2"/>
      <c r="L169" s="1"/>
      <c r="M169" s="1"/>
      <c r="N169" s="3"/>
    </row>
    <row r="170" spans="4:14" ht="15.75" customHeight="1">
      <c r="D170" s="1"/>
      <c r="E170" s="1"/>
      <c r="H170" s="2"/>
      <c r="L170" s="1"/>
      <c r="M170" s="1"/>
      <c r="N170" s="3"/>
    </row>
    <row r="171" spans="4:14" ht="15.75" customHeight="1">
      <c r="D171" s="1"/>
      <c r="E171" s="1"/>
      <c r="H171" s="2"/>
      <c r="L171" s="1"/>
      <c r="M171" s="1"/>
      <c r="N171" s="3"/>
    </row>
    <row r="172" spans="4:14" ht="15.75" customHeight="1">
      <c r="D172" s="1"/>
      <c r="E172" s="1"/>
      <c r="H172" s="2"/>
      <c r="L172" s="1"/>
      <c r="M172" s="1"/>
      <c r="N172" s="3"/>
    </row>
    <row r="173" spans="4:14" ht="15.75" customHeight="1">
      <c r="D173" s="1"/>
      <c r="E173" s="1"/>
      <c r="H173" s="2"/>
      <c r="L173" s="1"/>
      <c r="M173" s="1"/>
      <c r="N173" s="3"/>
    </row>
    <row r="174" spans="4:14" ht="15.75" customHeight="1">
      <c r="D174" s="1"/>
      <c r="E174" s="1"/>
      <c r="H174" s="2"/>
      <c r="L174" s="1"/>
      <c r="M174" s="1"/>
      <c r="N174" s="3"/>
    </row>
    <row r="175" spans="4:14" ht="15.75" customHeight="1">
      <c r="D175" s="1"/>
      <c r="E175" s="1"/>
      <c r="H175" s="2"/>
      <c r="L175" s="1"/>
      <c r="M175" s="1"/>
      <c r="N175" s="3"/>
    </row>
    <row r="176" spans="4:14" ht="15.75" customHeight="1">
      <c r="D176" s="1"/>
      <c r="E176" s="1"/>
      <c r="H176" s="2"/>
      <c r="L176" s="1"/>
      <c r="M176" s="1"/>
      <c r="N176" s="3"/>
    </row>
    <row r="177" spans="4:14" ht="15.75" customHeight="1">
      <c r="D177" s="1"/>
      <c r="E177" s="1"/>
      <c r="H177" s="2"/>
      <c r="L177" s="1"/>
      <c r="M177" s="1"/>
      <c r="N177" s="3"/>
    </row>
    <row r="178" spans="4:14" ht="15.75" customHeight="1">
      <c r="D178" s="1"/>
      <c r="E178" s="1"/>
      <c r="H178" s="2"/>
      <c r="L178" s="1"/>
      <c r="M178" s="1"/>
      <c r="N178" s="3"/>
    </row>
    <row r="179" spans="4:14" ht="15.75" customHeight="1">
      <c r="D179" s="1"/>
      <c r="E179" s="1"/>
      <c r="H179" s="2"/>
      <c r="L179" s="1"/>
      <c r="M179" s="1"/>
      <c r="N179" s="3"/>
    </row>
    <row r="180" spans="4:14" ht="15.75" customHeight="1">
      <c r="D180" s="1"/>
      <c r="E180" s="1"/>
      <c r="H180" s="2"/>
      <c r="L180" s="1"/>
      <c r="M180" s="1"/>
      <c r="N180" s="3"/>
    </row>
    <row r="181" spans="4:14" ht="15.75" customHeight="1">
      <c r="D181" s="1"/>
      <c r="E181" s="1"/>
      <c r="H181" s="2"/>
      <c r="L181" s="1"/>
      <c r="M181" s="1"/>
      <c r="N181" s="3"/>
    </row>
    <row r="182" spans="4:14" ht="15.75" customHeight="1">
      <c r="D182" s="1"/>
      <c r="E182" s="1"/>
      <c r="H182" s="2"/>
      <c r="L182" s="1"/>
      <c r="M182" s="1"/>
      <c r="N182" s="3"/>
    </row>
    <row r="183" spans="4:14" ht="15.75" customHeight="1">
      <c r="D183" s="1"/>
      <c r="E183" s="1"/>
      <c r="H183" s="2"/>
      <c r="L183" s="1"/>
      <c r="M183" s="1"/>
      <c r="N183" s="3"/>
    </row>
    <row r="184" spans="4:14" ht="15.75" customHeight="1">
      <c r="D184" s="1"/>
      <c r="E184" s="1"/>
      <c r="H184" s="2"/>
      <c r="L184" s="1"/>
      <c r="M184" s="1"/>
      <c r="N184" s="3"/>
    </row>
    <row r="185" spans="4:14" ht="15.75" customHeight="1">
      <c r="D185" s="1"/>
      <c r="E185" s="1"/>
      <c r="H185" s="2"/>
      <c r="L185" s="1"/>
      <c r="M185" s="1"/>
      <c r="N185" s="3"/>
    </row>
    <row r="186" spans="4:14" ht="15.75" customHeight="1">
      <c r="D186" s="1"/>
      <c r="E186" s="1"/>
      <c r="H186" s="2"/>
      <c r="L186" s="1"/>
      <c r="M186" s="1"/>
      <c r="N186" s="3"/>
    </row>
    <row r="187" spans="4:14" ht="15.75" customHeight="1">
      <c r="D187" s="1"/>
      <c r="E187" s="1"/>
      <c r="H187" s="2"/>
      <c r="L187" s="1"/>
      <c r="M187" s="1"/>
      <c r="N187" s="3"/>
    </row>
    <row r="188" spans="4:14" ht="15.75" customHeight="1">
      <c r="D188" s="1"/>
      <c r="E188" s="1"/>
      <c r="H188" s="2"/>
      <c r="L188" s="1"/>
      <c r="M188" s="1"/>
      <c r="N188" s="3"/>
    </row>
    <row r="189" spans="4:14" ht="15.75" customHeight="1">
      <c r="D189" s="1"/>
      <c r="E189" s="1"/>
      <c r="H189" s="2"/>
      <c r="L189" s="1"/>
      <c r="M189" s="1"/>
      <c r="N189" s="3"/>
    </row>
    <row r="190" spans="4:14" ht="15.75" customHeight="1">
      <c r="D190" s="1"/>
      <c r="E190" s="1"/>
      <c r="H190" s="2"/>
      <c r="L190" s="1"/>
      <c r="M190" s="1"/>
      <c r="N190" s="3"/>
    </row>
    <row r="191" spans="4:14" ht="15.75" customHeight="1">
      <c r="D191" s="1"/>
      <c r="E191" s="1"/>
      <c r="H191" s="2"/>
      <c r="L191" s="1"/>
      <c r="M191" s="1"/>
      <c r="N191" s="3"/>
    </row>
    <row r="192" spans="4:14" ht="15.75" customHeight="1">
      <c r="D192" s="1"/>
      <c r="E192" s="1"/>
      <c r="H192" s="2"/>
      <c r="L192" s="1"/>
      <c r="M192" s="1"/>
      <c r="N192" s="3"/>
    </row>
    <row r="193" spans="4:14" ht="15.75" customHeight="1">
      <c r="D193" s="1"/>
      <c r="E193" s="1"/>
      <c r="H193" s="2"/>
      <c r="L193" s="1"/>
      <c r="M193" s="1"/>
      <c r="N193" s="3"/>
    </row>
    <row r="194" spans="4:14" ht="15.75" customHeight="1">
      <c r="D194" s="1"/>
      <c r="E194" s="1"/>
      <c r="H194" s="2"/>
      <c r="L194" s="1"/>
      <c r="M194" s="1"/>
      <c r="N194" s="3"/>
    </row>
    <row r="195" spans="4:14" ht="15.75" customHeight="1">
      <c r="D195" s="1"/>
      <c r="E195" s="1"/>
      <c r="H195" s="2"/>
      <c r="L195" s="1"/>
      <c r="M195" s="1"/>
      <c r="N195" s="3"/>
    </row>
    <row r="196" spans="4:14" ht="15.75" customHeight="1">
      <c r="D196" s="1"/>
      <c r="E196" s="1"/>
      <c r="H196" s="2"/>
      <c r="L196" s="1"/>
      <c r="M196" s="1"/>
      <c r="N196" s="3"/>
    </row>
    <row r="197" spans="4:14" ht="15.75" customHeight="1">
      <c r="D197" s="1"/>
      <c r="E197" s="1"/>
      <c r="H197" s="2"/>
      <c r="L197" s="1"/>
      <c r="M197" s="1"/>
      <c r="N197" s="3"/>
    </row>
    <row r="198" spans="4:14" ht="15.75" customHeight="1">
      <c r="D198" s="1"/>
      <c r="E198" s="1"/>
      <c r="H198" s="2"/>
      <c r="L198" s="1"/>
      <c r="M198" s="1"/>
      <c r="N198" s="3"/>
    </row>
    <row r="199" spans="4:14" ht="15.75" customHeight="1">
      <c r="D199" s="1"/>
      <c r="E199" s="1"/>
      <c r="H199" s="2"/>
      <c r="L199" s="1"/>
      <c r="M199" s="1"/>
      <c r="N199" s="3"/>
    </row>
    <row r="200" spans="4:14" ht="15.75" customHeight="1">
      <c r="D200" s="1"/>
      <c r="E200" s="1"/>
      <c r="H200" s="2"/>
      <c r="L200" s="1"/>
      <c r="M200" s="1"/>
      <c r="N200" s="3"/>
    </row>
    <row r="201" spans="4:14" ht="15.75" customHeight="1">
      <c r="D201" s="1"/>
      <c r="E201" s="1"/>
      <c r="H201" s="2"/>
      <c r="L201" s="1"/>
      <c r="M201" s="1"/>
      <c r="N201" s="3"/>
    </row>
    <row r="202" spans="4:14" ht="15.75" customHeight="1">
      <c r="D202" s="1"/>
      <c r="E202" s="1"/>
      <c r="H202" s="2"/>
      <c r="L202" s="1"/>
      <c r="M202" s="1"/>
      <c r="N202" s="3"/>
    </row>
    <row r="203" spans="4:14" ht="15.75" customHeight="1">
      <c r="D203" s="1"/>
      <c r="E203" s="1"/>
      <c r="H203" s="2"/>
      <c r="L203" s="1"/>
      <c r="M203" s="1"/>
      <c r="N203" s="3"/>
    </row>
    <row r="204" spans="4:14" ht="15.75" customHeight="1">
      <c r="D204" s="1"/>
      <c r="E204" s="1"/>
      <c r="H204" s="2"/>
      <c r="L204" s="1"/>
      <c r="M204" s="1"/>
      <c r="N204" s="3"/>
    </row>
    <row r="205" spans="4:14" ht="15.75" customHeight="1">
      <c r="D205" s="1"/>
      <c r="E205" s="1"/>
      <c r="H205" s="2"/>
      <c r="L205" s="1"/>
      <c r="M205" s="1"/>
      <c r="N205" s="3"/>
    </row>
    <row r="206" spans="4:14" ht="15.75" customHeight="1">
      <c r="D206" s="1"/>
      <c r="E206" s="1"/>
      <c r="H206" s="2"/>
      <c r="L206" s="1"/>
      <c r="M206" s="1"/>
      <c r="N206" s="3"/>
    </row>
    <row r="207" spans="4:14" ht="15.75" customHeight="1">
      <c r="D207" s="1"/>
      <c r="E207" s="1"/>
      <c r="H207" s="2"/>
      <c r="L207" s="1"/>
      <c r="M207" s="1"/>
      <c r="N207" s="3"/>
    </row>
    <row r="208" spans="4:14" ht="15.75" customHeight="1">
      <c r="D208" s="1"/>
      <c r="E208" s="1"/>
      <c r="H208" s="2"/>
      <c r="L208" s="1"/>
      <c r="M208" s="1"/>
      <c r="N208" s="3"/>
    </row>
    <row r="209" spans="4:14" ht="15.75" customHeight="1">
      <c r="D209" s="1"/>
      <c r="E209" s="1"/>
      <c r="H209" s="2"/>
      <c r="L209" s="1"/>
      <c r="M209" s="1"/>
      <c r="N209" s="3"/>
    </row>
    <row r="210" spans="4:14" ht="15.75" customHeight="1">
      <c r="D210" s="1"/>
      <c r="E210" s="1"/>
      <c r="H210" s="2"/>
      <c r="L210" s="1"/>
      <c r="M210" s="1"/>
      <c r="N210" s="3"/>
    </row>
    <row r="211" spans="4:14" ht="15.75" customHeight="1">
      <c r="D211" s="1"/>
      <c r="E211" s="1"/>
      <c r="H211" s="2"/>
      <c r="L211" s="1"/>
      <c r="M211" s="1"/>
      <c r="N211" s="3"/>
    </row>
    <row r="212" spans="4:14" ht="15.75" customHeight="1">
      <c r="D212" s="1"/>
      <c r="E212" s="1"/>
      <c r="H212" s="2"/>
      <c r="L212" s="1"/>
      <c r="M212" s="1"/>
      <c r="N212" s="3"/>
    </row>
    <row r="213" spans="4:14" ht="15.75" customHeight="1">
      <c r="D213" s="1"/>
      <c r="E213" s="1"/>
      <c r="H213" s="2"/>
      <c r="L213" s="1"/>
      <c r="M213" s="1"/>
      <c r="N213" s="3"/>
    </row>
    <row r="214" spans="4:14" ht="15.75" customHeight="1">
      <c r="D214" s="1"/>
      <c r="E214" s="1"/>
      <c r="H214" s="2"/>
      <c r="L214" s="1"/>
      <c r="M214" s="1"/>
      <c r="N214" s="3"/>
    </row>
    <row r="215" spans="4:14" ht="15.75" customHeight="1">
      <c r="D215" s="1"/>
      <c r="E215" s="1"/>
      <c r="H215" s="2"/>
      <c r="L215" s="1"/>
      <c r="M215" s="1"/>
      <c r="N215" s="3"/>
    </row>
    <row r="216" spans="4:14" ht="15.75" customHeight="1">
      <c r="D216" s="1"/>
      <c r="E216" s="1"/>
      <c r="H216" s="2"/>
      <c r="L216" s="1"/>
      <c r="M216" s="1"/>
      <c r="N216" s="3"/>
    </row>
    <row r="217" spans="4:14" ht="15.75" customHeight="1">
      <c r="D217" s="1"/>
      <c r="E217" s="1"/>
      <c r="H217" s="2"/>
      <c r="L217" s="1"/>
      <c r="M217" s="1"/>
      <c r="N217" s="3"/>
    </row>
    <row r="218" spans="4:14" ht="15.75" customHeight="1">
      <c r="D218" s="1"/>
      <c r="E218" s="1"/>
      <c r="H218" s="2"/>
      <c r="L218" s="1"/>
      <c r="M218" s="1"/>
      <c r="N218" s="3"/>
    </row>
    <row r="219" spans="4:14" ht="15.75" customHeight="1">
      <c r="D219" s="1"/>
      <c r="E219" s="1"/>
      <c r="H219" s="2"/>
      <c r="L219" s="1"/>
      <c r="M219" s="1"/>
      <c r="N219" s="3"/>
    </row>
    <row r="220" spans="4:14" ht="15.75" customHeight="1">
      <c r="D220" s="1"/>
      <c r="E220" s="1"/>
      <c r="H220" s="2"/>
      <c r="L220" s="1"/>
      <c r="M220" s="1"/>
      <c r="N220" s="3"/>
    </row>
    <row r="221" spans="4:14" ht="15.75" customHeight="1">
      <c r="D221" s="1"/>
      <c r="E221" s="1"/>
      <c r="H221" s="2"/>
      <c r="L221" s="1"/>
      <c r="M221" s="1"/>
      <c r="N221" s="3"/>
    </row>
    <row r="222" spans="4:14" ht="15.75" customHeight="1">
      <c r="D222" s="1"/>
      <c r="E222" s="1"/>
      <c r="H222" s="2"/>
      <c r="L222" s="1"/>
      <c r="M222" s="1"/>
      <c r="N222" s="3"/>
    </row>
    <row r="223" spans="4:14" ht="15.75" customHeight="1">
      <c r="D223" s="1"/>
      <c r="E223" s="1"/>
      <c r="H223" s="2"/>
      <c r="L223" s="1"/>
      <c r="M223" s="1"/>
      <c r="N223" s="3"/>
    </row>
    <row r="224" spans="4:14" ht="15.75" customHeight="1">
      <c r="D224" s="1"/>
      <c r="E224" s="1"/>
      <c r="H224" s="2"/>
      <c r="L224" s="1"/>
      <c r="M224" s="1"/>
      <c r="N224" s="3"/>
    </row>
    <row r="225" spans="4:14" ht="15.75" customHeight="1">
      <c r="D225" s="1"/>
      <c r="E225" s="1"/>
      <c r="H225" s="2"/>
      <c r="L225" s="1"/>
      <c r="M225" s="1"/>
      <c r="N225" s="3"/>
    </row>
    <row r="226" spans="4:14" ht="15.75" customHeight="1">
      <c r="D226" s="1"/>
      <c r="E226" s="1"/>
      <c r="H226" s="2"/>
      <c r="L226" s="1"/>
      <c r="M226" s="1"/>
      <c r="N226" s="3"/>
    </row>
    <row r="227" spans="4:14" ht="15.75" customHeight="1">
      <c r="D227" s="1"/>
      <c r="E227" s="1"/>
      <c r="H227" s="2"/>
      <c r="L227" s="1"/>
      <c r="M227" s="1"/>
      <c r="N227" s="3"/>
    </row>
    <row r="228" spans="4:14" ht="15.75" customHeight="1">
      <c r="D228" s="1"/>
      <c r="E228" s="1"/>
      <c r="H228" s="2"/>
      <c r="L228" s="1"/>
      <c r="M228" s="1"/>
      <c r="N228" s="3"/>
    </row>
    <row r="229" spans="4:14" ht="15.75" customHeight="1">
      <c r="D229" s="1"/>
      <c r="E229" s="1"/>
      <c r="H229" s="2"/>
      <c r="L229" s="1"/>
      <c r="M229" s="1"/>
      <c r="N229" s="3"/>
    </row>
    <row r="230" spans="4:14" ht="15.75" customHeight="1">
      <c r="D230" s="1"/>
      <c r="E230" s="1"/>
      <c r="H230" s="2"/>
      <c r="L230" s="1"/>
      <c r="M230" s="1"/>
      <c r="N230" s="3"/>
    </row>
    <row r="231" spans="4:14" ht="15.75" customHeight="1">
      <c r="D231" s="1"/>
      <c r="E231" s="1"/>
      <c r="H231" s="2"/>
      <c r="L231" s="1"/>
      <c r="M231" s="1"/>
      <c r="N231" s="3"/>
    </row>
    <row r="232" spans="4:14" ht="15.75" customHeight="1">
      <c r="D232" s="1"/>
      <c r="E232" s="1"/>
      <c r="H232" s="2"/>
      <c r="L232" s="1"/>
      <c r="M232" s="1"/>
      <c r="N232" s="3"/>
    </row>
    <row r="233" spans="4:14" ht="15.75" customHeight="1">
      <c r="D233" s="1"/>
      <c r="E233" s="1"/>
      <c r="H233" s="2"/>
      <c r="L233" s="1"/>
      <c r="M233" s="1"/>
      <c r="N233" s="3"/>
    </row>
    <row r="234" spans="4:14" ht="15.75" customHeight="1">
      <c r="D234" s="1"/>
      <c r="E234" s="1"/>
      <c r="H234" s="2"/>
      <c r="L234" s="1"/>
      <c r="M234" s="1"/>
      <c r="N234" s="3"/>
    </row>
    <row r="235" spans="4:14" ht="15.75" customHeight="1">
      <c r="D235" s="1"/>
      <c r="E235" s="1"/>
      <c r="H235" s="2"/>
      <c r="L235" s="1"/>
      <c r="M235" s="1"/>
      <c r="N235" s="3"/>
    </row>
    <row r="236" spans="4:14" ht="15.75" customHeight="1">
      <c r="D236" s="1"/>
      <c r="E236" s="1"/>
      <c r="H236" s="2"/>
      <c r="L236" s="1"/>
      <c r="M236" s="1"/>
      <c r="N236" s="3"/>
    </row>
    <row r="237" spans="4:14" ht="15.75" customHeight="1">
      <c r="D237" s="1"/>
      <c r="E237" s="1"/>
      <c r="H237" s="2"/>
      <c r="L237" s="1"/>
      <c r="M237" s="1"/>
      <c r="N237" s="3"/>
    </row>
    <row r="238" spans="4:14" ht="15.75" customHeight="1">
      <c r="D238" s="1"/>
      <c r="E238" s="1"/>
      <c r="H238" s="2"/>
      <c r="L238" s="1"/>
      <c r="M238" s="1"/>
      <c r="N238" s="3"/>
    </row>
    <row r="239" spans="4:14" ht="15.75" customHeight="1">
      <c r="D239" s="1"/>
      <c r="E239" s="1"/>
      <c r="H239" s="2"/>
      <c r="L239" s="1"/>
      <c r="M239" s="1"/>
      <c r="N239" s="3"/>
    </row>
    <row r="240" spans="4:14" ht="15.75" customHeight="1">
      <c r="D240" s="1"/>
      <c r="E240" s="1"/>
      <c r="H240" s="2"/>
      <c r="L240" s="1"/>
      <c r="M240" s="1"/>
      <c r="N240" s="3"/>
    </row>
    <row r="241" spans="4:14" ht="15.75" customHeight="1">
      <c r="D241" s="1"/>
      <c r="E241" s="1"/>
      <c r="H241" s="2"/>
      <c r="L241" s="1"/>
      <c r="M241" s="1"/>
      <c r="N241" s="3"/>
    </row>
    <row r="242" spans="4:14" ht="15.75" customHeight="1">
      <c r="D242" s="1"/>
      <c r="E242" s="1"/>
      <c r="H242" s="2"/>
      <c r="L242" s="1"/>
      <c r="M242" s="1"/>
      <c r="N242" s="3"/>
    </row>
    <row r="243" spans="4:14" ht="15.75" customHeight="1">
      <c r="D243" s="1"/>
      <c r="E243" s="1"/>
      <c r="H243" s="2"/>
      <c r="L243" s="1"/>
      <c r="M243" s="1"/>
      <c r="N243" s="3"/>
    </row>
    <row r="244" spans="4:14" ht="15.75" customHeight="1">
      <c r="D244" s="1"/>
      <c r="E244" s="1"/>
      <c r="H244" s="2"/>
      <c r="L244" s="1"/>
      <c r="M244" s="1"/>
      <c r="N244" s="3"/>
    </row>
    <row r="245" spans="4:14" ht="15.75" customHeight="1">
      <c r="D245" s="1"/>
      <c r="E245" s="1"/>
      <c r="H245" s="2"/>
      <c r="L245" s="1"/>
      <c r="M245" s="1"/>
      <c r="N245" s="3"/>
    </row>
    <row r="246" spans="4:14" ht="15.75" customHeight="1">
      <c r="D246" s="1"/>
      <c r="E246" s="1"/>
      <c r="H246" s="2"/>
      <c r="L246" s="1"/>
      <c r="M246" s="1"/>
      <c r="N246" s="3"/>
    </row>
    <row r="247" spans="4:14" ht="15.75" customHeight="1">
      <c r="D247" s="1"/>
      <c r="E247" s="1"/>
      <c r="H247" s="2"/>
      <c r="L247" s="1"/>
      <c r="M247" s="1"/>
      <c r="N247" s="3"/>
    </row>
    <row r="248" spans="4:14" ht="15.75" customHeight="1">
      <c r="D248" s="1"/>
      <c r="E248" s="1"/>
      <c r="H248" s="2"/>
      <c r="L248" s="1"/>
      <c r="M248" s="1"/>
      <c r="N248" s="3"/>
    </row>
    <row r="249" spans="4:14" ht="15.75" customHeight="1">
      <c r="D249" s="1"/>
      <c r="E249" s="1"/>
      <c r="H249" s="2"/>
      <c r="L249" s="1"/>
      <c r="M249" s="1"/>
      <c r="N249" s="3"/>
    </row>
    <row r="250" spans="4:14" ht="15.75" customHeight="1">
      <c r="D250" s="1"/>
      <c r="E250" s="1"/>
      <c r="H250" s="2"/>
      <c r="L250" s="1"/>
      <c r="M250" s="1"/>
      <c r="N250" s="3"/>
    </row>
    <row r="251" spans="4:14" ht="15.75" customHeight="1">
      <c r="D251" s="1"/>
      <c r="E251" s="1"/>
      <c r="H251" s="2"/>
      <c r="L251" s="1"/>
      <c r="M251" s="1"/>
      <c r="N251" s="3"/>
    </row>
    <row r="252" spans="4:14" ht="15.75" customHeight="1">
      <c r="D252" s="1"/>
      <c r="E252" s="1"/>
      <c r="H252" s="2"/>
      <c r="L252" s="1"/>
      <c r="M252" s="1"/>
      <c r="N252" s="3"/>
    </row>
    <row r="253" spans="4:14" ht="15.75" customHeight="1">
      <c r="D253" s="1"/>
      <c r="E253" s="1"/>
      <c r="H253" s="2"/>
      <c r="L253" s="1"/>
      <c r="M253" s="1"/>
      <c r="N253" s="3"/>
    </row>
    <row r="254" spans="4:14" ht="15.75" customHeight="1">
      <c r="D254" s="1"/>
      <c r="E254" s="1"/>
      <c r="H254" s="2"/>
      <c r="L254" s="1"/>
      <c r="M254" s="1"/>
      <c r="N254" s="3"/>
    </row>
    <row r="255" spans="4:14" ht="15.75" customHeight="1">
      <c r="D255" s="1"/>
      <c r="E255" s="1"/>
      <c r="H255" s="2"/>
      <c r="L255" s="1"/>
      <c r="M255" s="1"/>
      <c r="N255" s="3"/>
    </row>
    <row r="256" spans="4:14" ht="15.75" customHeight="1">
      <c r="D256" s="1"/>
      <c r="E256" s="1"/>
      <c r="H256" s="2"/>
      <c r="L256" s="1"/>
      <c r="M256" s="1"/>
      <c r="N256" s="3"/>
    </row>
    <row r="257" spans="4:14" ht="15.75" customHeight="1">
      <c r="D257" s="1"/>
      <c r="E257" s="1"/>
      <c r="H257" s="2"/>
      <c r="L257" s="1"/>
      <c r="M257" s="1"/>
      <c r="N257" s="3"/>
    </row>
    <row r="258" spans="4:14" ht="15.75" customHeight="1">
      <c r="D258" s="1"/>
      <c r="E258" s="1"/>
      <c r="H258" s="2"/>
      <c r="L258" s="1"/>
      <c r="M258" s="1"/>
      <c r="N258" s="3"/>
    </row>
    <row r="259" spans="4:14" ht="15.75" customHeight="1">
      <c r="D259" s="1"/>
      <c r="E259" s="1"/>
      <c r="H259" s="2"/>
      <c r="L259" s="1"/>
      <c r="M259" s="1"/>
      <c r="N259" s="3"/>
    </row>
    <row r="260" spans="4:14" ht="15.75" customHeight="1">
      <c r="D260" s="1"/>
      <c r="E260" s="1"/>
      <c r="H260" s="2"/>
      <c r="L260" s="1"/>
      <c r="M260" s="1"/>
      <c r="N260" s="3"/>
    </row>
    <row r="261" spans="4:14" ht="15.75" customHeight="1">
      <c r="D261" s="1"/>
      <c r="E261" s="1"/>
      <c r="H261" s="2"/>
      <c r="L261" s="1"/>
      <c r="M261" s="1"/>
      <c r="N261" s="3"/>
    </row>
    <row r="262" spans="4:14" ht="15.75" customHeight="1">
      <c r="D262" s="1"/>
      <c r="E262" s="1"/>
      <c r="H262" s="2"/>
      <c r="L262" s="1"/>
      <c r="M262" s="1"/>
      <c r="N262" s="3"/>
    </row>
    <row r="263" spans="4:14" ht="15.75" customHeight="1">
      <c r="D263" s="1"/>
      <c r="E263" s="1"/>
      <c r="H263" s="2"/>
      <c r="L263" s="1"/>
      <c r="M263" s="1"/>
      <c r="N263" s="3"/>
    </row>
    <row r="264" spans="4:14" ht="15.75" customHeight="1">
      <c r="D264" s="1"/>
      <c r="E264" s="1"/>
      <c r="H264" s="2"/>
      <c r="L264" s="1"/>
      <c r="M264" s="1"/>
      <c r="N264" s="3"/>
    </row>
    <row r="265" spans="4:14" ht="15.75" customHeight="1">
      <c r="D265" s="1"/>
      <c r="E265" s="1"/>
      <c r="H265" s="2"/>
      <c r="L265" s="1"/>
      <c r="M265" s="1"/>
      <c r="N265" s="3"/>
    </row>
    <row r="266" spans="4:14" ht="15.75" customHeight="1">
      <c r="D266" s="1"/>
      <c r="E266" s="1"/>
      <c r="H266" s="2"/>
      <c r="L266" s="1"/>
      <c r="M266" s="1"/>
      <c r="N266" s="3"/>
    </row>
    <row r="267" spans="4:14" ht="15.75" customHeight="1">
      <c r="D267" s="1"/>
      <c r="E267" s="1"/>
      <c r="H267" s="2"/>
      <c r="L267" s="1"/>
      <c r="M267" s="1"/>
      <c r="N267" s="3"/>
    </row>
    <row r="268" spans="4:14" ht="15.75" customHeight="1">
      <c r="D268" s="1"/>
      <c r="E268" s="1"/>
      <c r="H268" s="2"/>
      <c r="L268" s="1"/>
      <c r="M268" s="1"/>
      <c r="N268" s="3"/>
    </row>
    <row r="269" spans="4:14" ht="15.75" customHeight="1">
      <c r="D269" s="1"/>
      <c r="E269" s="1"/>
      <c r="H269" s="2"/>
      <c r="L269" s="1"/>
      <c r="M269" s="1"/>
      <c r="N269" s="3"/>
    </row>
    <row r="270" spans="4:14" ht="15.75" customHeight="1">
      <c r="D270" s="1"/>
      <c r="E270" s="1"/>
      <c r="H270" s="2"/>
      <c r="L270" s="1"/>
      <c r="M270" s="1"/>
      <c r="N270" s="3"/>
    </row>
    <row r="271" spans="4:14" ht="15.75" customHeight="1">
      <c r="D271" s="1"/>
      <c r="E271" s="1"/>
      <c r="H271" s="2"/>
      <c r="L271" s="1"/>
      <c r="M271" s="1"/>
      <c r="N271" s="3"/>
    </row>
    <row r="272" spans="4:14" ht="15.75" customHeight="1">
      <c r="D272" s="1"/>
      <c r="E272" s="1"/>
      <c r="H272" s="2"/>
      <c r="L272" s="1"/>
      <c r="M272" s="1"/>
      <c r="N272" s="3"/>
    </row>
    <row r="273" spans="4:14" ht="15.75" customHeight="1">
      <c r="D273" s="1"/>
      <c r="E273" s="1"/>
      <c r="H273" s="2"/>
      <c r="L273" s="1"/>
      <c r="M273" s="1"/>
      <c r="N273" s="3"/>
    </row>
    <row r="274" spans="4:14" ht="15.75" customHeight="1">
      <c r="D274" s="1"/>
      <c r="E274" s="1"/>
      <c r="H274" s="2"/>
      <c r="L274" s="1"/>
      <c r="M274" s="1"/>
      <c r="N274" s="3"/>
    </row>
    <row r="275" spans="4:14" ht="15.75" customHeight="1">
      <c r="D275" s="1"/>
      <c r="E275" s="1"/>
      <c r="H275" s="2"/>
      <c r="L275" s="1"/>
      <c r="M275" s="1"/>
      <c r="N275" s="3"/>
    </row>
    <row r="276" spans="4:14" ht="15.75" customHeight="1">
      <c r="D276" s="1"/>
      <c r="E276" s="1"/>
      <c r="H276" s="2"/>
      <c r="L276" s="1"/>
      <c r="M276" s="1"/>
      <c r="N276" s="3"/>
    </row>
    <row r="277" spans="4:14" ht="15.75" customHeight="1">
      <c r="D277" s="1"/>
      <c r="E277" s="1"/>
      <c r="H277" s="2"/>
      <c r="L277" s="1"/>
      <c r="M277" s="1"/>
      <c r="N277" s="3"/>
    </row>
    <row r="278" spans="4:14" ht="15.75" customHeight="1">
      <c r="D278" s="1"/>
      <c r="E278" s="1"/>
      <c r="H278" s="2"/>
      <c r="L278" s="1"/>
      <c r="M278" s="1"/>
      <c r="N278" s="3"/>
    </row>
    <row r="279" spans="4:14" ht="15.75" customHeight="1">
      <c r="D279" s="1"/>
      <c r="E279" s="1"/>
      <c r="H279" s="2"/>
      <c r="L279" s="1"/>
      <c r="M279" s="1"/>
      <c r="N279" s="3"/>
    </row>
    <row r="280" spans="4:14" ht="15.75" customHeight="1">
      <c r="D280" s="1"/>
      <c r="E280" s="1"/>
      <c r="H280" s="2"/>
      <c r="L280" s="1"/>
      <c r="M280" s="1"/>
      <c r="N280" s="3"/>
    </row>
    <row r="281" spans="4:14" ht="15.75" customHeight="1">
      <c r="D281" s="1"/>
      <c r="E281" s="1"/>
      <c r="H281" s="2"/>
      <c r="L281" s="1"/>
      <c r="M281" s="1"/>
      <c r="N281" s="3"/>
    </row>
    <row r="282" spans="4:14" ht="15.75" customHeight="1">
      <c r="D282" s="1"/>
      <c r="E282" s="1"/>
      <c r="H282" s="2"/>
      <c r="L282" s="1"/>
      <c r="M282" s="1"/>
      <c r="N282" s="3"/>
    </row>
    <row r="283" spans="4:14" ht="15.75" customHeight="1">
      <c r="D283" s="1"/>
      <c r="E283" s="1"/>
      <c r="H283" s="2"/>
      <c r="L283" s="1"/>
      <c r="M283" s="1"/>
      <c r="N283" s="3"/>
    </row>
    <row r="284" spans="4:14" ht="15.75" customHeight="1">
      <c r="D284" s="1"/>
      <c r="E284" s="1"/>
      <c r="H284" s="2"/>
      <c r="L284" s="1"/>
      <c r="M284" s="1"/>
      <c r="N284" s="3"/>
    </row>
    <row r="285" spans="4:14" ht="15.75" customHeight="1">
      <c r="D285" s="1"/>
      <c r="E285" s="1"/>
      <c r="H285" s="2"/>
      <c r="L285" s="1"/>
      <c r="M285" s="1"/>
      <c r="N285" s="3"/>
    </row>
    <row r="286" spans="4:14" ht="15.75" customHeight="1">
      <c r="D286" s="1"/>
      <c r="E286" s="1"/>
      <c r="H286" s="2"/>
      <c r="L286" s="1"/>
      <c r="M286" s="1"/>
      <c r="N286" s="3"/>
    </row>
    <row r="287" spans="4:14" ht="15.75" customHeight="1">
      <c r="D287" s="1"/>
      <c r="E287" s="1"/>
      <c r="H287" s="2"/>
      <c r="L287" s="1"/>
      <c r="M287" s="1"/>
      <c r="N287" s="3"/>
    </row>
    <row r="288" spans="4:14" ht="15.75" customHeight="1">
      <c r="D288" s="1"/>
      <c r="E288" s="1"/>
      <c r="H288" s="2"/>
      <c r="L288" s="1"/>
      <c r="M288" s="1"/>
      <c r="N288" s="3"/>
    </row>
    <row r="289" spans="4:14" ht="15.75" customHeight="1">
      <c r="D289" s="1"/>
      <c r="E289" s="1"/>
      <c r="H289" s="2"/>
      <c r="L289" s="1"/>
      <c r="M289" s="1"/>
      <c r="N289" s="3"/>
    </row>
    <row r="290" spans="4:14" ht="15.75" customHeight="1">
      <c r="D290" s="1"/>
      <c r="E290" s="1"/>
      <c r="H290" s="2"/>
      <c r="L290" s="1"/>
      <c r="M290" s="1"/>
      <c r="N290" s="3"/>
    </row>
    <row r="291" spans="4:14" ht="15.75" customHeight="1">
      <c r="D291" s="1"/>
      <c r="E291" s="1"/>
      <c r="H291" s="2"/>
      <c r="L291" s="1"/>
      <c r="M291" s="1"/>
      <c r="N291" s="3"/>
    </row>
    <row r="292" spans="4:14" ht="15.75" customHeight="1">
      <c r="D292" s="1"/>
      <c r="E292" s="1"/>
      <c r="H292" s="2"/>
      <c r="L292" s="1"/>
      <c r="M292" s="1"/>
      <c r="N292" s="3"/>
    </row>
    <row r="293" spans="4:14" ht="15.75" customHeight="1">
      <c r="D293" s="1"/>
      <c r="E293" s="1"/>
      <c r="H293" s="2"/>
      <c r="L293" s="1"/>
      <c r="M293" s="1"/>
      <c r="N293" s="3"/>
    </row>
    <row r="294" spans="4:14" ht="15.75" customHeight="1">
      <c r="D294" s="1"/>
      <c r="E294" s="1"/>
      <c r="H294" s="2"/>
      <c r="L294" s="1"/>
      <c r="M294" s="1"/>
      <c r="N294" s="3"/>
    </row>
    <row r="295" spans="4:14" ht="15.75" customHeight="1">
      <c r="D295" s="1"/>
      <c r="E295" s="1"/>
      <c r="H295" s="2"/>
      <c r="L295" s="1"/>
      <c r="M295" s="1"/>
      <c r="N295" s="3"/>
    </row>
    <row r="296" spans="4:14" ht="15.75" customHeight="1">
      <c r="D296" s="1"/>
      <c r="E296" s="1"/>
      <c r="H296" s="2"/>
      <c r="L296" s="1"/>
      <c r="M296" s="1"/>
      <c r="N296" s="3"/>
    </row>
    <row r="297" spans="4:14" ht="15.75" customHeight="1">
      <c r="D297" s="1"/>
      <c r="E297" s="1"/>
      <c r="H297" s="2"/>
      <c r="L297" s="1"/>
      <c r="M297" s="1"/>
      <c r="N297" s="3"/>
    </row>
    <row r="298" spans="4:14" ht="15.75" customHeight="1">
      <c r="D298" s="1"/>
      <c r="E298" s="1"/>
      <c r="H298" s="2"/>
      <c r="L298" s="1"/>
      <c r="M298" s="1"/>
      <c r="N298" s="3"/>
    </row>
    <row r="299" spans="4:14" ht="15.75" customHeight="1">
      <c r="D299" s="1"/>
      <c r="E299" s="1"/>
      <c r="H299" s="2"/>
      <c r="L299" s="1"/>
      <c r="M299" s="1"/>
      <c r="N299" s="3"/>
    </row>
    <row r="300" spans="4:14" ht="15.75" customHeight="1">
      <c r="D300" s="1"/>
      <c r="E300" s="1"/>
      <c r="H300" s="2"/>
      <c r="L300" s="1"/>
      <c r="M300" s="1"/>
      <c r="N300" s="3"/>
    </row>
    <row r="301" spans="4:14" ht="15.75" customHeight="1">
      <c r="D301" s="1"/>
      <c r="E301" s="1"/>
      <c r="H301" s="2"/>
      <c r="L301" s="1"/>
      <c r="M301" s="1"/>
      <c r="N301" s="3"/>
    </row>
    <row r="302" spans="4:14" ht="15.75" customHeight="1">
      <c r="D302" s="1"/>
      <c r="E302" s="1"/>
      <c r="H302" s="2"/>
      <c r="L302" s="1"/>
      <c r="M302" s="1"/>
      <c r="N302" s="3"/>
    </row>
    <row r="303" spans="4:14" ht="15.75" customHeight="1">
      <c r="D303" s="1"/>
      <c r="E303" s="1"/>
      <c r="H303" s="2"/>
      <c r="L303" s="1"/>
      <c r="M303" s="1"/>
      <c r="N303" s="3"/>
    </row>
    <row r="304" spans="4:14" ht="15.75" customHeight="1">
      <c r="D304" s="1"/>
      <c r="E304" s="1"/>
      <c r="H304" s="2"/>
      <c r="L304" s="1"/>
      <c r="M304" s="1"/>
      <c r="N304" s="3"/>
    </row>
    <row r="305" spans="4:14" ht="15.75" customHeight="1">
      <c r="D305" s="1"/>
      <c r="E305" s="1"/>
      <c r="H305" s="2"/>
      <c r="L305" s="1"/>
      <c r="M305" s="1"/>
      <c r="N305" s="3"/>
    </row>
    <row r="306" spans="4:14" ht="15.75" customHeight="1">
      <c r="D306" s="1"/>
      <c r="E306" s="1"/>
      <c r="H306" s="2"/>
      <c r="L306" s="1"/>
      <c r="M306" s="1"/>
      <c r="N306" s="3"/>
    </row>
    <row r="307" spans="4:14" ht="15.75" customHeight="1">
      <c r="D307" s="1"/>
      <c r="E307" s="1"/>
      <c r="H307" s="2"/>
      <c r="L307" s="1"/>
      <c r="M307" s="1"/>
      <c r="N307" s="3"/>
    </row>
    <row r="308" spans="4:14" ht="15.75" customHeight="1">
      <c r="D308" s="1"/>
      <c r="E308" s="1"/>
      <c r="H308" s="2"/>
      <c r="L308" s="1"/>
      <c r="M308" s="1"/>
      <c r="N308" s="3"/>
    </row>
    <row r="309" spans="4:14" ht="15.75" customHeight="1">
      <c r="D309" s="1"/>
      <c r="E309" s="1"/>
      <c r="H309" s="2"/>
      <c r="L309" s="1"/>
      <c r="M309" s="1"/>
      <c r="N309" s="3"/>
    </row>
    <row r="310" spans="4:14" ht="15.75" customHeight="1">
      <c r="D310" s="1"/>
      <c r="E310" s="1"/>
      <c r="H310" s="2"/>
      <c r="L310" s="1"/>
      <c r="M310" s="1"/>
      <c r="N310" s="3"/>
    </row>
    <row r="311" spans="4:14" ht="15.75" customHeight="1">
      <c r="D311" s="1"/>
      <c r="E311" s="1"/>
      <c r="H311" s="2"/>
      <c r="L311" s="1"/>
      <c r="M311" s="1"/>
      <c r="N311" s="3"/>
    </row>
    <row r="312" spans="4:14" ht="15.75" customHeight="1">
      <c r="D312" s="1"/>
      <c r="E312" s="1"/>
      <c r="H312" s="2"/>
      <c r="L312" s="1"/>
      <c r="M312" s="1"/>
      <c r="N312" s="3"/>
    </row>
    <row r="313" spans="4:14" ht="15.75" customHeight="1">
      <c r="D313" s="1"/>
      <c r="E313" s="1"/>
      <c r="H313" s="2"/>
      <c r="L313" s="1"/>
      <c r="M313" s="1"/>
      <c r="N313" s="3"/>
    </row>
    <row r="314" spans="4:14" ht="15.75" customHeight="1">
      <c r="D314" s="1"/>
      <c r="E314" s="1"/>
      <c r="H314" s="2"/>
      <c r="L314" s="1"/>
      <c r="M314" s="1"/>
      <c r="N314" s="3"/>
    </row>
    <row r="315" spans="4:14" ht="15.75" customHeight="1">
      <c r="D315" s="1"/>
      <c r="E315" s="1"/>
      <c r="H315" s="2"/>
      <c r="L315" s="1"/>
      <c r="M315" s="1"/>
      <c r="N315" s="3"/>
    </row>
    <row r="316" spans="4:14" ht="15.75" customHeight="1">
      <c r="D316" s="1"/>
      <c r="E316" s="1"/>
      <c r="H316" s="2"/>
      <c r="L316" s="1"/>
      <c r="M316" s="1"/>
      <c r="N316" s="3"/>
    </row>
    <row r="317" spans="4:14" ht="15.75" customHeight="1">
      <c r="D317" s="1"/>
      <c r="E317" s="1"/>
      <c r="H317" s="2"/>
      <c r="L317" s="1"/>
      <c r="M317" s="1"/>
      <c r="N317" s="3"/>
    </row>
    <row r="318" spans="4:14" ht="15.75" customHeight="1">
      <c r="D318" s="1"/>
      <c r="E318" s="1"/>
      <c r="H318" s="2"/>
      <c r="L318" s="1"/>
      <c r="M318" s="1"/>
      <c r="N318" s="3"/>
    </row>
    <row r="319" spans="4:14" ht="15.75" customHeight="1">
      <c r="D319" s="1"/>
      <c r="E319" s="1"/>
      <c r="H319" s="2"/>
      <c r="L319" s="1"/>
      <c r="M319" s="1"/>
      <c r="N319" s="3"/>
    </row>
    <row r="320" spans="4:14" ht="15.75" customHeight="1">
      <c r="D320" s="1"/>
      <c r="E320" s="1"/>
      <c r="H320" s="2"/>
      <c r="L320" s="1"/>
      <c r="M320" s="1"/>
      <c r="N320" s="3"/>
    </row>
    <row r="321" spans="4:14" ht="15.75" customHeight="1">
      <c r="D321" s="1"/>
      <c r="E321" s="1"/>
      <c r="H321" s="2"/>
      <c r="L321" s="1"/>
      <c r="M321" s="1"/>
      <c r="N321" s="3"/>
    </row>
    <row r="322" spans="4:14" ht="15.75" customHeight="1">
      <c r="D322" s="1"/>
      <c r="E322" s="1"/>
      <c r="H322" s="2"/>
      <c r="L322" s="1"/>
      <c r="M322" s="1"/>
      <c r="N322" s="3"/>
    </row>
    <row r="323" spans="4:14" ht="15.75" customHeight="1">
      <c r="D323" s="1"/>
      <c r="E323" s="1"/>
      <c r="H323" s="2"/>
      <c r="L323" s="1"/>
      <c r="M323" s="1"/>
      <c r="N323" s="3"/>
    </row>
    <row r="324" spans="4:14" ht="15.75" customHeight="1">
      <c r="D324" s="1"/>
      <c r="E324" s="1"/>
      <c r="H324" s="2"/>
      <c r="L324" s="1"/>
      <c r="M324" s="1"/>
      <c r="N324" s="3"/>
    </row>
    <row r="325" spans="4:14" ht="15.75" customHeight="1">
      <c r="D325" s="1"/>
      <c r="E325" s="1"/>
      <c r="H325" s="2"/>
      <c r="L325" s="1"/>
      <c r="M325" s="1"/>
      <c r="N325" s="3"/>
    </row>
    <row r="326" spans="4:14" ht="15.75" customHeight="1">
      <c r="D326" s="1"/>
      <c r="E326" s="1"/>
      <c r="H326" s="2"/>
      <c r="L326" s="1"/>
      <c r="M326" s="1"/>
      <c r="N326" s="3"/>
    </row>
    <row r="327" spans="4:14" ht="15.75" customHeight="1">
      <c r="D327" s="1"/>
      <c r="E327" s="1"/>
      <c r="H327" s="2"/>
      <c r="L327" s="1"/>
      <c r="M327" s="1"/>
      <c r="N327" s="3"/>
    </row>
    <row r="328" spans="4:14" ht="15.75" customHeight="1">
      <c r="D328" s="1"/>
      <c r="E328" s="1"/>
      <c r="H328" s="2"/>
      <c r="L328" s="1"/>
      <c r="M328" s="1"/>
      <c r="N328" s="3"/>
    </row>
    <row r="329" spans="4:14" ht="15.75" customHeight="1">
      <c r="D329" s="1"/>
      <c r="E329" s="1"/>
      <c r="H329" s="2"/>
      <c r="L329" s="1"/>
      <c r="M329" s="1"/>
      <c r="N329" s="3"/>
    </row>
    <row r="330" spans="4:14" ht="15.75" customHeight="1">
      <c r="D330" s="1"/>
      <c r="E330" s="1"/>
      <c r="H330" s="2"/>
      <c r="L330" s="1"/>
      <c r="M330" s="1"/>
      <c r="N330" s="3"/>
    </row>
    <row r="331" spans="4:14" ht="15.75" customHeight="1">
      <c r="D331" s="1"/>
      <c r="E331" s="1"/>
      <c r="H331" s="2"/>
      <c r="L331" s="1"/>
      <c r="M331" s="1"/>
      <c r="N331" s="3"/>
    </row>
    <row r="332" spans="4:14" ht="15.75" customHeight="1">
      <c r="D332" s="1"/>
      <c r="E332" s="1"/>
      <c r="H332" s="2"/>
      <c r="L332" s="1"/>
      <c r="M332" s="1"/>
      <c r="N332" s="3"/>
    </row>
    <row r="333" spans="4:14" ht="15.75" customHeight="1">
      <c r="D333" s="1"/>
      <c r="E333" s="1"/>
      <c r="H333" s="2"/>
      <c r="L333" s="1"/>
      <c r="M333" s="1"/>
      <c r="N333" s="3"/>
    </row>
    <row r="334" spans="4:14" ht="15.75" customHeight="1">
      <c r="D334" s="1"/>
      <c r="E334" s="1"/>
      <c r="H334" s="2"/>
      <c r="L334" s="1"/>
      <c r="M334" s="1"/>
      <c r="N334" s="3"/>
    </row>
    <row r="335" spans="4:14" ht="15.75" customHeight="1">
      <c r="D335" s="1"/>
      <c r="E335" s="1"/>
      <c r="H335" s="2"/>
      <c r="L335" s="1"/>
      <c r="M335" s="1"/>
      <c r="N335" s="3"/>
    </row>
    <row r="336" spans="4:14" ht="15.75" customHeight="1">
      <c r="D336" s="1"/>
      <c r="E336" s="1"/>
      <c r="H336" s="2"/>
      <c r="L336" s="1"/>
      <c r="M336" s="1"/>
      <c r="N336" s="3"/>
    </row>
    <row r="337" spans="4:14" ht="15.75" customHeight="1">
      <c r="D337" s="1"/>
      <c r="E337" s="1"/>
      <c r="H337" s="2"/>
      <c r="L337" s="1"/>
      <c r="M337" s="1"/>
      <c r="N337" s="3"/>
    </row>
    <row r="338" spans="4:14" ht="15.75" customHeight="1">
      <c r="D338" s="1"/>
      <c r="E338" s="1"/>
      <c r="H338" s="2"/>
      <c r="L338" s="1"/>
      <c r="M338" s="1"/>
      <c r="N338" s="3"/>
    </row>
    <row r="339" spans="4:14" ht="15.75" customHeight="1">
      <c r="D339" s="1"/>
      <c r="E339" s="1"/>
      <c r="H339" s="2"/>
      <c r="L339" s="1"/>
      <c r="M339" s="1"/>
      <c r="N339" s="3"/>
    </row>
    <row r="340" spans="4:14" ht="15.75" customHeight="1">
      <c r="D340" s="1"/>
      <c r="E340" s="1"/>
      <c r="H340" s="2"/>
      <c r="L340" s="1"/>
      <c r="M340" s="1"/>
      <c r="N340" s="3"/>
    </row>
    <row r="341" spans="4:14" ht="15.75" customHeight="1">
      <c r="D341" s="1"/>
      <c r="E341" s="1"/>
      <c r="H341" s="2"/>
      <c r="L341" s="1"/>
      <c r="M341" s="1"/>
      <c r="N341" s="3"/>
    </row>
    <row r="342" spans="4:14" ht="15.75" customHeight="1">
      <c r="D342" s="1"/>
      <c r="E342" s="1"/>
      <c r="H342" s="2"/>
      <c r="L342" s="1"/>
      <c r="M342" s="1"/>
      <c r="N342" s="3"/>
    </row>
    <row r="343" spans="4:14" ht="15.75" customHeight="1">
      <c r="D343" s="1"/>
      <c r="E343" s="1"/>
      <c r="H343" s="2"/>
      <c r="L343" s="1"/>
      <c r="M343" s="1"/>
      <c r="N343" s="3"/>
    </row>
    <row r="344" spans="4:14" ht="15.75" customHeight="1">
      <c r="D344" s="1"/>
      <c r="E344" s="1"/>
      <c r="H344" s="2"/>
      <c r="L344" s="1"/>
      <c r="M344" s="1"/>
      <c r="N344" s="3"/>
    </row>
    <row r="345" spans="4:14" ht="15.75" customHeight="1">
      <c r="D345" s="1"/>
      <c r="E345" s="1"/>
      <c r="H345" s="2"/>
      <c r="L345" s="1"/>
      <c r="M345" s="1"/>
      <c r="N345" s="3"/>
    </row>
    <row r="346" spans="4:14" ht="15.75" customHeight="1">
      <c r="D346" s="1"/>
      <c r="E346" s="1"/>
      <c r="H346" s="2"/>
      <c r="L346" s="1"/>
      <c r="M346" s="1"/>
      <c r="N346" s="3"/>
    </row>
    <row r="347" spans="4:14" ht="15.75" customHeight="1">
      <c r="D347" s="1"/>
      <c r="E347" s="1"/>
      <c r="H347" s="2"/>
      <c r="L347" s="1"/>
      <c r="M347" s="1"/>
      <c r="N347" s="3"/>
    </row>
    <row r="348" spans="4:14" ht="15.75" customHeight="1">
      <c r="D348" s="1"/>
      <c r="E348" s="1"/>
      <c r="H348" s="2"/>
      <c r="L348" s="1"/>
      <c r="M348" s="1"/>
      <c r="N348" s="3"/>
    </row>
    <row r="349" spans="4:14" ht="15.75" customHeight="1">
      <c r="D349" s="1"/>
      <c r="E349" s="1"/>
      <c r="H349" s="2"/>
      <c r="L349" s="1"/>
      <c r="M349" s="1"/>
      <c r="N349" s="3"/>
    </row>
    <row r="350" spans="4:14" ht="15.75" customHeight="1">
      <c r="D350" s="1"/>
      <c r="E350" s="1"/>
      <c r="H350" s="2"/>
      <c r="L350" s="1"/>
      <c r="M350" s="1"/>
      <c r="N350" s="3"/>
    </row>
    <row r="351" spans="4:14" ht="15.75" customHeight="1">
      <c r="D351" s="1"/>
      <c r="E351" s="1"/>
      <c r="H351" s="2"/>
      <c r="L351" s="1"/>
      <c r="M351" s="1"/>
      <c r="N351" s="3"/>
    </row>
    <row r="352" spans="4:14" ht="15.75" customHeight="1">
      <c r="D352" s="1"/>
      <c r="E352" s="1"/>
      <c r="H352" s="2"/>
      <c r="L352" s="1"/>
      <c r="M352" s="1"/>
      <c r="N352" s="3"/>
    </row>
    <row r="353" spans="4:14" ht="15.75" customHeight="1">
      <c r="D353" s="1"/>
      <c r="E353" s="1"/>
      <c r="H353" s="2"/>
      <c r="L353" s="1"/>
      <c r="M353" s="1"/>
      <c r="N353" s="3"/>
    </row>
    <row r="354" spans="4:14" ht="15.75" customHeight="1">
      <c r="D354" s="1"/>
      <c r="E354" s="1"/>
      <c r="H354" s="2"/>
      <c r="L354" s="1"/>
      <c r="M354" s="1"/>
      <c r="N354" s="3"/>
    </row>
    <row r="355" spans="4:14" ht="15.75" customHeight="1">
      <c r="D355" s="1"/>
      <c r="E355" s="1"/>
      <c r="H355" s="2"/>
      <c r="L355" s="1"/>
      <c r="M355" s="1"/>
      <c r="N355" s="3"/>
    </row>
    <row r="356" spans="4:14" ht="15.75" customHeight="1">
      <c r="D356" s="1"/>
      <c r="E356" s="1"/>
      <c r="H356" s="2"/>
      <c r="L356" s="1"/>
      <c r="M356" s="1"/>
      <c r="N356" s="3"/>
    </row>
    <row r="357" spans="4:14" ht="15.75" customHeight="1">
      <c r="D357" s="1"/>
      <c r="E357" s="1"/>
      <c r="H357" s="2"/>
      <c r="L357" s="1"/>
      <c r="M357" s="1"/>
      <c r="N357" s="3"/>
    </row>
    <row r="358" spans="4:14" ht="15.75" customHeight="1">
      <c r="D358" s="1"/>
      <c r="E358" s="1"/>
      <c r="H358" s="2"/>
      <c r="L358" s="1"/>
      <c r="M358" s="1"/>
      <c r="N358" s="3"/>
    </row>
    <row r="359" spans="4:14" ht="15.75" customHeight="1">
      <c r="D359" s="1"/>
      <c r="E359" s="1"/>
      <c r="H359" s="2"/>
      <c r="L359" s="1"/>
      <c r="M359" s="1"/>
      <c r="N359" s="3"/>
    </row>
    <row r="360" spans="4:14" ht="15.75" customHeight="1">
      <c r="D360" s="1"/>
      <c r="E360" s="1"/>
      <c r="H360" s="2"/>
      <c r="L360" s="1"/>
      <c r="M360" s="1"/>
      <c r="N360" s="3"/>
    </row>
    <row r="361" spans="4:14" ht="15.75" customHeight="1">
      <c r="D361" s="1"/>
      <c r="E361" s="1"/>
      <c r="H361" s="2"/>
      <c r="L361" s="1"/>
      <c r="M361" s="1"/>
      <c r="N361" s="3"/>
    </row>
    <row r="362" spans="4:14" ht="15.75" customHeight="1">
      <c r="D362" s="1"/>
      <c r="E362" s="1"/>
      <c r="H362" s="2"/>
      <c r="L362" s="1"/>
      <c r="M362" s="1"/>
      <c r="N362" s="3"/>
    </row>
    <row r="363" spans="4:14" ht="15.75" customHeight="1">
      <c r="D363" s="1"/>
      <c r="E363" s="1"/>
      <c r="H363" s="2"/>
      <c r="L363" s="1"/>
      <c r="M363" s="1"/>
      <c r="N363" s="3"/>
    </row>
    <row r="364" spans="4:14" ht="15.75" customHeight="1">
      <c r="D364" s="1"/>
      <c r="E364" s="1"/>
      <c r="H364" s="2"/>
      <c r="L364" s="1"/>
      <c r="M364" s="1"/>
      <c r="N364" s="3"/>
    </row>
    <row r="365" spans="4:14" ht="15.75" customHeight="1">
      <c r="D365" s="1"/>
      <c r="E365" s="1"/>
      <c r="H365" s="2"/>
      <c r="L365" s="1"/>
      <c r="M365" s="1"/>
      <c r="N365" s="3"/>
    </row>
    <row r="366" spans="4:14" ht="15.75" customHeight="1">
      <c r="D366" s="1"/>
      <c r="E366" s="1"/>
      <c r="H366" s="2"/>
      <c r="L366" s="1"/>
      <c r="M366" s="1"/>
      <c r="N366" s="3"/>
    </row>
    <row r="367" spans="4:14" ht="15.75" customHeight="1">
      <c r="D367" s="1"/>
      <c r="E367" s="1"/>
      <c r="H367" s="2"/>
      <c r="L367" s="1"/>
      <c r="M367" s="1"/>
      <c r="N367" s="3"/>
    </row>
    <row r="368" spans="4:14" ht="15.75" customHeight="1">
      <c r="D368" s="1"/>
      <c r="E368" s="1"/>
      <c r="H368" s="2"/>
      <c r="L368" s="1"/>
      <c r="M368" s="1"/>
      <c r="N368" s="3"/>
    </row>
    <row r="369" spans="4:14" ht="15.75" customHeight="1">
      <c r="D369" s="1"/>
      <c r="E369" s="1"/>
      <c r="H369" s="2"/>
      <c r="L369" s="1"/>
      <c r="M369" s="1"/>
      <c r="N369" s="3"/>
    </row>
    <row r="370" spans="4:14" ht="15.75" customHeight="1">
      <c r="D370" s="1"/>
      <c r="E370" s="1"/>
      <c r="H370" s="2"/>
      <c r="L370" s="1"/>
      <c r="M370" s="1"/>
      <c r="N370" s="3"/>
    </row>
    <row r="371" spans="4:14" ht="15.75" customHeight="1">
      <c r="D371" s="1"/>
      <c r="E371" s="1"/>
      <c r="H371" s="2"/>
      <c r="L371" s="1"/>
      <c r="M371" s="1"/>
      <c r="N371" s="3"/>
    </row>
    <row r="372" spans="4:14" ht="15.75" customHeight="1">
      <c r="D372" s="1"/>
      <c r="E372" s="1"/>
      <c r="H372" s="2"/>
      <c r="L372" s="1"/>
      <c r="M372" s="1"/>
      <c r="N372" s="3"/>
    </row>
    <row r="373" spans="4:14" ht="15.75" customHeight="1">
      <c r="D373" s="1"/>
      <c r="E373" s="1"/>
      <c r="H373" s="2"/>
      <c r="L373" s="1"/>
      <c r="M373" s="1"/>
      <c r="N373" s="3"/>
    </row>
    <row r="374" spans="4:14" ht="15.75" customHeight="1">
      <c r="D374" s="1"/>
      <c r="E374" s="1"/>
      <c r="H374" s="2"/>
      <c r="L374" s="1"/>
      <c r="M374" s="1"/>
      <c r="N374" s="3"/>
    </row>
    <row r="375" spans="4:14" ht="15.75" customHeight="1">
      <c r="D375" s="1"/>
      <c r="E375" s="1"/>
      <c r="H375" s="2"/>
      <c r="L375" s="1"/>
      <c r="M375" s="1"/>
      <c r="N375" s="3"/>
    </row>
    <row r="376" spans="4:14" ht="15.75" customHeight="1">
      <c r="D376" s="1"/>
      <c r="E376" s="1"/>
      <c r="H376" s="2"/>
      <c r="L376" s="1"/>
      <c r="M376" s="1"/>
      <c r="N376" s="3"/>
    </row>
    <row r="377" spans="4:14" ht="15.75" customHeight="1">
      <c r="D377" s="1"/>
      <c r="E377" s="1"/>
      <c r="H377" s="2"/>
      <c r="L377" s="1"/>
      <c r="M377" s="1"/>
      <c r="N377" s="3"/>
    </row>
    <row r="378" spans="4:14" ht="15.75" customHeight="1">
      <c r="D378" s="1"/>
      <c r="E378" s="1"/>
      <c r="H378" s="2"/>
      <c r="L378" s="1"/>
      <c r="M378" s="1"/>
      <c r="N378" s="3"/>
    </row>
    <row r="379" spans="4:14" ht="15.75" customHeight="1">
      <c r="D379" s="1"/>
      <c r="E379" s="1"/>
      <c r="H379" s="2"/>
      <c r="L379" s="1"/>
      <c r="M379" s="1"/>
      <c r="N379" s="3"/>
    </row>
    <row r="380" spans="4:14" ht="15.75" customHeight="1">
      <c r="D380" s="1"/>
      <c r="E380" s="1"/>
      <c r="H380" s="2"/>
      <c r="L380" s="1"/>
      <c r="M380" s="1"/>
      <c r="N380" s="3"/>
    </row>
    <row r="381" spans="4:14" ht="15.75" customHeight="1">
      <c r="D381" s="1"/>
      <c r="E381" s="1"/>
      <c r="H381" s="2"/>
      <c r="L381" s="1"/>
      <c r="M381" s="1"/>
      <c r="N381" s="3"/>
    </row>
    <row r="382" spans="4:14" ht="15.75" customHeight="1">
      <c r="D382" s="1"/>
      <c r="E382" s="1"/>
      <c r="H382" s="2"/>
      <c r="L382" s="1"/>
      <c r="M382" s="1"/>
      <c r="N382" s="3"/>
    </row>
    <row r="383" spans="4:14" ht="15.75" customHeight="1">
      <c r="D383" s="1"/>
      <c r="E383" s="1"/>
      <c r="H383" s="2"/>
      <c r="L383" s="1"/>
      <c r="M383" s="1"/>
      <c r="N383" s="3"/>
    </row>
    <row r="384" spans="4:14" ht="15.75" customHeight="1">
      <c r="D384" s="1"/>
      <c r="E384" s="1"/>
      <c r="H384" s="2"/>
      <c r="L384" s="1"/>
      <c r="M384" s="1"/>
      <c r="N384" s="3"/>
    </row>
    <row r="385" spans="4:14" ht="15.75" customHeight="1">
      <c r="D385" s="1"/>
      <c r="E385" s="1"/>
      <c r="H385" s="2"/>
      <c r="L385" s="1"/>
      <c r="M385" s="1"/>
      <c r="N385" s="3"/>
    </row>
    <row r="386" spans="4:14" ht="15.75" customHeight="1">
      <c r="D386" s="1"/>
      <c r="E386" s="1"/>
      <c r="H386" s="2"/>
      <c r="L386" s="1"/>
      <c r="M386" s="1"/>
      <c r="N386" s="3"/>
    </row>
    <row r="387" spans="4:14" ht="15.75" customHeight="1">
      <c r="D387" s="1"/>
      <c r="E387" s="1"/>
      <c r="H387" s="2"/>
      <c r="L387" s="1"/>
      <c r="M387" s="1"/>
      <c r="N387" s="3"/>
    </row>
    <row r="388" spans="4:14" ht="15.75" customHeight="1">
      <c r="D388" s="1"/>
      <c r="E388" s="1"/>
      <c r="H388" s="2"/>
      <c r="L388" s="1"/>
      <c r="M388" s="1"/>
      <c r="N388" s="3"/>
    </row>
    <row r="389" spans="4:14" ht="15.75" customHeight="1">
      <c r="D389" s="1"/>
      <c r="E389" s="1"/>
      <c r="H389" s="2"/>
      <c r="L389" s="1"/>
      <c r="M389" s="1"/>
      <c r="N389" s="3"/>
    </row>
    <row r="390" spans="4:14" ht="15.75" customHeight="1">
      <c r="D390" s="1"/>
      <c r="E390" s="1"/>
      <c r="H390" s="2"/>
      <c r="L390" s="1"/>
      <c r="M390" s="1"/>
      <c r="N390" s="3"/>
    </row>
    <row r="391" spans="4:14" ht="15.75" customHeight="1">
      <c r="D391" s="1"/>
      <c r="E391" s="1"/>
      <c r="H391" s="2"/>
      <c r="L391" s="1"/>
      <c r="M391" s="1"/>
      <c r="N391" s="3"/>
    </row>
    <row r="392" spans="4:14" ht="15.75" customHeight="1">
      <c r="D392" s="1"/>
      <c r="E392" s="1"/>
      <c r="H392" s="2"/>
      <c r="L392" s="1"/>
      <c r="M392" s="1"/>
      <c r="N392" s="3"/>
    </row>
    <row r="393" spans="4:14" ht="15.75" customHeight="1">
      <c r="D393" s="1"/>
      <c r="E393" s="1"/>
      <c r="H393" s="2"/>
      <c r="L393" s="1"/>
      <c r="M393" s="1"/>
      <c r="N393" s="3"/>
    </row>
    <row r="394" spans="4:14" ht="15.75" customHeight="1">
      <c r="D394" s="1"/>
      <c r="E394" s="1"/>
      <c r="H394" s="2"/>
      <c r="L394" s="1"/>
      <c r="M394" s="1"/>
      <c r="N394" s="3"/>
    </row>
    <row r="395" spans="4:14" ht="15.75" customHeight="1">
      <c r="D395" s="1"/>
      <c r="E395" s="1"/>
      <c r="H395" s="2"/>
      <c r="L395" s="1"/>
      <c r="M395" s="1"/>
      <c r="N395" s="3"/>
    </row>
    <row r="396" spans="4:14" ht="15.75" customHeight="1">
      <c r="D396" s="1"/>
      <c r="E396" s="1"/>
      <c r="H396" s="2"/>
      <c r="L396" s="1"/>
      <c r="M396" s="1"/>
      <c r="N396" s="3"/>
    </row>
    <row r="397" spans="4:14" ht="15.75" customHeight="1">
      <c r="D397" s="1"/>
      <c r="E397" s="1"/>
      <c r="H397" s="2"/>
      <c r="L397" s="1"/>
      <c r="M397" s="1"/>
      <c r="N397" s="3"/>
    </row>
    <row r="398" spans="4:14" ht="15.75" customHeight="1">
      <c r="D398" s="1"/>
      <c r="E398" s="1"/>
      <c r="H398" s="2"/>
      <c r="L398" s="1"/>
      <c r="M398" s="1"/>
      <c r="N398" s="3"/>
    </row>
    <row r="399" spans="4:14" ht="15.75" customHeight="1">
      <c r="D399" s="1"/>
      <c r="E399" s="1"/>
      <c r="H399" s="2"/>
      <c r="L399" s="1"/>
      <c r="M399" s="1"/>
      <c r="N399" s="3"/>
    </row>
    <row r="400" spans="4:14" ht="15.75" customHeight="1">
      <c r="D400" s="1"/>
      <c r="E400" s="1"/>
      <c r="H400" s="2"/>
      <c r="L400" s="1"/>
      <c r="M400" s="1"/>
      <c r="N400" s="3"/>
    </row>
    <row r="401" spans="4:14" ht="15.75" customHeight="1">
      <c r="D401" s="1"/>
      <c r="E401" s="1"/>
      <c r="H401" s="2"/>
      <c r="L401" s="1"/>
      <c r="M401" s="1"/>
      <c r="N401" s="3"/>
    </row>
    <row r="402" spans="4:14" ht="15.75" customHeight="1">
      <c r="D402" s="1"/>
      <c r="E402" s="1"/>
      <c r="H402" s="2"/>
      <c r="L402" s="1"/>
      <c r="M402" s="1"/>
      <c r="N402" s="3"/>
    </row>
    <row r="403" spans="4:14" ht="15.75" customHeight="1">
      <c r="D403" s="1"/>
      <c r="E403" s="1"/>
      <c r="H403" s="2"/>
      <c r="L403" s="1"/>
      <c r="M403" s="1"/>
      <c r="N403" s="3"/>
    </row>
    <row r="404" spans="4:14" ht="15.75" customHeight="1">
      <c r="D404" s="1"/>
      <c r="E404" s="1"/>
      <c r="H404" s="2"/>
      <c r="L404" s="1"/>
      <c r="M404" s="1"/>
      <c r="N404" s="3"/>
    </row>
    <row r="405" spans="4:14" ht="15.75" customHeight="1">
      <c r="D405" s="1"/>
      <c r="E405" s="1"/>
      <c r="H405" s="2"/>
      <c r="L405" s="1"/>
      <c r="M405" s="1"/>
      <c r="N405" s="3"/>
    </row>
    <row r="406" spans="4:14" ht="15.75" customHeight="1">
      <c r="D406" s="1"/>
      <c r="E406" s="1"/>
      <c r="H406" s="2"/>
      <c r="L406" s="1"/>
      <c r="M406" s="1"/>
      <c r="N406" s="3"/>
    </row>
    <row r="407" spans="4:14" ht="15.75" customHeight="1">
      <c r="D407" s="1"/>
      <c r="E407" s="1"/>
      <c r="H407" s="2"/>
      <c r="L407" s="1"/>
      <c r="M407" s="1"/>
      <c r="N407" s="3"/>
    </row>
    <row r="408" spans="4:14" ht="15.75" customHeight="1">
      <c r="D408" s="1"/>
      <c r="E408" s="1"/>
      <c r="H408" s="2"/>
      <c r="L408" s="1"/>
      <c r="M408" s="1"/>
      <c r="N408" s="3"/>
    </row>
    <row r="409" spans="4:14" ht="15.75" customHeight="1">
      <c r="D409" s="1"/>
      <c r="E409" s="1"/>
      <c r="H409" s="2"/>
      <c r="L409" s="1"/>
      <c r="M409" s="1"/>
      <c r="N409" s="3"/>
    </row>
    <row r="410" spans="4:14" ht="15.75" customHeight="1">
      <c r="D410" s="1"/>
      <c r="E410" s="1"/>
      <c r="H410" s="2"/>
      <c r="L410" s="1"/>
      <c r="M410" s="1"/>
      <c r="N410" s="3"/>
    </row>
    <row r="411" spans="4:14" ht="15.75" customHeight="1">
      <c r="D411" s="1"/>
      <c r="E411" s="1"/>
      <c r="H411" s="2"/>
      <c r="L411" s="1"/>
      <c r="M411" s="1"/>
      <c r="N411" s="3"/>
    </row>
    <row r="412" spans="4:14" ht="15.75" customHeight="1">
      <c r="D412" s="1"/>
      <c r="E412" s="1"/>
      <c r="H412" s="2"/>
      <c r="L412" s="1"/>
      <c r="M412" s="1"/>
      <c r="N412" s="3"/>
    </row>
    <row r="413" spans="4:14" ht="15.75" customHeight="1">
      <c r="D413" s="1"/>
      <c r="E413" s="1"/>
      <c r="H413" s="2"/>
      <c r="L413" s="1"/>
      <c r="M413" s="1"/>
      <c r="N413" s="3"/>
    </row>
    <row r="414" spans="4:14" ht="15.75" customHeight="1">
      <c r="D414" s="1"/>
      <c r="E414" s="1"/>
      <c r="H414" s="2"/>
      <c r="L414" s="1"/>
      <c r="M414" s="1"/>
      <c r="N414" s="3"/>
    </row>
    <row r="415" spans="4:14" ht="15.75" customHeight="1">
      <c r="D415" s="1"/>
      <c r="E415" s="1"/>
      <c r="H415" s="2"/>
      <c r="L415" s="1"/>
      <c r="M415" s="1"/>
      <c r="N415" s="3"/>
    </row>
    <row r="416" spans="4:14" ht="15.75" customHeight="1">
      <c r="D416" s="1"/>
      <c r="E416" s="1"/>
      <c r="H416" s="2"/>
      <c r="L416" s="1"/>
      <c r="M416" s="1"/>
      <c r="N416" s="3"/>
    </row>
    <row r="417" spans="4:14" ht="15.75" customHeight="1">
      <c r="D417" s="1"/>
      <c r="E417" s="1"/>
      <c r="H417" s="2"/>
      <c r="L417" s="1"/>
      <c r="M417" s="1"/>
      <c r="N417" s="3"/>
    </row>
    <row r="418" spans="4:14" ht="15.75" customHeight="1">
      <c r="D418" s="1"/>
      <c r="E418" s="1"/>
      <c r="H418" s="2"/>
      <c r="L418" s="1"/>
      <c r="M418" s="1"/>
      <c r="N418" s="3"/>
    </row>
    <row r="419" spans="4:14" ht="15.75" customHeight="1">
      <c r="D419" s="1"/>
      <c r="E419" s="1"/>
      <c r="H419" s="2"/>
      <c r="L419" s="1"/>
      <c r="M419" s="1"/>
      <c r="N419" s="3"/>
    </row>
    <row r="420" spans="4:14" ht="15.75" customHeight="1">
      <c r="D420" s="1"/>
      <c r="E420" s="1"/>
      <c r="H420" s="2"/>
      <c r="L420" s="1"/>
      <c r="M420" s="1"/>
      <c r="N420" s="3"/>
    </row>
    <row r="421" spans="4:14" ht="15.75" customHeight="1">
      <c r="D421" s="1"/>
      <c r="E421" s="1"/>
      <c r="H421" s="2"/>
      <c r="L421" s="1"/>
      <c r="M421" s="1"/>
      <c r="N421" s="3"/>
    </row>
    <row r="422" spans="4:14" ht="15.75" customHeight="1">
      <c r="D422" s="1"/>
      <c r="E422" s="1"/>
      <c r="H422" s="2"/>
      <c r="L422" s="1"/>
      <c r="M422" s="1"/>
      <c r="N422" s="3"/>
    </row>
    <row r="423" spans="4:14" ht="15.75" customHeight="1">
      <c r="D423" s="1"/>
      <c r="E423" s="1"/>
      <c r="H423" s="2"/>
      <c r="L423" s="1"/>
      <c r="M423" s="1"/>
      <c r="N423" s="3"/>
    </row>
    <row r="424" spans="4:14" ht="15.75" customHeight="1">
      <c r="D424" s="1"/>
      <c r="E424" s="1"/>
      <c r="H424" s="2"/>
      <c r="L424" s="1"/>
      <c r="M424" s="1"/>
      <c r="N424" s="3"/>
    </row>
    <row r="425" spans="4:14" ht="15.75" customHeight="1">
      <c r="D425" s="1"/>
      <c r="E425" s="1"/>
      <c r="H425" s="2"/>
      <c r="L425" s="1"/>
      <c r="M425" s="1"/>
      <c r="N425" s="3"/>
    </row>
    <row r="426" spans="4:14" ht="15.75" customHeight="1">
      <c r="D426" s="1"/>
      <c r="E426" s="1"/>
      <c r="H426" s="2"/>
      <c r="L426" s="1"/>
      <c r="M426" s="1"/>
      <c r="N426" s="3"/>
    </row>
    <row r="427" spans="4:14" ht="15.75" customHeight="1">
      <c r="D427" s="1"/>
      <c r="E427" s="1"/>
      <c r="H427" s="2"/>
      <c r="L427" s="1"/>
      <c r="M427" s="1"/>
      <c r="N427" s="3"/>
    </row>
    <row r="428" spans="4:14" ht="15.75" customHeight="1">
      <c r="D428" s="1"/>
      <c r="E428" s="1"/>
      <c r="H428" s="2"/>
      <c r="L428" s="1"/>
      <c r="M428" s="1"/>
      <c r="N428" s="3"/>
    </row>
    <row r="429" spans="4:14" ht="15.75" customHeight="1">
      <c r="D429" s="1"/>
      <c r="E429" s="1"/>
      <c r="H429" s="2"/>
      <c r="L429" s="1"/>
      <c r="M429" s="1"/>
      <c r="N429" s="3"/>
    </row>
    <row r="430" spans="4:14" ht="15.75" customHeight="1">
      <c r="D430" s="1"/>
      <c r="E430" s="1"/>
      <c r="H430" s="2"/>
      <c r="L430" s="1"/>
      <c r="M430" s="1"/>
      <c r="N430" s="3"/>
    </row>
    <row r="431" spans="4:14" ht="15.75" customHeight="1">
      <c r="D431" s="1"/>
      <c r="E431" s="1"/>
      <c r="H431" s="2"/>
      <c r="L431" s="1"/>
      <c r="M431" s="1"/>
      <c r="N431" s="3"/>
    </row>
    <row r="432" spans="4:14" ht="15.75" customHeight="1">
      <c r="D432" s="1"/>
      <c r="E432" s="1"/>
      <c r="H432" s="2"/>
      <c r="L432" s="1"/>
      <c r="M432" s="1"/>
      <c r="N432" s="3"/>
    </row>
    <row r="433" spans="4:14" ht="15.75" customHeight="1">
      <c r="D433" s="1"/>
      <c r="E433" s="1"/>
      <c r="H433" s="2"/>
      <c r="L433" s="1"/>
      <c r="M433" s="1"/>
      <c r="N433" s="3"/>
    </row>
    <row r="434" spans="4:14" ht="15.75" customHeight="1">
      <c r="D434" s="1"/>
      <c r="E434" s="1"/>
      <c r="H434" s="2"/>
      <c r="L434" s="1"/>
      <c r="M434" s="1"/>
      <c r="N434" s="3"/>
    </row>
    <row r="435" spans="4:14" ht="15.75" customHeight="1">
      <c r="D435" s="1"/>
      <c r="E435" s="1"/>
      <c r="H435" s="2"/>
      <c r="L435" s="1"/>
      <c r="M435" s="1"/>
      <c r="N435" s="3"/>
    </row>
    <row r="436" spans="4:14" ht="15.75" customHeight="1">
      <c r="D436" s="1"/>
      <c r="E436" s="1"/>
      <c r="H436" s="2"/>
      <c r="L436" s="1"/>
      <c r="M436" s="1"/>
      <c r="N436" s="3"/>
    </row>
    <row r="437" spans="4:14" ht="15.75" customHeight="1">
      <c r="D437" s="1"/>
      <c r="E437" s="1"/>
      <c r="H437" s="2"/>
      <c r="L437" s="1"/>
      <c r="M437" s="1"/>
      <c r="N437" s="3"/>
    </row>
    <row r="438" spans="4:14" ht="15.75" customHeight="1">
      <c r="D438" s="1"/>
      <c r="E438" s="1"/>
      <c r="H438" s="2"/>
      <c r="L438" s="1"/>
      <c r="M438" s="1"/>
      <c r="N438" s="3"/>
    </row>
    <row r="439" spans="4:14" ht="15.75" customHeight="1">
      <c r="D439" s="1"/>
      <c r="E439" s="1"/>
      <c r="H439" s="2"/>
      <c r="L439" s="1"/>
      <c r="M439" s="1"/>
      <c r="N439" s="3"/>
    </row>
    <row r="440" spans="4:14" ht="15.75" customHeight="1">
      <c r="D440" s="1"/>
      <c r="E440" s="1"/>
      <c r="H440" s="2"/>
      <c r="L440" s="1"/>
      <c r="M440" s="1"/>
      <c r="N440" s="3"/>
    </row>
    <row r="441" spans="4:14" ht="15.75" customHeight="1">
      <c r="D441" s="1"/>
      <c r="E441" s="1"/>
      <c r="H441" s="2"/>
      <c r="L441" s="1"/>
      <c r="M441" s="1"/>
      <c r="N441" s="3"/>
    </row>
    <row r="442" spans="4:14" ht="15.75" customHeight="1">
      <c r="D442" s="1"/>
      <c r="E442" s="1"/>
      <c r="H442" s="2"/>
      <c r="L442" s="1"/>
      <c r="M442" s="1"/>
      <c r="N442" s="3"/>
    </row>
    <row r="443" spans="4:14" ht="15.75" customHeight="1">
      <c r="D443" s="1"/>
      <c r="E443" s="1"/>
      <c r="H443" s="2"/>
      <c r="L443" s="1"/>
      <c r="M443" s="1"/>
      <c r="N443" s="3"/>
    </row>
    <row r="444" spans="4:14" ht="15.75" customHeight="1">
      <c r="D444" s="1"/>
      <c r="E444" s="1"/>
      <c r="H444" s="2"/>
      <c r="L444" s="1"/>
      <c r="M444" s="1"/>
      <c r="N444" s="3"/>
    </row>
    <row r="445" spans="4:14" ht="15.75" customHeight="1">
      <c r="D445" s="1"/>
      <c r="E445" s="1"/>
      <c r="H445" s="2"/>
      <c r="L445" s="1"/>
      <c r="M445" s="1"/>
      <c r="N445" s="3"/>
    </row>
    <row r="446" spans="4:14" ht="15.75" customHeight="1">
      <c r="D446" s="1"/>
      <c r="E446" s="1"/>
      <c r="H446" s="2"/>
      <c r="L446" s="1"/>
      <c r="M446" s="1"/>
      <c r="N446" s="3"/>
    </row>
    <row r="447" spans="4:14" ht="15.75" customHeight="1">
      <c r="D447" s="1"/>
      <c r="E447" s="1"/>
      <c r="H447" s="2"/>
      <c r="L447" s="1"/>
      <c r="M447" s="1"/>
      <c r="N447" s="3"/>
    </row>
    <row r="448" spans="4:14" ht="15.75" customHeight="1">
      <c r="D448" s="1"/>
      <c r="E448" s="1"/>
      <c r="H448" s="2"/>
      <c r="L448" s="1"/>
      <c r="M448" s="1"/>
      <c r="N448" s="3"/>
    </row>
    <row r="449" spans="4:14" ht="15.75" customHeight="1">
      <c r="D449" s="1"/>
      <c r="E449" s="1"/>
      <c r="H449" s="2"/>
      <c r="L449" s="1"/>
      <c r="M449" s="1"/>
      <c r="N449" s="3"/>
    </row>
    <row r="450" spans="4:14" ht="15.75" customHeight="1">
      <c r="D450" s="1"/>
      <c r="E450" s="1"/>
      <c r="H450" s="2"/>
      <c r="L450" s="1"/>
      <c r="M450" s="1"/>
      <c r="N450" s="3"/>
    </row>
    <row r="451" spans="4:14" ht="15.75" customHeight="1">
      <c r="D451" s="1"/>
      <c r="E451" s="1"/>
      <c r="H451" s="2"/>
      <c r="L451" s="1"/>
      <c r="M451" s="1"/>
      <c r="N451" s="3"/>
    </row>
    <row r="452" spans="4:14" ht="15.75" customHeight="1">
      <c r="D452" s="1"/>
      <c r="E452" s="1"/>
      <c r="H452" s="2"/>
      <c r="L452" s="1"/>
      <c r="M452" s="1"/>
      <c r="N452" s="3"/>
    </row>
    <row r="453" spans="4:14" ht="15.75" customHeight="1">
      <c r="D453" s="1"/>
      <c r="E453" s="1"/>
      <c r="H453" s="2"/>
      <c r="L453" s="1"/>
      <c r="M453" s="1"/>
      <c r="N453" s="3"/>
    </row>
    <row r="454" spans="4:14" ht="15.75" customHeight="1">
      <c r="D454" s="1"/>
      <c r="E454" s="1"/>
      <c r="H454" s="2"/>
      <c r="L454" s="1"/>
      <c r="M454" s="1"/>
      <c r="N454" s="3"/>
    </row>
    <row r="455" spans="4:14" ht="15.75" customHeight="1">
      <c r="D455" s="1"/>
      <c r="E455" s="1"/>
      <c r="H455" s="2"/>
      <c r="L455" s="1"/>
      <c r="M455" s="1"/>
      <c r="N455" s="3"/>
    </row>
    <row r="456" spans="4:14" ht="15.75" customHeight="1">
      <c r="D456" s="1"/>
      <c r="E456" s="1"/>
      <c r="H456" s="2"/>
      <c r="L456" s="1"/>
      <c r="M456" s="1"/>
      <c r="N456" s="3"/>
    </row>
    <row r="457" spans="4:14" ht="15.75" customHeight="1">
      <c r="D457" s="1"/>
      <c r="E457" s="1"/>
      <c r="H457" s="2"/>
      <c r="L457" s="1"/>
      <c r="M457" s="1"/>
      <c r="N457" s="3"/>
    </row>
    <row r="458" spans="4:14" ht="15.75" customHeight="1">
      <c r="D458" s="1"/>
      <c r="E458" s="1"/>
      <c r="H458" s="2"/>
      <c r="L458" s="1"/>
      <c r="M458" s="1"/>
      <c r="N458" s="3"/>
    </row>
    <row r="459" spans="4:14" ht="15.75" customHeight="1">
      <c r="D459" s="1"/>
      <c r="E459" s="1"/>
      <c r="H459" s="2"/>
      <c r="L459" s="1"/>
      <c r="M459" s="1"/>
      <c r="N459" s="3"/>
    </row>
    <row r="460" spans="4:14" ht="15.75" customHeight="1">
      <c r="D460" s="1"/>
      <c r="E460" s="1"/>
      <c r="H460" s="2"/>
      <c r="L460" s="1"/>
      <c r="M460" s="1"/>
      <c r="N460" s="3"/>
    </row>
    <row r="461" spans="4:14" ht="15.75" customHeight="1">
      <c r="D461" s="1"/>
      <c r="E461" s="1"/>
      <c r="H461" s="2"/>
      <c r="L461" s="1"/>
      <c r="M461" s="1"/>
      <c r="N461" s="3"/>
    </row>
    <row r="462" spans="4:14" ht="15.75" customHeight="1">
      <c r="D462" s="1"/>
      <c r="E462" s="1"/>
      <c r="H462" s="2"/>
      <c r="L462" s="1"/>
      <c r="M462" s="1"/>
      <c r="N462" s="3"/>
    </row>
    <row r="463" spans="4:14" ht="15.75" customHeight="1">
      <c r="D463" s="1"/>
      <c r="E463" s="1"/>
      <c r="H463" s="2"/>
      <c r="L463" s="1"/>
      <c r="M463" s="1"/>
      <c r="N463" s="3"/>
    </row>
    <row r="464" spans="4:14" ht="15.75" customHeight="1">
      <c r="D464" s="1"/>
      <c r="E464" s="1"/>
      <c r="H464" s="2"/>
      <c r="L464" s="1"/>
      <c r="M464" s="1"/>
      <c r="N464" s="3"/>
    </row>
    <row r="465" spans="4:14" ht="15.75" customHeight="1">
      <c r="D465" s="1"/>
      <c r="E465" s="1"/>
      <c r="H465" s="2"/>
      <c r="L465" s="1"/>
      <c r="M465" s="1"/>
      <c r="N465" s="3"/>
    </row>
    <row r="466" spans="4:14" ht="15.75" customHeight="1">
      <c r="D466" s="1"/>
      <c r="E466" s="1"/>
      <c r="H466" s="2"/>
      <c r="L466" s="1"/>
      <c r="M466" s="1"/>
      <c r="N466" s="3"/>
    </row>
    <row r="467" spans="4:14" ht="15.75" customHeight="1">
      <c r="D467" s="1"/>
      <c r="E467" s="1"/>
      <c r="H467" s="2"/>
      <c r="L467" s="1"/>
      <c r="M467" s="1"/>
      <c r="N467" s="3"/>
    </row>
    <row r="468" spans="4:14" ht="15.75" customHeight="1">
      <c r="D468" s="1"/>
      <c r="E468" s="1"/>
      <c r="H468" s="2"/>
      <c r="L468" s="1"/>
      <c r="M468" s="1"/>
      <c r="N468" s="3"/>
    </row>
    <row r="469" spans="4:14" ht="15.75" customHeight="1">
      <c r="D469" s="1"/>
      <c r="E469" s="1"/>
      <c r="H469" s="2"/>
      <c r="L469" s="1"/>
      <c r="M469" s="1"/>
      <c r="N469" s="3"/>
    </row>
    <row r="470" spans="4:14" ht="15.75" customHeight="1">
      <c r="D470" s="1"/>
      <c r="E470" s="1"/>
      <c r="H470" s="2"/>
      <c r="L470" s="1"/>
      <c r="M470" s="1"/>
      <c r="N470" s="3"/>
    </row>
    <row r="471" spans="4:14" ht="15.75" customHeight="1">
      <c r="D471" s="1"/>
      <c r="E471" s="1"/>
      <c r="H471" s="2"/>
      <c r="L471" s="1"/>
      <c r="M471" s="1"/>
      <c r="N471" s="3"/>
    </row>
    <row r="472" spans="4:14" ht="15.75" customHeight="1">
      <c r="D472" s="1"/>
      <c r="E472" s="1"/>
      <c r="H472" s="2"/>
      <c r="L472" s="1"/>
      <c r="M472" s="1"/>
      <c r="N472" s="3"/>
    </row>
    <row r="473" spans="4:14" ht="15.75" customHeight="1">
      <c r="D473" s="1"/>
      <c r="E473" s="1"/>
      <c r="H473" s="2"/>
      <c r="L473" s="1"/>
      <c r="M473" s="1"/>
      <c r="N473" s="3"/>
    </row>
    <row r="474" spans="4:14" ht="15.75" customHeight="1">
      <c r="D474" s="1"/>
      <c r="E474" s="1"/>
      <c r="H474" s="2"/>
      <c r="L474" s="1"/>
      <c r="M474" s="1"/>
      <c r="N474" s="3"/>
    </row>
    <row r="475" spans="4:14" ht="15.75" customHeight="1">
      <c r="D475" s="1"/>
      <c r="E475" s="1"/>
      <c r="H475" s="2"/>
      <c r="L475" s="1"/>
      <c r="M475" s="1"/>
      <c r="N475" s="3"/>
    </row>
    <row r="476" spans="4:14" ht="15.75" customHeight="1">
      <c r="D476" s="1"/>
      <c r="E476" s="1"/>
      <c r="H476" s="2"/>
      <c r="L476" s="1"/>
      <c r="M476" s="1"/>
      <c r="N476" s="3"/>
    </row>
    <row r="477" spans="4:14" ht="15.75" customHeight="1">
      <c r="D477" s="1"/>
      <c r="E477" s="1"/>
      <c r="H477" s="2"/>
      <c r="L477" s="1"/>
      <c r="M477" s="1"/>
      <c r="N477" s="3"/>
    </row>
    <row r="478" spans="4:14" ht="15.75" customHeight="1">
      <c r="D478" s="1"/>
      <c r="E478" s="1"/>
      <c r="H478" s="2"/>
      <c r="L478" s="1"/>
      <c r="M478" s="1"/>
      <c r="N478" s="3"/>
    </row>
    <row r="479" spans="4:14" ht="15.75" customHeight="1">
      <c r="D479" s="1"/>
      <c r="E479" s="1"/>
      <c r="H479" s="2"/>
      <c r="L479" s="1"/>
      <c r="M479" s="1"/>
      <c r="N479" s="3"/>
    </row>
    <row r="480" spans="4:14" ht="15.75" customHeight="1">
      <c r="D480" s="1"/>
      <c r="E480" s="1"/>
      <c r="H480" s="2"/>
      <c r="L480" s="1"/>
      <c r="M480" s="1"/>
      <c r="N480" s="3"/>
    </row>
    <row r="481" spans="4:14" ht="15.75" customHeight="1">
      <c r="D481" s="1"/>
      <c r="E481" s="1"/>
      <c r="H481" s="2"/>
      <c r="L481" s="1"/>
      <c r="M481" s="1"/>
      <c r="N481" s="3"/>
    </row>
    <row r="482" spans="4:14" ht="15.75" customHeight="1">
      <c r="D482" s="1"/>
      <c r="E482" s="1"/>
      <c r="H482" s="2"/>
      <c r="L482" s="1"/>
      <c r="M482" s="1"/>
      <c r="N482" s="3"/>
    </row>
    <row r="483" spans="4:14" ht="15.75" customHeight="1">
      <c r="D483" s="1"/>
      <c r="E483" s="1"/>
      <c r="H483" s="2"/>
      <c r="L483" s="1"/>
      <c r="M483" s="1"/>
      <c r="N483" s="3"/>
    </row>
    <row r="484" spans="4:14" ht="15.75" customHeight="1">
      <c r="D484" s="1"/>
      <c r="E484" s="1"/>
      <c r="H484" s="2"/>
      <c r="L484" s="1"/>
      <c r="M484" s="1"/>
      <c r="N484" s="3"/>
    </row>
    <row r="485" spans="4:14" ht="15.75" customHeight="1">
      <c r="D485" s="1"/>
      <c r="E485" s="1"/>
      <c r="H485" s="2"/>
      <c r="L485" s="1"/>
      <c r="M485" s="1"/>
      <c r="N485" s="3"/>
    </row>
    <row r="486" spans="4:14" ht="15.75" customHeight="1">
      <c r="D486" s="1"/>
      <c r="E486" s="1"/>
      <c r="H486" s="2"/>
      <c r="L486" s="1"/>
      <c r="M486" s="1"/>
      <c r="N486" s="3"/>
    </row>
    <row r="487" spans="4:14" ht="15.75" customHeight="1">
      <c r="D487" s="1"/>
      <c r="E487" s="1"/>
      <c r="H487" s="2"/>
      <c r="L487" s="1"/>
      <c r="M487" s="1"/>
      <c r="N487" s="3"/>
    </row>
    <row r="488" spans="4:14" ht="15.75" customHeight="1">
      <c r="D488" s="1"/>
      <c r="E488" s="1"/>
      <c r="H488" s="2"/>
      <c r="L488" s="1"/>
      <c r="M488" s="1"/>
      <c r="N488" s="3"/>
    </row>
    <row r="489" spans="4:14" ht="15.75" customHeight="1">
      <c r="D489" s="1"/>
      <c r="E489" s="1"/>
      <c r="H489" s="2"/>
      <c r="L489" s="1"/>
      <c r="M489" s="1"/>
      <c r="N489" s="3"/>
    </row>
    <row r="490" spans="4:14" ht="15.75" customHeight="1">
      <c r="D490" s="1"/>
      <c r="E490" s="1"/>
      <c r="H490" s="2"/>
      <c r="L490" s="1"/>
      <c r="M490" s="1"/>
      <c r="N490" s="3"/>
    </row>
    <row r="491" spans="4:14" ht="15.75" customHeight="1">
      <c r="D491" s="1"/>
      <c r="E491" s="1"/>
      <c r="H491" s="2"/>
      <c r="L491" s="1"/>
      <c r="M491" s="1"/>
      <c r="N491" s="3"/>
    </row>
    <row r="492" spans="4:14" ht="15.75" customHeight="1">
      <c r="D492" s="1"/>
      <c r="E492" s="1"/>
      <c r="H492" s="2"/>
      <c r="L492" s="1"/>
      <c r="M492" s="1"/>
      <c r="N492" s="3"/>
    </row>
    <row r="493" spans="4:14" ht="15.75" customHeight="1">
      <c r="D493" s="1"/>
      <c r="E493" s="1"/>
      <c r="H493" s="2"/>
      <c r="L493" s="1"/>
      <c r="M493" s="1"/>
      <c r="N493" s="3"/>
    </row>
    <row r="494" spans="4:14" ht="15.75" customHeight="1">
      <c r="D494" s="1"/>
      <c r="E494" s="1"/>
      <c r="H494" s="2"/>
      <c r="L494" s="1"/>
      <c r="M494" s="1"/>
      <c r="N494" s="3"/>
    </row>
    <row r="495" spans="4:14" ht="15.75" customHeight="1">
      <c r="D495" s="1"/>
      <c r="E495" s="1"/>
      <c r="H495" s="2"/>
      <c r="L495" s="1"/>
      <c r="M495" s="1"/>
      <c r="N495" s="3"/>
    </row>
    <row r="496" spans="4:14" ht="15.75" customHeight="1">
      <c r="D496" s="1"/>
      <c r="E496" s="1"/>
      <c r="H496" s="2"/>
      <c r="L496" s="1"/>
      <c r="M496" s="1"/>
      <c r="N496" s="3"/>
    </row>
    <row r="497" spans="4:14" ht="15.75" customHeight="1">
      <c r="D497" s="1"/>
      <c r="E497" s="1"/>
      <c r="H497" s="2"/>
      <c r="L497" s="1"/>
      <c r="M497" s="1"/>
      <c r="N497" s="3"/>
    </row>
    <row r="498" spans="4:14" ht="15.75" customHeight="1">
      <c r="D498" s="1"/>
      <c r="E498" s="1"/>
      <c r="H498" s="2"/>
      <c r="L498" s="1"/>
      <c r="M498" s="1"/>
      <c r="N498" s="3"/>
    </row>
    <row r="499" spans="4:14" ht="15.75" customHeight="1">
      <c r="D499" s="1"/>
      <c r="E499" s="1"/>
      <c r="H499" s="2"/>
      <c r="L499" s="1"/>
      <c r="M499" s="1"/>
      <c r="N499" s="3"/>
    </row>
    <row r="500" spans="4:14" ht="15.75" customHeight="1">
      <c r="D500" s="1"/>
      <c r="E500" s="1"/>
      <c r="H500" s="2"/>
      <c r="L500" s="1"/>
      <c r="M500" s="1"/>
      <c r="N500" s="3"/>
    </row>
    <row r="501" spans="4:14" ht="15.75" customHeight="1">
      <c r="D501" s="1"/>
      <c r="E501" s="1"/>
      <c r="H501" s="2"/>
      <c r="L501" s="1"/>
      <c r="M501" s="1"/>
      <c r="N501" s="3"/>
    </row>
    <row r="502" spans="4:14" ht="15.75" customHeight="1">
      <c r="D502" s="1"/>
      <c r="E502" s="1"/>
      <c r="H502" s="2"/>
      <c r="L502" s="1"/>
      <c r="M502" s="1"/>
      <c r="N502" s="3"/>
    </row>
    <row r="503" spans="4:14" ht="15.75" customHeight="1">
      <c r="D503" s="1"/>
      <c r="E503" s="1"/>
      <c r="H503" s="2"/>
      <c r="L503" s="1"/>
      <c r="M503" s="1"/>
      <c r="N503" s="3"/>
    </row>
    <row r="504" spans="4:14" ht="15.75" customHeight="1">
      <c r="D504" s="1"/>
      <c r="E504" s="1"/>
      <c r="H504" s="2"/>
      <c r="L504" s="1"/>
      <c r="M504" s="1"/>
      <c r="N504" s="3"/>
    </row>
    <row r="505" spans="4:14" ht="15.75" customHeight="1">
      <c r="D505" s="1"/>
      <c r="E505" s="1"/>
      <c r="H505" s="2"/>
      <c r="L505" s="1"/>
      <c r="M505" s="1"/>
      <c r="N505" s="3"/>
    </row>
    <row r="506" spans="4:14" ht="15.75" customHeight="1">
      <c r="D506" s="1"/>
      <c r="E506" s="1"/>
      <c r="H506" s="2"/>
      <c r="L506" s="1"/>
      <c r="M506" s="1"/>
      <c r="N506" s="3"/>
    </row>
    <row r="507" spans="4:14" ht="15.75" customHeight="1">
      <c r="D507" s="1"/>
      <c r="E507" s="1"/>
      <c r="H507" s="2"/>
      <c r="L507" s="1"/>
      <c r="M507" s="1"/>
      <c r="N507" s="3"/>
    </row>
    <row r="508" spans="4:14" ht="15.75" customHeight="1">
      <c r="D508" s="1"/>
      <c r="E508" s="1"/>
      <c r="H508" s="2"/>
      <c r="L508" s="1"/>
      <c r="M508" s="1"/>
      <c r="N508" s="3"/>
    </row>
    <row r="509" spans="4:14" ht="15.75" customHeight="1">
      <c r="D509" s="1"/>
      <c r="E509" s="1"/>
      <c r="H509" s="2"/>
      <c r="L509" s="1"/>
      <c r="M509" s="1"/>
      <c r="N509" s="3"/>
    </row>
    <row r="510" spans="4:14" ht="15.75" customHeight="1">
      <c r="D510" s="1"/>
      <c r="E510" s="1"/>
      <c r="H510" s="2"/>
      <c r="L510" s="1"/>
      <c r="M510" s="1"/>
      <c r="N510" s="3"/>
    </row>
    <row r="511" spans="4:14" ht="15.75" customHeight="1">
      <c r="D511" s="1"/>
      <c r="E511" s="1"/>
      <c r="H511" s="2"/>
      <c r="L511" s="1"/>
      <c r="M511" s="1"/>
      <c r="N511" s="3"/>
    </row>
    <row r="512" spans="4:14" ht="15.75" customHeight="1">
      <c r="D512" s="1"/>
      <c r="E512" s="1"/>
      <c r="H512" s="2"/>
      <c r="L512" s="1"/>
      <c r="M512" s="1"/>
      <c r="N512" s="3"/>
    </row>
    <row r="513" spans="4:14" ht="15.75" customHeight="1">
      <c r="D513" s="1"/>
      <c r="E513" s="1"/>
      <c r="H513" s="2"/>
      <c r="L513" s="1"/>
      <c r="M513" s="1"/>
      <c r="N513" s="3"/>
    </row>
    <row r="514" spans="4:14" ht="15.75" customHeight="1">
      <c r="D514" s="1"/>
      <c r="E514" s="1"/>
      <c r="H514" s="2"/>
      <c r="L514" s="1"/>
      <c r="M514" s="1"/>
      <c r="N514" s="3"/>
    </row>
    <row r="515" spans="4:14" ht="15.75" customHeight="1">
      <c r="D515" s="1"/>
      <c r="E515" s="1"/>
      <c r="H515" s="2"/>
      <c r="L515" s="1"/>
      <c r="M515" s="1"/>
      <c r="N515" s="3"/>
    </row>
    <row r="516" spans="4:14" ht="15.75" customHeight="1">
      <c r="D516" s="1"/>
      <c r="E516" s="1"/>
      <c r="H516" s="2"/>
      <c r="L516" s="1"/>
      <c r="M516" s="1"/>
      <c r="N516" s="3"/>
    </row>
    <row r="517" spans="4:14" ht="15.75" customHeight="1">
      <c r="D517" s="1"/>
      <c r="E517" s="1"/>
      <c r="H517" s="2"/>
      <c r="L517" s="1"/>
      <c r="M517" s="1"/>
      <c r="N517" s="3"/>
    </row>
    <row r="518" spans="4:14" ht="15.75" customHeight="1">
      <c r="D518" s="1"/>
      <c r="E518" s="1"/>
      <c r="H518" s="2"/>
      <c r="L518" s="1"/>
      <c r="M518" s="1"/>
      <c r="N518" s="3"/>
    </row>
    <row r="519" spans="4:14" ht="15.75" customHeight="1">
      <c r="D519" s="1"/>
      <c r="E519" s="1"/>
      <c r="H519" s="2"/>
      <c r="L519" s="1"/>
      <c r="M519" s="1"/>
      <c r="N519" s="3"/>
    </row>
    <row r="520" spans="4:14" ht="15.75" customHeight="1">
      <c r="D520" s="1"/>
      <c r="E520" s="1"/>
      <c r="H520" s="2"/>
      <c r="L520" s="1"/>
      <c r="M520" s="1"/>
      <c r="N520" s="3"/>
    </row>
    <row r="521" spans="4:14" ht="15.75" customHeight="1">
      <c r="D521" s="1"/>
      <c r="E521" s="1"/>
      <c r="H521" s="2"/>
      <c r="L521" s="1"/>
      <c r="M521" s="1"/>
      <c r="N521" s="3"/>
    </row>
    <row r="522" spans="4:14" ht="15.75" customHeight="1">
      <c r="D522" s="1"/>
      <c r="E522" s="1"/>
      <c r="H522" s="2"/>
      <c r="L522" s="1"/>
      <c r="M522" s="1"/>
      <c r="N522" s="3"/>
    </row>
    <row r="523" spans="4:14" ht="15.75" customHeight="1">
      <c r="D523" s="1"/>
      <c r="E523" s="1"/>
      <c r="H523" s="2"/>
      <c r="L523" s="1"/>
      <c r="M523" s="1"/>
      <c r="N523" s="3"/>
    </row>
    <row r="524" spans="4:14" ht="15.75" customHeight="1">
      <c r="D524" s="1"/>
      <c r="E524" s="1"/>
      <c r="H524" s="2"/>
      <c r="L524" s="1"/>
      <c r="M524" s="1"/>
      <c r="N524" s="3"/>
    </row>
    <row r="525" spans="4:14" ht="15.75" customHeight="1">
      <c r="D525" s="1"/>
      <c r="E525" s="1"/>
      <c r="H525" s="2"/>
      <c r="L525" s="1"/>
      <c r="M525" s="1"/>
      <c r="N525" s="3"/>
    </row>
    <row r="526" spans="4:14" ht="15.75" customHeight="1">
      <c r="D526" s="1"/>
      <c r="E526" s="1"/>
      <c r="H526" s="2"/>
      <c r="L526" s="1"/>
      <c r="M526" s="1"/>
      <c r="N526" s="3"/>
    </row>
    <row r="527" spans="4:14" ht="15.75" customHeight="1">
      <c r="D527" s="1"/>
      <c r="E527" s="1"/>
      <c r="H527" s="2"/>
      <c r="L527" s="1"/>
      <c r="M527" s="1"/>
      <c r="N527" s="3"/>
    </row>
    <row r="528" spans="4:14" ht="15.75" customHeight="1">
      <c r="D528" s="1"/>
      <c r="E528" s="1"/>
      <c r="H528" s="2"/>
      <c r="L528" s="1"/>
      <c r="M528" s="1"/>
      <c r="N528" s="3"/>
    </row>
    <row r="529" spans="4:14" ht="15.75" customHeight="1">
      <c r="D529" s="1"/>
      <c r="E529" s="1"/>
      <c r="H529" s="2"/>
      <c r="L529" s="1"/>
      <c r="M529" s="1"/>
      <c r="N529" s="3"/>
    </row>
    <row r="530" spans="4:14" ht="15.75" customHeight="1">
      <c r="D530" s="1"/>
      <c r="E530" s="1"/>
      <c r="H530" s="2"/>
      <c r="L530" s="1"/>
      <c r="M530" s="1"/>
      <c r="N530" s="3"/>
    </row>
    <row r="531" spans="4:14" ht="15.75" customHeight="1">
      <c r="D531" s="1"/>
      <c r="E531" s="1"/>
      <c r="H531" s="2"/>
      <c r="L531" s="1"/>
      <c r="M531" s="1"/>
      <c r="N531" s="3"/>
    </row>
    <row r="532" spans="4:14" ht="15.75" customHeight="1">
      <c r="D532" s="1"/>
      <c r="E532" s="1"/>
      <c r="H532" s="2"/>
      <c r="L532" s="1"/>
      <c r="M532" s="1"/>
      <c r="N532" s="3"/>
    </row>
    <row r="533" spans="4:14" ht="15.75" customHeight="1">
      <c r="D533" s="1"/>
      <c r="E533" s="1"/>
      <c r="H533" s="2"/>
      <c r="L533" s="1"/>
      <c r="M533" s="1"/>
      <c r="N533" s="3"/>
    </row>
    <row r="534" spans="4:14" ht="15.75" customHeight="1">
      <c r="D534" s="1"/>
      <c r="E534" s="1"/>
      <c r="H534" s="2"/>
      <c r="L534" s="1"/>
      <c r="M534" s="1"/>
      <c r="N534" s="3"/>
    </row>
    <row r="535" spans="4:14" ht="15.75" customHeight="1">
      <c r="D535" s="1"/>
      <c r="E535" s="1"/>
      <c r="H535" s="2"/>
      <c r="L535" s="1"/>
      <c r="M535" s="1"/>
      <c r="N535" s="3"/>
    </row>
    <row r="536" spans="4:14" ht="15.75" customHeight="1">
      <c r="D536" s="1"/>
      <c r="E536" s="1"/>
      <c r="H536" s="2"/>
      <c r="L536" s="1"/>
      <c r="M536" s="1"/>
      <c r="N536" s="3"/>
    </row>
    <row r="537" spans="4:14" ht="15.75" customHeight="1">
      <c r="D537" s="1"/>
      <c r="E537" s="1"/>
      <c r="H537" s="2"/>
      <c r="L537" s="1"/>
      <c r="M537" s="1"/>
      <c r="N537" s="3"/>
    </row>
    <row r="538" spans="4:14" ht="15.75" customHeight="1">
      <c r="D538" s="1"/>
      <c r="E538" s="1"/>
      <c r="H538" s="2"/>
      <c r="L538" s="1"/>
      <c r="M538" s="1"/>
      <c r="N538" s="3"/>
    </row>
    <row r="539" spans="4:14" ht="15.75" customHeight="1">
      <c r="D539" s="1"/>
      <c r="E539" s="1"/>
      <c r="H539" s="2"/>
      <c r="L539" s="1"/>
      <c r="M539" s="1"/>
      <c r="N539" s="3"/>
    </row>
    <row r="540" spans="4:14" ht="15.75" customHeight="1">
      <c r="D540" s="1"/>
      <c r="E540" s="1"/>
      <c r="H540" s="2"/>
      <c r="L540" s="1"/>
      <c r="M540" s="1"/>
      <c r="N540" s="3"/>
    </row>
    <row r="541" spans="4:14" ht="15.75" customHeight="1">
      <c r="D541" s="1"/>
      <c r="E541" s="1"/>
      <c r="H541" s="2"/>
      <c r="L541" s="1"/>
      <c r="M541" s="1"/>
      <c r="N541" s="3"/>
    </row>
    <row r="542" spans="4:14" ht="15.75" customHeight="1">
      <c r="D542" s="1"/>
      <c r="E542" s="1"/>
      <c r="H542" s="2"/>
      <c r="L542" s="1"/>
      <c r="M542" s="1"/>
      <c r="N542" s="3"/>
    </row>
    <row r="543" spans="4:14" ht="15.75" customHeight="1">
      <c r="D543" s="1"/>
      <c r="E543" s="1"/>
      <c r="H543" s="2"/>
      <c r="L543" s="1"/>
      <c r="M543" s="1"/>
      <c r="N543" s="3"/>
    </row>
    <row r="544" spans="4:14" ht="15.75" customHeight="1">
      <c r="D544" s="1"/>
      <c r="E544" s="1"/>
      <c r="H544" s="2"/>
      <c r="L544" s="1"/>
      <c r="M544" s="1"/>
      <c r="N544" s="3"/>
    </row>
    <row r="545" spans="4:14" ht="15.75" customHeight="1">
      <c r="D545" s="1"/>
      <c r="E545" s="1"/>
      <c r="H545" s="2"/>
      <c r="L545" s="1"/>
      <c r="M545" s="1"/>
      <c r="N545" s="3"/>
    </row>
    <row r="546" spans="4:14" ht="15.75" customHeight="1">
      <c r="D546" s="1"/>
      <c r="E546" s="1"/>
      <c r="H546" s="2"/>
      <c r="L546" s="1"/>
      <c r="M546" s="1"/>
      <c r="N546" s="3"/>
    </row>
    <row r="547" spans="4:14" ht="15.75" customHeight="1">
      <c r="D547" s="1"/>
      <c r="E547" s="1"/>
      <c r="H547" s="2"/>
      <c r="L547" s="1"/>
      <c r="M547" s="1"/>
      <c r="N547" s="3"/>
    </row>
    <row r="548" spans="4:14" ht="15.75" customHeight="1">
      <c r="D548" s="1"/>
      <c r="E548" s="1"/>
      <c r="H548" s="2"/>
      <c r="L548" s="1"/>
      <c r="M548" s="1"/>
      <c r="N548" s="3"/>
    </row>
    <row r="549" spans="4:14" ht="15.75" customHeight="1">
      <c r="D549" s="1"/>
      <c r="E549" s="1"/>
      <c r="H549" s="2"/>
      <c r="L549" s="1"/>
      <c r="M549" s="1"/>
      <c r="N549" s="3"/>
    </row>
    <row r="550" spans="4:14" ht="15.75" customHeight="1">
      <c r="D550" s="1"/>
      <c r="E550" s="1"/>
      <c r="H550" s="2"/>
      <c r="L550" s="1"/>
      <c r="M550" s="1"/>
      <c r="N550" s="3"/>
    </row>
    <row r="551" spans="4:14" ht="15.75" customHeight="1">
      <c r="D551" s="1"/>
      <c r="E551" s="1"/>
      <c r="H551" s="2"/>
      <c r="L551" s="1"/>
      <c r="M551" s="1"/>
      <c r="N551" s="3"/>
    </row>
    <row r="552" spans="4:14" ht="15.75" customHeight="1">
      <c r="D552" s="1"/>
      <c r="E552" s="1"/>
      <c r="H552" s="2"/>
      <c r="L552" s="1"/>
      <c r="M552" s="1"/>
      <c r="N552" s="3"/>
    </row>
    <row r="553" spans="4:14" ht="15.75" customHeight="1">
      <c r="D553" s="1"/>
      <c r="E553" s="1"/>
      <c r="H553" s="2"/>
      <c r="L553" s="1"/>
      <c r="M553" s="1"/>
      <c r="N553" s="3"/>
    </row>
    <row r="554" spans="4:14" ht="15.75" customHeight="1">
      <c r="D554" s="1"/>
      <c r="E554" s="1"/>
      <c r="H554" s="2"/>
      <c r="L554" s="1"/>
      <c r="M554" s="1"/>
      <c r="N554" s="3"/>
    </row>
    <row r="555" spans="4:14" ht="15.75" customHeight="1">
      <c r="D555" s="1"/>
      <c r="E555" s="1"/>
      <c r="H555" s="2"/>
      <c r="L555" s="1"/>
      <c r="M555" s="1"/>
      <c r="N555" s="3"/>
    </row>
    <row r="556" spans="4:14" ht="15.75" customHeight="1">
      <c r="D556" s="1"/>
      <c r="E556" s="1"/>
      <c r="H556" s="2"/>
      <c r="L556" s="1"/>
      <c r="M556" s="1"/>
      <c r="N556" s="3"/>
    </row>
    <row r="557" spans="4:14" ht="15.75" customHeight="1">
      <c r="D557" s="1"/>
      <c r="E557" s="1"/>
      <c r="H557" s="2"/>
      <c r="L557" s="1"/>
      <c r="M557" s="1"/>
      <c r="N557" s="3"/>
    </row>
    <row r="558" spans="4:14" ht="15.75" customHeight="1">
      <c r="D558" s="1"/>
      <c r="E558" s="1"/>
      <c r="H558" s="2"/>
      <c r="L558" s="1"/>
      <c r="M558" s="1"/>
      <c r="N558" s="3"/>
    </row>
    <row r="559" spans="4:14" ht="15.75" customHeight="1">
      <c r="D559" s="1"/>
      <c r="E559" s="1"/>
      <c r="H559" s="2"/>
      <c r="L559" s="1"/>
      <c r="M559" s="1"/>
      <c r="N559" s="3"/>
    </row>
    <row r="560" spans="4:14" ht="15.75" customHeight="1">
      <c r="D560" s="1"/>
      <c r="E560" s="1"/>
      <c r="H560" s="2"/>
      <c r="L560" s="1"/>
      <c r="M560" s="1"/>
      <c r="N560" s="3"/>
    </row>
    <row r="561" spans="4:14" ht="15.75" customHeight="1">
      <c r="D561" s="1"/>
      <c r="E561" s="1"/>
      <c r="H561" s="2"/>
      <c r="L561" s="1"/>
      <c r="M561" s="1"/>
      <c r="N561" s="3"/>
    </row>
    <row r="562" spans="4:14" ht="15.75" customHeight="1">
      <c r="D562" s="1"/>
      <c r="E562" s="1"/>
      <c r="H562" s="2"/>
      <c r="L562" s="1"/>
      <c r="M562" s="1"/>
      <c r="N562" s="3"/>
    </row>
    <row r="563" spans="4:14" ht="15.75" customHeight="1">
      <c r="D563" s="1"/>
      <c r="E563" s="1"/>
      <c r="H563" s="2"/>
      <c r="L563" s="1"/>
      <c r="M563" s="1"/>
      <c r="N563" s="3"/>
    </row>
    <row r="564" spans="4:14" ht="15.75" customHeight="1">
      <c r="D564" s="1"/>
      <c r="E564" s="1"/>
      <c r="H564" s="2"/>
      <c r="L564" s="1"/>
      <c r="M564" s="1"/>
      <c r="N564" s="3"/>
    </row>
    <row r="565" spans="4:14" ht="15.75" customHeight="1">
      <c r="D565" s="1"/>
      <c r="E565" s="1"/>
      <c r="H565" s="2"/>
      <c r="L565" s="1"/>
      <c r="M565" s="1"/>
      <c r="N565" s="3"/>
    </row>
    <row r="566" spans="4:14" ht="15.75" customHeight="1">
      <c r="D566" s="1"/>
      <c r="E566" s="1"/>
      <c r="H566" s="2"/>
      <c r="L566" s="1"/>
      <c r="M566" s="1"/>
      <c r="N566" s="3"/>
    </row>
    <row r="567" spans="4:14" ht="15.75" customHeight="1">
      <c r="D567" s="1"/>
      <c r="E567" s="1"/>
      <c r="H567" s="2"/>
      <c r="L567" s="1"/>
      <c r="M567" s="1"/>
      <c r="N567" s="3"/>
    </row>
    <row r="568" spans="4:14" ht="15.75" customHeight="1">
      <c r="D568" s="1"/>
      <c r="E568" s="1"/>
      <c r="H568" s="2"/>
      <c r="L568" s="1"/>
      <c r="M568" s="1"/>
      <c r="N568" s="3"/>
    </row>
    <row r="569" spans="4:14" ht="15.75" customHeight="1">
      <c r="D569" s="1"/>
      <c r="E569" s="1"/>
      <c r="H569" s="2"/>
      <c r="L569" s="1"/>
      <c r="M569" s="1"/>
      <c r="N569" s="3"/>
    </row>
    <row r="570" spans="4:14" ht="15.75" customHeight="1">
      <c r="D570" s="1"/>
      <c r="E570" s="1"/>
      <c r="H570" s="2"/>
      <c r="L570" s="1"/>
      <c r="M570" s="1"/>
      <c r="N570" s="3"/>
    </row>
    <row r="571" spans="4:14" ht="15.75" customHeight="1">
      <c r="D571" s="1"/>
      <c r="E571" s="1"/>
      <c r="H571" s="2"/>
      <c r="L571" s="1"/>
      <c r="M571" s="1"/>
      <c r="N571" s="3"/>
    </row>
    <row r="572" spans="4:14" ht="15.75" customHeight="1">
      <c r="D572" s="1"/>
      <c r="E572" s="1"/>
      <c r="H572" s="2"/>
      <c r="L572" s="1"/>
      <c r="M572" s="1"/>
      <c r="N572" s="3"/>
    </row>
    <row r="573" spans="4:14" ht="15.75" customHeight="1">
      <c r="D573" s="1"/>
      <c r="E573" s="1"/>
      <c r="H573" s="2"/>
      <c r="L573" s="1"/>
      <c r="M573" s="1"/>
      <c r="N573" s="3"/>
    </row>
    <row r="574" spans="4:14" ht="15.75" customHeight="1">
      <c r="D574" s="1"/>
      <c r="E574" s="1"/>
      <c r="H574" s="2"/>
      <c r="L574" s="1"/>
      <c r="M574" s="1"/>
      <c r="N574" s="3"/>
    </row>
    <row r="575" spans="4:14" ht="15.75" customHeight="1">
      <c r="D575" s="1"/>
      <c r="E575" s="1"/>
      <c r="H575" s="2"/>
      <c r="L575" s="1"/>
      <c r="M575" s="1"/>
      <c r="N575" s="3"/>
    </row>
    <row r="576" spans="4:14" ht="15.75" customHeight="1">
      <c r="D576" s="1"/>
      <c r="E576" s="1"/>
      <c r="H576" s="2"/>
      <c r="L576" s="1"/>
      <c r="M576" s="1"/>
      <c r="N576" s="3"/>
    </row>
    <row r="577" spans="4:14" ht="15.75" customHeight="1">
      <c r="D577" s="1"/>
      <c r="E577" s="1"/>
      <c r="H577" s="2"/>
      <c r="L577" s="1"/>
      <c r="M577" s="1"/>
      <c r="N577" s="3"/>
    </row>
    <row r="578" spans="4:14" ht="15.75" customHeight="1">
      <c r="D578" s="1"/>
      <c r="E578" s="1"/>
      <c r="H578" s="2"/>
      <c r="L578" s="1"/>
      <c r="M578" s="1"/>
      <c r="N578" s="3"/>
    </row>
    <row r="579" spans="4:14" ht="15.75" customHeight="1">
      <c r="D579" s="1"/>
      <c r="E579" s="1"/>
      <c r="H579" s="2"/>
      <c r="L579" s="1"/>
      <c r="M579" s="1"/>
      <c r="N579" s="3"/>
    </row>
    <row r="580" spans="4:14" ht="15.75" customHeight="1">
      <c r="D580" s="1"/>
      <c r="E580" s="1"/>
      <c r="H580" s="2"/>
      <c r="L580" s="1"/>
      <c r="M580" s="1"/>
      <c r="N580" s="3"/>
    </row>
    <row r="581" spans="4:14" ht="15.75" customHeight="1">
      <c r="D581" s="1"/>
      <c r="E581" s="1"/>
      <c r="H581" s="2"/>
      <c r="L581" s="1"/>
      <c r="M581" s="1"/>
      <c r="N581" s="3"/>
    </row>
    <row r="582" spans="4:14" ht="15.75" customHeight="1">
      <c r="D582" s="1"/>
      <c r="E582" s="1"/>
      <c r="H582" s="2"/>
      <c r="L582" s="1"/>
      <c r="M582" s="1"/>
      <c r="N582" s="3"/>
    </row>
    <row r="583" spans="4:14" ht="15.75" customHeight="1">
      <c r="D583" s="1"/>
      <c r="E583" s="1"/>
      <c r="H583" s="2"/>
      <c r="L583" s="1"/>
      <c r="M583" s="1"/>
      <c r="N583" s="3"/>
    </row>
    <row r="584" spans="4:14" ht="15.75" customHeight="1">
      <c r="D584" s="1"/>
      <c r="E584" s="1"/>
      <c r="H584" s="2"/>
      <c r="L584" s="1"/>
      <c r="M584" s="1"/>
      <c r="N584" s="3"/>
    </row>
    <row r="585" spans="4:14" ht="15.75" customHeight="1">
      <c r="D585" s="1"/>
      <c r="E585" s="1"/>
      <c r="H585" s="2"/>
      <c r="L585" s="1"/>
      <c r="M585" s="1"/>
      <c r="N585" s="3"/>
    </row>
    <row r="586" spans="4:14" ht="15.75" customHeight="1">
      <c r="D586" s="1"/>
      <c r="E586" s="1"/>
      <c r="H586" s="2"/>
      <c r="L586" s="1"/>
      <c r="M586" s="1"/>
      <c r="N586" s="3"/>
    </row>
    <row r="587" spans="4:14" ht="15.75" customHeight="1">
      <c r="D587" s="1"/>
      <c r="E587" s="1"/>
      <c r="H587" s="2"/>
      <c r="L587" s="1"/>
      <c r="M587" s="1"/>
      <c r="N587" s="3"/>
    </row>
    <row r="588" spans="4:14" ht="15.75" customHeight="1">
      <c r="D588" s="1"/>
      <c r="E588" s="1"/>
      <c r="H588" s="2"/>
      <c r="L588" s="1"/>
      <c r="M588" s="1"/>
      <c r="N588" s="3"/>
    </row>
    <row r="589" spans="4:14" ht="15.75" customHeight="1">
      <c r="D589" s="1"/>
      <c r="E589" s="1"/>
      <c r="H589" s="2"/>
      <c r="L589" s="1"/>
      <c r="M589" s="1"/>
      <c r="N589" s="3"/>
    </row>
    <row r="590" spans="4:14" ht="15.75" customHeight="1">
      <c r="D590" s="1"/>
      <c r="E590" s="1"/>
      <c r="H590" s="2"/>
      <c r="L590" s="1"/>
      <c r="M590" s="1"/>
      <c r="N590" s="3"/>
    </row>
    <row r="591" spans="4:14" ht="15.75" customHeight="1">
      <c r="D591" s="1"/>
      <c r="E591" s="1"/>
      <c r="H591" s="2"/>
      <c r="L591" s="1"/>
      <c r="M591" s="1"/>
      <c r="N591" s="3"/>
    </row>
    <row r="592" spans="4:14" ht="15.75" customHeight="1">
      <c r="D592" s="1"/>
      <c r="E592" s="1"/>
      <c r="H592" s="2"/>
      <c r="L592" s="1"/>
      <c r="M592" s="1"/>
      <c r="N592" s="3"/>
    </row>
    <row r="593" spans="4:14" ht="15.75" customHeight="1">
      <c r="D593" s="1"/>
      <c r="E593" s="1"/>
      <c r="H593" s="2"/>
      <c r="L593" s="1"/>
      <c r="M593" s="1"/>
      <c r="N593" s="3"/>
    </row>
    <row r="594" spans="4:14" ht="15.75" customHeight="1">
      <c r="D594" s="1"/>
      <c r="E594" s="1"/>
      <c r="H594" s="2"/>
      <c r="L594" s="1"/>
      <c r="M594" s="1"/>
      <c r="N594" s="3"/>
    </row>
    <row r="595" spans="4:14" ht="15.75" customHeight="1">
      <c r="D595" s="1"/>
      <c r="E595" s="1"/>
      <c r="H595" s="2"/>
      <c r="L595" s="1"/>
      <c r="M595" s="1"/>
      <c r="N595" s="3"/>
    </row>
    <row r="596" spans="4:14" ht="15.75" customHeight="1">
      <c r="D596" s="1"/>
      <c r="E596" s="1"/>
      <c r="H596" s="2"/>
      <c r="L596" s="1"/>
      <c r="M596" s="1"/>
      <c r="N596" s="3"/>
    </row>
    <row r="597" spans="4:14" ht="15.75" customHeight="1">
      <c r="D597" s="1"/>
      <c r="E597" s="1"/>
      <c r="H597" s="2"/>
      <c r="L597" s="1"/>
      <c r="M597" s="1"/>
      <c r="N597" s="3"/>
    </row>
    <row r="598" spans="4:14" ht="15.75" customHeight="1">
      <c r="D598" s="1"/>
      <c r="E598" s="1"/>
      <c r="H598" s="2"/>
      <c r="L598" s="1"/>
      <c r="M598" s="1"/>
      <c r="N598" s="3"/>
    </row>
    <row r="599" spans="4:14" ht="15.75" customHeight="1">
      <c r="D599" s="1"/>
      <c r="E599" s="1"/>
      <c r="H599" s="2"/>
      <c r="L599" s="1"/>
      <c r="M599" s="1"/>
      <c r="N599" s="3"/>
    </row>
    <row r="600" spans="4:14" ht="15.75" customHeight="1">
      <c r="D600" s="1"/>
      <c r="E600" s="1"/>
      <c r="H600" s="2"/>
      <c r="L600" s="1"/>
      <c r="M600" s="1"/>
      <c r="N600" s="3"/>
    </row>
    <row r="601" spans="4:14" ht="15.75" customHeight="1">
      <c r="D601" s="1"/>
      <c r="E601" s="1"/>
      <c r="H601" s="2"/>
      <c r="L601" s="1"/>
      <c r="M601" s="1"/>
      <c r="N601" s="3"/>
    </row>
    <row r="602" spans="4:14" ht="15.75" customHeight="1">
      <c r="D602" s="1"/>
      <c r="E602" s="1"/>
      <c r="H602" s="2"/>
      <c r="L602" s="1"/>
      <c r="M602" s="1"/>
      <c r="N602" s="3"/>
    </row>
    <row r="603" spans="4:14" ht="15.75" customHeight="1">
      <c r="D603" s="1"/>
      <c r="E603" s="1"/>
      <c r="H603" s="2"/>
      <c r="L603" s="1"/>
      <c r="M603" s="1"/>
      <c r="N603" s="3"/>
    </row>
    <row r="604" spans="4:14" ht="15.75" customHeight="1">
      <c r="D604" s="1"/>
      <c r="E604" s="1"/>
      <c r="H604" s="2"/>
      <c r="L604" s="1"/>
      <c r="M604" s="1"/>
      <c r="N604" s="3"/>
    </row>
    <row r="605" spans="4:14" ht="15.75" customHeight="1">
      <c r="D605" s="1"/>
      <c r="E605" s="1"/>
      <c r="H605" s="2"/>
      <c r="L605" s="1"/>
      <c r="M605" s="1"/>
      <c r="N605" s="3"/>
    </row>
    <row r="606" spans="4:14" ht="15.75" customHeight="1">
      <c r="D606" s="1"/>
      <c r="E606" s="1"/>
      <c r="H606" s="2"/>
      <c r="L606" s="1"/>
      <c r="M606" s="1"/>
      <c r="N606" s="3"/>
    </row>
    <row r="607" spans="4:14" ht="15.75" customHeight="1">
      <c r="D607" s="1"/>
      <c r="E607" s="1"/>
      <c r="H607" s="2"/>
      <c r="L607" s="1"/>
      <c r="M607" s="1"/>
      <c r="N607" s="3"/>
    </row>
    <row r="608" spans="4:14" ht="15.75" customHeight="1">
      <c r="D608" s="1"/>
      <c r="E608" s="1"/>
      <c r="H608" s="2"/>
      <c r="L608" s="1"/>
      <c r="M608" s="1"/>
      <c r="N608" s="3"/>
    </row>
    <row r="609" spans="4:14" ht="15.75" customHeight="1">
      <c r="D609" s="1"/>
      <c r="E609" s="1"/>
      <c r="H609" s="2"/>
      <c r="L609" s="1"/>
      <c r="M609" s="1"/>
      <c r="N609" s="3"/>
    </row>
    <row r="610" spans="4:14" ht="15.75" customHeight="1">
      <c r="D610" s="1"/>
      <c r="E610" s="1"/>
      <c r="H610" s="2"/>
      <c r="L610" s="1"/>
      <c r="M610" s="1"/>
      <c r="N610" s="3"/>
    </row>
    <row r="611" spans="4:14" ht="15.75" customHeight="1">
      <c r="D611" s="1"/>
      <c r="E611" s="1"/>
      <c r="H611" s="2"/>
      <c r="L611" s="1"/>
      <c r="M611" s="1"/>
      <c r="N611" s="3"/>
    </row>
    <row r="612" spans="4:14" ht="15.75" customHeight="1">
      <c r="D612" s="1"/>
      <c r="E612" s="1"/>
      <c r="H612" s="2"/>
      <c r="L612" s="1"/>
      <c r="M612" s="1"/>
      <c r="N612" s="3"/>
    </row>
    <row r="613" spans="4:14" ht="15.75" customHeight="1">
      <c r="D613" s="1"/>
      <c r="E613" s="1"/>
      <c r="H613" s="2"/>
      <c r="L613" s="1"/>
      <c r="M613" s="1"/>
      <c r="N613" s="3"/>
    </row>
    <row r="614" spans="4:14" ht="15.75" customHeight="1">
      <c r="D614" s="1"/>
      <c r="E614" s="1"/>
      <c r="H614" s="2"/>
      <c r="L614" s="1"/>
      <c r="M614" s="1"/>
      <c r="N614" s="3"/>
    </row>
    <row r="615" spans="4:14" ht="15.75" customHeight="1">
      <c r="D615" s="1"/>
      <c r="E615" s="1"/>
      <c r="H615" s="2"/>
      <c r="L615" s="1"/>
      <c r="M615" s="1"/>
      <c r="N615" s="3"/>
    </row>
    <row r="616" spans="4:14" ht="15.75" customHeight="1">
      <c r="D616" s="1"/>
      <c r="E616" s="1"/>
      <c r="H616" s="2"/>
      <c r="L616" s="1"/>
      <c r="M616" s="1"/>
      <c r="N616" s="3"/>
    </row>
    <row r="617" spans="4:14" ht="15.75" customHeight="1">
      <c r="D617" s="1"/>
      <c r="E617" s="1"/>
      <c r="H617" s="2"/>
      <c r="L617" s="1"/>
      <c r="M617" s="1"/>
      <c r="N617" s="3"/>
    </row>
    <row r="618" spans="4:14" ht="15.75" customHeight="1">
      <c r="D618" s="1"/>
      <c r="E618" s="1"/>
      <c r="H618" s="2"/>
      <c r="L618" s="1"/>
      <c r="M618" s="1"/>
      <c r="N618" s="3"/>
    </row>
    <row r="619" spans="4:14" ht="15.75" customHeight="1">
      <c r="D619" s="1"/>
      <c r="E619" s="1"/>
      <c r="H619" s="2"/>
      <c r="L619" s="1"/>
      <c r="M619" s="1"/>
      <c r="N619" s="3"/>
    </row>
    <row r="620" spans="4:14" ht="15.75" customHeight="1">
      <c r="D620" s="1"/>
      <c r="E620" s="1"/>
      <c r="H620" s="2"/>
      <c r="L620" s="1"/>
      <c r="M620" s="1"/>
      <c r="N620" s="3"/>
    </row>
    <row r="621" spans="4:14" ht="15.75" customHeight="1">
      <c r="D621" s="1"/>
      <c r="E621" s="1"/>
      <c r="H621" s="2"/>
      <c r="L621" s="1"/>
      <c r="M621" s="1"/>
      <c r="N621" s="3"/>
    </row>
    <row r="622" spans="4:14" ht="15.75" customHeight="1">
      <c r="D622" s="1"/>
      <c r="E622" s="1"/>
      <c r="H622" s="2"/>
      <c r="L622" s="1"/>
      <c r="M622" s="1"/>
      <c r="N622" s="3"/>
    </row>
    <row r="623" spans="4:14" ht="15.75" customHeight="1">
      <c r="D623" s="1"/>
      <c r="E623" s="1"/>
      <c r="H623" s="2"/>
      <c r="L623" s="1"/>
      <c r="M623" s="1"/>
      <c r="N623" s="3"/>
    </row>
    <row r="624" spans="4:14" ht="15.75" customHeight="1">
      <c r="D624" s="1"/>
      <c r="E624" s="1"/>
      <c r="H624" s="2"/>
      <c r="L624" s="1"/>
      <c r="M624" s="1"/>
      <c r="N624" s="3"/>
    </row>
    <row r="625" spans="4:14" ht="15.75" customHeight="1">
      <c r="D625" s="1"/>
      <c r="E625" s="1"/>
      <c r="H625" s="2"/>
      <c r="L625" s="1"/>
      <c r="M625" s="1"/>
      <c r="N625" s="3"/>
    </row>
    <row r="626" spans="4:14" ht="15.75" customHeight="1">
      <c r="D626" s="1"/>
      <c r="E626" s="1"/>
      <c r="H626" s="2"/>
      <c r="L626" s="1"/>
      <c r="M626" s="1"/>
      <c r="N626" s="3"/>
    </row>
    <row r="627" spans="4:14" ht="15.75" customHeight="1">
      <c r="D627" s="1"/>
      <c r="E627" s="1"/>
      <c r="H627" s="2"/>
      <c r="L627" s="1"/>
      <c r="M627" s="1"/>
      <c r="N627" s="3"/>
    </row>
    <row r="628" spans="4:14" ht="15.75" customHeight="1">
      <c r="D628" s="1"/>
      <c r="E628" s="1"/>
      <c r="H628" s="2"/>
      <c r="L628" s="1"/>
      <c r="M628" s="1"/>
      <c r="N628" s="3"/>
    </row>
    <row r="629" spans="4:14" ht="15.75" customHeight="1">
      <c r="D629" s="1"/>
      <c r="E629" s="1"/>
      <c r="H629" s="2"/>
      <c r="L629" s="1"/>
      <c r="M629" s="1"/>
      <c r="N629" s="3"/>
    </row>
    <row r="630" spans="4:14" ht="15.75" customHeight="1">
      <c r="D630" s="1"/>
      <c r="E630" s="1"/>
      <c r="H630" s="2"/>
      <c r="L630" s="1"/>
      <c r="M630" s="1"/>
      <c r="N630" s="3"/>
    </row>
    <row r="631" spans="4:14" ht="15.75" customHeight="1">
      <c r="D631" s="1"/>
      <c r="E631" s="1"/>
      <c r="H631" s="2"/>
      <c r="L631" s="1"/>
      <c r="M631" s="1"/>
      <c r="N631" s="3"/>
    </row>
    <row r="632" spans="4:14" ht="15.75" customHeight="1">
      <c r="D632" s="1"/>
      <c r="E632" s="1"/>
      <c r="H632" s="2"/>
      <c r="L632" s="1"/>
      <c r="M632" s="1"/>
      <c r="N632" s="3"/>
    </row>
    <row r="633" spans="4:14" ht="15.75" customHeight="1">
      <c r="D633" s="1"/>
      <c r="E633" s="1"/>
      <c r="H633" s="2"/>
      <c r="L633" s="1"/>
      <c r="M633" s="1"/>
      <c r="N633" s="3"/>
    </row>
    <row r="634" spans="4:14" ht="15.75" customHeight="1">
      <c r="D634" s="1"/>
      <c r="E634" s="1"/>
      <c r="H634" s="2"/>
      <c r="L634" s="1"/>
      <c r="M634" s="1"/>
      <c r="N634" s="3"/>
    </row>
    <row r="635" spans="4:14" ht="15.75" customHeight="1">
      <c r="D635" s="1"/>
      <c r="E635" s="1"/>
      <c r="H635" s="2"/>
      <c r="L635" s="1"/>
      <c r="M635" s="1"/>
      <c r="N635" s="3"/>
    </row>
    <row r="636" spans="4:14" ht="15.75" customHeight="1">
      <c r="D636" s="1"/>
      <c r="E636" s="1"/>
      <c r="H636" s="2"/>
      <c r="L636" s="1"/>
      <c r="M636" s="1"/>
      <c r="N636" s="3"/>
    </row>
    <row r="637" spans="4:14" ht="15.75" customHeight="1">
      <c r="D637" s="1"/>
      <c r="E637" s="1"/>
      <c r="H637" s="2"/>
      <c r="L637" s="1"/>
      <c r="M637" s="1"/>
      <c r="N637" s="3"/>
    </row>
    <row r="638" spans="4:14" ht="15.75" customHeight="1">
      <c r="D638" s="1"/>
      <c r="E638" s="1"/>
      <c r="H638" s="2"/>
      <c r="L638" s="1"/>
      <c r="M638" s="1"/>
      <c r="N638" s="3"/>
    </row>
    <row r="639" spans="4:14" ht="15.75" customHeight="1">
      <c r="D639" s="1"/>
      <c r="E639" s="1"/>
      <c r="H639" s="2"/>
      <c r="L639" s="1"/>
      <c r="M639" s="1"/>
      <c r="N639" s="3"/>
    </row>
    <row r="640" spans="4:14" ht="15.75" customHeight="1">
      <c r="D640" s="1"/>
      <c r="E640" s="1"/>
      <c r="H640" s="2"/>
      <c r="L640" s="1"/>
      <c r="M640" s="1"/>
      <c r="N640" s="3"/>
    </row>
    <row r="641" spans="4:14" ht="15.75" customHeight="1">
      <c r="D641" s="1"/>
      <c r="E641" s="1"/>
      <c r="H641" s="2"/>
      <c r="L641" s="1"/>
      <c r="M641" s="1"/>
      <c r="N641" s="3"/>
    </row>
    <row r="642" spans="4:14" ht="15.75" customHeight="1">
      <c r="D642" s="1"/>
      <c r="E642" s="1"/>
      <c r="H642" s="2"/>
      <c r="L642" s="1"/>
      <c r="M642" s="1"/>
      <c r="N642" s="3"/>
    </row>
    <row r="643" spans="4:14" ht="15.75" customHeight="1">
      <c r="D643" s="1"/>
      <c r="E643" s="1"/>
      <c r="H643" s="2"/>
      <c r="L643" s="1"/>
      <c r="M643" s="1"/>
      <c r="N643" s="3"/>
    </row>
    <row r="644" spans="4:14" ht="15.75" customHeight="1">
      <c r="D644" s="1"/>
      <c r="E644" s="1"/>
      <c r="H644" s="2"/>
      <c r="L644" s="1"/>
      <c r="M644" s="1"/>
      <c r="N644" s="3"/>
    </row>
    <row r="645" spans="4:14" ht="15.75" customHeight="1">
      <c r="D645" s="1"/>
      <c r="E645" s="1"/>
      <c r="H645" s="2"/>
      <c r="L645" s="1"/>
      <c r="M645" s="1"/>
      <c r="N645" s="3"/>
    </row>
    <row r="646" spans="4:14" ht="15.75" customHeight="1">
      <c r="D646" s="1"/>
      <c r="E646" s="1"/>
      <c r="H646" s="2"/>
      <c r="L646" s="1"/>
      <c r="M646" s="1"/>
      <c r="N646" s="3"/>
    </row>
    <row r="647" spans="4:14" ht="15.75" customHeight="1">
      <c r="D647" s="1"/>
      <c r="E647" s="1"/>
      <c r="H647" s="2"/>
      <c r="L647" s="1"/>
      <c r="M647" s="1"/>
      <c r="N647" s="3"/>
    </row>
    <row r="648" spans="4:14" ht="15.75" customHeight="1">
      <c r="D648" s="1"/>
      <c r="E648" s="1"/>
      <c r="H648" s="2"/>
      <c r="L648" s="1"/>
      <c r="M648" s="1"/>
      <c r="N648" s="3"/>
    </row>
    <row r="649" spans="4:14" ht="15.75" customHeight="1">
      <c r="D649" s="1"/>
      <c r="E649" s="1"/>
      <c r="H649" s="2"/>
      <c r="L649" s="1"/>
      <c r="M649" s="1"/>
      <c r="N649" s="3"/>
    </row>
    <row r="650" spans="4:14" ht="15.75" customHeight="1">
      <c r="D650" s="1"/>
      <c r="E650" s="1"/>
      <c r="H650" s="2"/>
      <c r="L650" s="1"/>
      <c r="M650" s="1"/>
      <c r="N650" s="3"/>
    </row>
    <row r="651" spans="4:14" ht="15.75" customHeight="1">
      <c r="D651" s="1"/>
      <c r="E651" s="1"/>
      <c r="H651" s="2"/>
      <c r="L651" s="1"/>
      <c r="M651" s="1"/>
      <c r="N651" s="3"/>
    </row>
    <row r="652" spans="4:14" ht="15.75" customHeight="1">
      <c r="D652" s="1"/>
      <c r="E652" s="1"/>
      <c r="H652" s="2"/>
      <c r="L652" s="1"/>
      <c r="M652" s="1"/>
      <c r="N652" s="3"/>
    </row>
    <row r="653" spans="4:14" ht="15.75" customHeight="1">
      <c r="D653" s="1"/>
      <c r="E653" s="1"/>
      <c r="H653" s="2"/>
      <c r="L653" s="1"/>
      <c r="M653" s="1"/>
      <c r="N653" s="3"/>
    </row>
    <row r="654" spans="4:14" ht="15.75" customHeight="1">
      <c r="D654" s="1"/>
      <c r="E654" s="1"/>
      <c r="H654" s="2"/>
      <c r="L654" s="1"/>
      <c r="M654" s="1"/>
      <c r="N654" s="3"/>
    </row>
    <row r="655" spans="4:14" ht="15.75" customHeight="1">
      <c r="D655" s="1"/>
      <c r="E655" s="1"/>
      <c r="H655" s="2"/>
      <c r="L655" s="1"/>
      <c r="M655" s="1"/>
      <c r="N655" s="3"/>
    </row>
    <row r="656" spans="4:14" ht="15.75" customHeight="1">
      <c r="D656" s="1"/>
      <c r="E656" s="1"/>
      <c r="H656" s="2"/>
      <c r="L656" s="1"/>
      <c r="M656" s="1"/>
      <c r="N656" s="3"/>
    </row>
    <row r="657" spans="4:14" ht="15.75" customHeight="1">
      <c r="D657" s="1"/>
      <c r="E657" s="1"/>
      <c r="H657" s="2"/>
      <c r="L657" s="1"/>
      <c r="M657" s="1"/>
      <c r="N657" s="3"/>
    </row>
    <row r="658" spans="4:14" ht="15.75" customHeight="1">
      <c r="D658" s="1"/>
      <c r="E658" s="1"/>
      <c r="H658" s="2"/>
      <c r="L658" s="1"/>
      <c r="M658" s="1"/>
      <c r="N658" s="3"/>
    </row>
    <row r="659" spans="4:14" ht="15.75" customHeight="1">
      <c r="D659" s="1"/>
      <c r="E659" s="1"/>
      <c r="H659" s="2"/>
      <c r="L659" s="1"/>
      <c r="M659" s="1"/>
      <c r="N659" s="3"/>
    </row>
    <row r="660" spans="4:14" ht="15.75" customHeight="1">
      <c r="D660" s="1"/>
      <c r="E660" s="1"/>
      <c r="H660" s="2"/>
      <c r="L660" s="1"/>
      <c r="M660" s="1"/>
      <c r="N660" s="3"/>
    </row>
    <row r="661" spans="4:14" ht="15.75" customHeight="1">
      <c r="D661" s="1"/>
      <c r="E661" s="1"/>
      <c r="H661" s="2"/>
      <c r="L661" s="1"/>
      <c r="M661" s="1"/>
      <c r="N661" s="3"/>
    </row>
    <row r="662" spans="4:14" ht="15.75" customHeight="1">
      <c r="D662" s="1"/>
      <c r="E662" s="1"/>
      <c r="H662" s="2"/>
      <c r="L662" s="1"/>
      <c r="M662" s="1"/>
      <c r="N662" s="3"/>
    </row>
    <row r="663" spans="4:14" ht="15.75" customHeight="1">
      <c r="D663" s="1"/>
      <c r="E663" s="1"/>
      <c r="H663" s="2"/>
      <c r="L663" s="1"/>
      <c r="M663" s="1"/>
      <c r="N663" s="3"/>
    </row>
    <row r="664" spans="4:14" ht="15.75" customHeight="1">
      <c r="D664" s="1"/>
      <c r="E664" s="1"/>
      <c r="H664" s="2"/>
      <c r="L664" s="1"/>
      <c r="M664" s="1"/>
      <c r="N664" s="3"/>
    </row>
    <row r="665" spans="4:14" ht="15.75" customHeight="1">
      <c r="D665" s="1"/>
      <c r="E665" s="1"/>
      <c r="H665" s="2"/>
      <c r="L665" s="1"/>
      <c r="M665" s="1"/>
      <c r="N665" s="3"/>
    </row>
    <row r="666" spans="4:14" ht="15.75" customHeight="1">
      <c r="D666" s="1"/>
      <c r="E666" s="1"/>
      <c r="H666" s="2"/>
      <c r="L666" s="1"/>
      <c r="M666" s="1"/>
      <c r="N666" s="3"/>
    </row>
    <row r="667" spans="4:14" ht="15.75" customHeight="1">
      <c r="D667" s="1"/>
      <c r="E667" s="1"/>
      <c r="H667" s="2"/>
      <c r="L667" s="1"/>
      <c r="M667" s="1"/>
      <c r="N667" s="3"/>
    </row>
    <row r="668" spans="4:14" ht="15.75" customHeight="1">
      <c r="D668" s="1"/>
      <c r="E668" s="1"/>
      <c r="H668" s="2"/>
      <c r="L668" s="1"/>
      <c r="M668" s="1"/>
      <c r="N668" s="3"/>
    </row>
    <row r="669" spans="4:14" ht="15.75" customHeight="1">
      <c r="D669" s="1"/>
      <c r="E669" s="1"/>
      <c r="H669" s="2"/>
      <c r="L669" s="1"/>
      <c r="M669" s="1"/>
      <c r="N669" s="3"/>
    </row>
    <row r="670" spans="4:14" ht="15.75" customHeight="1">
      <c r="D670" s="1"/>
      <c r="E670" s="1"/>
      <c r="H670" s="2"/>
      <c r="L670" s="1"/>
      <c r="M670" s="1"/>
      <c r="N670" s="3"/>
    </row>
    <row r="671" spans="4:14" ht="15.75" customHeight="1">
      <c r="D671" s="1"/>
      <c r="E671" s="1"/>
      <c r="H671" s="2"/>
      <c r="L671" s="1"/>
      <c r="M671" s="1"/>
      <c r="N671" s="3"/>
    </row>
    <row r="672" spans="4:14" ht="15.75" customHeight="1">
      <c r="D672" s="1"/>
      <c r="E672" s="1"/>
      <c r="H672" s="2"/>
      <c r="L672" s="1"/>
      <c r="M672" s="1"/>
      <c r="N672" s="3"/>
    </row>
    <row r="673" spans="4:14" ht="15.75" customHeight="1">
      <c r="D673" s="1"/>
      <c r="E673" s="1"/>
      <c r="H673" s="2"/>
      <c r="L673" s="1"/>
      <c r="M673" s="1"/>
      <c r="N673" s="3"/>
    </row>
    <row r="674" spans="4:14" ht="15.75" customHeight="1">
      <c r="D674" s="1"/>
      <c r="E674" s="1"/>
      <c r="H674" s="2"/>
      <c r="L674" s="1"/>
      <c r="M674" s="1"/>
      <c r="N674" s="3"/>
    </row>
    <row r="675" spans="4:14" ht="15.75" customHeight="1">
      <c r="D675" s="1"/>
      <c r="E675" s="1"/>
      <c r="H675" s="2"/>
      <c r="L675" s="1"/>
      <c r="M675" s="1"/>
      <c r="N675" s="3"/>
    </row>
    <row r="676" spans="4:14" ht="15.75" customHeight="1">
      <c r="D676" s="1"/>
      <c r="E676" s="1"/>
      <c r="H676" s="2"/>
      <c r="L676" s="1"/>
      <c r="M676" s="1"/>
      <c r="N676" s="3"/>
    </row>
    <row r="677" spans="4:14" ht="15.75" customHeight="1">
      <c r="D677" s="1"/>
      <c r="E677" s="1"/>
      <c r="H677" s="2"/>
      <c r="L677" s="1"/>
      <c r="M677" s="1"/>
      <c r="N677" s="3"/>
    </row>
    <row r="678" spans="4:14" ht="15.75" customHeight="1">
      <c r="D678" s="1"/>
      <c r="E678" s="1"/>
      <c r="H678" s="2"/>
      <c r="L678" s="1"/>
      <c r="M678" s="1"/>
      <c r="N678" s="3"/>
    </row>
    <row r="679" spans="4:14" ht="15.75" customHeight="1">
      <c r="D679" s="1"/>
      <c r="E679" s="1"/>
      <c r="H679" s="2"/>
      <c r="L679" s="1"/>
      <c r="M679" s="1"/>
      <c r="N679" s="3"/>
    </row>
    <row r="680" spans="4:14" ht="15.75" customHeight="1">
      <c r="D680" s="1"/>
      <c r="E680" s="1"/>
      <c r="H680" s="2"/>
      <c r="L680" s="1"/>
      <c r="M680" s="1"/>
      <c r="N680" s="3"/>
    </row>
    <row r="681" spans="4:14" ht="15.75" customHeight="1">
      <c r="D681" s="1"/>
      <c r="E681" s="1"/>
      <c r="H681" s="2"/>
      <c r="L681" s="1"/>
      <c r="M681" s="1"/>
      <c r="N681" s="3"/>
    </row>
    <row r="682" spans="4:14" ht="15.75" customHeight="1">
      <c r="D682" s="1"/>
      <c r="E682" s="1"/>
      <c r="H682" s="2"/>
      <c r="L682" s="1"/>
      <c r="M682" s="1"/>
      <c r="N682" s="3"/>
    </row>
    <row r="683" spans="4:14" ht="15.75" customHeight="1">
      <c r="D683" s="1"/>
      <c r="E683" s="1"/>
      <c r="H683" s="2"/>
      <c r="L683" s="1"/>
      <c r="M683" s="1"/>
      <c r="N683" s="3"/>
    </row>
    <row r="684" spans="4:14" ht="15.75" customHeight="1">
      <c r="D684" s="1"/>
      <c r="E684" s="1"/>
      <c r="H684" s="2"/>
      <c r="L684" s="1"/>
      <c r="M684" s="1"/>
      <c r="N684" s="3"/>
    </row>
    <row r="685" spans="4:14" ht="15.75" customHeight="1">
      <c r="D685" s="1"/>
      <c r="E685" s="1"/>
      <c r="H685" s="2"/>
      <c r="L685" s="1"/>
      <c r="M685" s="1"/>
      <c r="N685" s="3"/>
    </row>
    <row r="686" spans="4:14" ht="15.75" customHeight="1">
      <c r="D686" s="1"/>
      <c r="E686" s="1"/>
      <c r="H686" s="2"/>
      <c r="L686" s="1"/>
      <c r="M686" s="1"/>
      <c r="N686" s="3"/>
    </row>
    <row r="687" spans="4:14" ht="15.75" customHeight="1">
      <c r="D687" s="1"/>
      <c r="E687" s="1"/>
      <c r="H687" s="2"/>
      <c r="L687" s="1"/>
      <c r="M687" s="1"/>
      <c r="N687" s="3"/>
    </row>
    <row r="688" spans="4:14" ht="15.75" customHeight="1">
      <c r="D688" s="1"/>
      <c r="E688" s="1"/>
      <c r="H688" s="2"/>
      <c r="L688" s="1"/>
      <c r="M688" s="1"/>
      <c r="N688" s="3"/>
    </row>
    <row r="689" spans="4:14" ht="15.75" customHeight="1">
      <c r="D689" s="1"/>
      <c r="E689" s="1"/>
      <c r="H689" s="2"/>
      <c r="L689" s="1"/>
      <c r="M689" s="1"/>
      <c r="N689" s="3"/>
    </row>
    <row r="690" spans="4:14" ht="15.75" customHeight="1">
      <c r="D690" s="1"/>
      <c r="E690" s="1"/>
      <c r="H690" s="2"/>
      <c r="L690" s="1"/>
      <c r="M690" s="1"/>
      <c r="N690" s="3"/>
    </row>
    <row r="691" spans="4:14" ht="15.75" customHeight="1">
      <c r="D691" s="1"/>
      <c r="E691" s="1"/>
      <c r="H691" s="2"/>
      <c r="L691" s="1"/>
      <c r="M691" s="1"/>
      <c r="N691" s="3"/>
    </row>
    <row r="692" spans="4:14" ht="15.75" customHeight="1">
      <c r="D692" s="1"/>
      <c r="E692" s="1"/>
      <c r="H692" s="2"/>
      <c r="L692" s="1"/>
      <c r="M692" s="1"/>
      <c r="N692" s="3"/>
    </row>
    <row r="693" spans="4:14" ht="15.75" customHeight="1">
      <c r="D693" s="1"/>
      <c r="E693" s="1"/>
      <c r="H693" s="2"/>
      <c r="L693" s="1"/>
      <c r="M693" s="1"/>
      <c r="N693" s="3"/>
    </row>
    <row r="694" spans="4:14" ht="15.75" customHeight="1">
      <c r="D694" s="1"/>
      <c r="E694" s="1"/>
      <c r="H694" s="2"/>
      <c r="L694" s="1"/>
      <c r="M694" s="1"/>
      <c r="N694" s="3"/>
    </row>
    <row r="695" spans="4:14" ht="15.75" customHeight="1">
      <c r="D695" s="1"/>
      <c r="E695" s="1"/>
      <c r="H695" s="2"/>
      <c r="L695" s="1"/>
      <c r="M695" s="1"/>
      <c r="N695" s="3"/>
    </row>
    <row r="696" spans="4:14" ht="15.75" customHeight="1">
      <c r="D696" s="1"/>
      <c r="E696" s="1"/>
      <c r="H696" s="2"/>
      <c r="L696" s="1"/>
      <c r="M696" s="1"/>
      <c r="N696" s="3"/>
    </row>
    <row r="697" spans="4:14" ht="15.75" customHeight="1">
      <c r="D697" s="1"/>
      <c r="E697" s="1"/>
      <c r="H697" s="2"/>
      <c r="L697" s="1"/>
      <c r="M697" s="1"/>
      <c r="N697" s="3"/>
    </row>
    <row r="698" spans="4:14" ht="15.75" customHeight="1">
      <c r="D698" s="1"/>
      <c r="E698" s="1"/>
      <c r="H698" s="2"/>
      <c r="L698" s="1"/>
      <c r="M698" s="1"/>
      <c r="N698" s="3"/>
    </row>
    <row r="699" spans="4:14" ht="15.75" customHeight="1">
      <c r="D699" s="1"/>
      <c r="E699" s="1"/>
      <c r="H699" s="2"/>
      <c r="L699" s="1"/>
      <c r="M699" s="1"/>
      <c r="N699" s="3"/>
    </row>
    <row r="700" spans="4:14" ht="15.75" customHeight="1">
      <c r="D700" s="1"/>
      <c r="E700" s="1"/>
      <c r="H700" s="2"/>
      <c r="L700" s="1"/>
      <c r="M700" s="1"/>
      <c r="N700" s="3"/>
    </row>
    <row r="701" spans="4:14" ht="15.75" customHeight="1">
      <c r="D701" s="1"/>
      <c r="E701" s="1"/>
      <c r="H701" s="2"/>
      <c r="L701" s="1"/>
      <c r="M701" s="1"/>
      <c r="N701" s="3"/>
    </row>
    <row r="702" spans="4:14" ht="15.75" customHeight="1">
      <c r="D702" s="1"/>
      <c r="E702" s="1"/>
      <c r="H702" s="2"/>
      <c r="L702" s="1"/>
      <c r="M702" s="1"/>
      <c r="N702" s="3"/>
    </row>
    <row r="703" spans="4:14" ht="15.75" customHeight="1">
      <c r="D703" s="1"/>
      <c r="E703" s="1"/>
      <c r="H703" s="2"/>
      <c r="L703" s="1"/>
      <c r="M703" s="1"/>
      <c r="N703" s="3"/>
    </row>
    <row r="704" spans="4:14" ht="15.75" customHeight="1">
      <c r="D704" s="1"/>
      <c r="E704" s="1"/>
      <c r="H704" s="2"/>
      <c r="L704" s="1"/>
      <c r="M704" s="1"/>
      <c r="N704" s="3"/>
    </row>
    <row r="705" spans="4:14" ht="15.75" customHeight="1">
      <c r="D705" s="1"/>
      <c r="E705" s="1"/>
      <c r="H705" s="2"/>
      <c r="L705" s="1"/>
      <c r="M705" s="1"/>
      <c r="N705" s="3"/>
    </row>
    <row r="706" spans="4:14" ht="15.75" customHeight="1">
      <c r="D706" s="1"/>
      <c r="E706" s="1"/>
      <c r="H706" s="2"/>
      <c r="L706" s="1"/>
      <c r="M706" s="1"/>
      <c r="N706" s="3"/>
    </row>
    <row r="707" spans="4:14" ht="15.75" customHeight="1">
      <c r="D707" s="1"/>
      <c r="E707" s="1"/>
      <c r="H707" s="2"/>
      <c r="L707" s="1"/>
      <c r="M707" s="1"/>
      <c r="N707" s="3"/>
    </row>
    <row r="708" spans="4:14" ht="15.75" customHeight="1">
      <c r="D708" s="1"/>
      <c r="E708" s="1"/>
      <c r="H708" s="2"/>
      <c r="L708" s="1"/>
      <c r="M708" s="1"/>
      <c r="N708" s="3"/>
    </row>
    <row r="709" spans="4:14" ht="15.75" customHeight="1">
      <c r="D709" s="1"/>
      <c r="E709" s="1"/>
      <c r="H709" s="2"/>
      <c r="L709" s="1"/>
      <c r="M709" s="1"/>
      <c r="N709" s="3"/>
    </row>
    <row r="710" spans="4:14" ht="15.75" customHeight="1">
      <c r="D710" s="1"/>
      <c r="E710" s="1"/>
      <c r="H710" s="2"/>
      <c r="L710" s="1"/>
      <c r="M710" s="1"/>
      <c r="N710" s="3"/>
    </row>
    <row r="711" spans="4:14" ht="15.75" customHeight="1">
      <c r="D711" s="1"/>
      <c r="E711" s="1"/>
      <c r="H711" s="2"/>
      <c r="L711" s="1"/>
      <c r="M711" s="1"/>
      <c r="N711" s="3"/>
    </row>
    <row r="712" spans="4:14" ht="15.75" customHeight="1">
      <c r="D712" s="1"/>
      <c r="E712" s="1"/>
      <c r="H712" s="2"/>
      <c r="L712" s="1"/>
      <c r="M712" s="1"/>
      <c r="N712" s="3"/>
    </row>
    <row r="713" spans="4:14" ht="15.75" customHeight="1">
      <c r="D713" s="1"/>
      <c r="E713" s="1"/>
      <c r="H713" s="2"/>
      <c r="L713" s="1"/>
      <c r="M713" s="1"/>
      <c r="N713" s="3"/>
    </row>
    <row r="714" spans="4:14" ht="15.75" customHeight="1">
      <c r="D714" s="1"/>
      <c r="E714" s="1"/>
      <c r="H714" s="2"/>
      <c r="L714" s="1"/>
      <c r="M714" s="1"/>
      <c r="N714" s="3"/>
    </row>
    <row r="715" spans="4:14" ht="15.75" customHeight="1">
      <c r="D715" s="1"/>
      <c r="E715" s="1"/>
      <c r="H715" s="2"/>
      <c r="L715" s="1"/>
      <c r="M715" s="1"/>
      <c r="N715" s="3"/>
    </row>
    <row r="716" spans="4:14" ht="15.75" customHeight="1">
      <c r="D716" s="1"/>
      <c r="E716" s="1"/>
      <c r="H716" s="2"/>
      <c r="L716" s="1"/>
      <c r="M716" s="1"/>
      <c r="N716" s="3"/>
    </row>
    <row r="717" spans="4:14" ht="15.75" customHeight="1">
      <c r="D717" s="1"/>
      <c r="E717" s="1"/>
      <c r="H717" s="2"/>
      <c r="L717" s="1"/>
      <c r="M717" s="1"/>
      <c r="N717" s="3"/>
    </row>
    <row r="718" spans="4:14" ht="15.75" customHeight="1">
      <c r="D718" s="1"/>
      <c r="E718" s="1"/>
      <c r="H718" s="2"/>
      <c r="L718" s="1"/>
      <c r="M718" s="1"/>
      <c r="N718" s="3"/>
    </row>
    <row r="719" spans="4:14" ht="15.75" customHeight="1">
      <c r="D719" s="1"/>
      <c r="E719" s="1"/>
      <c r="H719" s="2"/>
      <c r="L719" s="1"/>
      <c r="M719" s="1"/>
      <c r="N719" s="3"/>
    </row>
    <row r="720" spans="4:14" ht="15.75" customHeight="1">
      <c r="D720" s="1"/>
      <c r="E720" s="1"/>
      <c r="H720" s="2"/>
      <c r="L720" s="1"/>
      <c r="M720" s="1"/>
      <c r="N720" s="3"/>
    </row>
    <row r="721" spans="4:14" ht="15.75" customHeight="1">
      <c r="D721" s="1"/>
      <c r="E721" s="1"/>
      <c r="H721" s="2"/>
      <c r="L721" s="1"/>
      <c r="M721" s="1"/>
      <c r="N721" s="3"/>
    </row>
    <row r="722" spans="4:14" ht="15.75" customHeight="1">
      <c r="D722" s="1"/>
      <c r="E722" s="1"/>
      <c r="H722" s="2"/>
      <c r="L722" s="1"/>
      <c r="M722" s="1"/>
      <c r="N722" s="3"/>
    </row>
    <row r="723" spans="4:14" ht="15.75" customHeight="1">
      <c r="D723" s="1"/>
      <c r="E723" s="1"/>
      <c r="H723" s="2"/>
      <c r="L723" s="1"/>
      <c r="M723" s="1"/>
      <c r="N723" s="3"/>
    </row>
    <row r="724" spans="4:14" ht="15.75" customHeight="1">
      <c r="D724" s="1"/>
      <c r="E724" s="1"/>
      <c r="H724" s="2"/>
      <c r="L724" s="1"/>
      <c r="M724" s="1"/>
      <c r="N724" s="3"/>
    </row>
    <row r="725" spans="4:14" ht="15.75" customHeight="1">
      <c r="D725" s="1"/>
      <c r="E725" s="1"/>
      <c r="H725" s="2"/>
      <c r="L725" s="1"/>
      <c r="M725" s="1"/>
      <c r="N725" s="3"/>
    </row>
    <row r="726" spans="4:14" ht="15.75" customHeight="1">
      <c r="D726" s="1"/>
      <c r="E726" s="1"/>
      <c r="H726" s="2"/>
      <c r="L726" s="1"/>
      <c r="M726" s="1"/>
      <c r="N726" s="3"/>
    </row>
    <row r="727" spans="4:14" ht="15.75" customHeight="1">
      <c r="D727" s="1"/>
      <c r="E727" s="1"/>
      <c r="H727" s="2"/>
      <c r="L727" s="1"/>
      <c r="M727" s="1"/>
      <c r="N727" s="3"/>
    </row>
    <row r="728" spans="4:14" ht="15.75" customHeight="1">
      <c r="D728" s="1"/>
      <c r="E728" s="1"/>
      <c r="H728" s="2"/>
      <c r="L728" s="1"/>
      <c r="M728" s="1"/>
      <c r="N728" s="3"/>
    </row>
    <row r="729" spans="4:14" ht="15.75" customHeight="1">
      <c r="D729" s="1"/>
      <c r="E729" s="1"/>
      <c r="H729" s="2"/>
      <c r="L729" s="1"/>
      <c r="M729" s="1"/>
      <c r="N729" s="3"/>
    </row>
    <row r="730" spans="4:14" ht="15.75" customHeight="1">
      <c r="D730" s="1"/>
      <c r="E730" s="1"/>
      <c r="H730" s="2"/>
      <c r="L730" s="1"/>
      <c r="M730" s="1"/>
      <c r="N730" s="3"/>
    </row>
    <row r="731" spans="4:14" ht="15.75" customHeight="1">
      <c r="D731" s="1"/>
      <c r="E731" s="1"/>
      <c r="H731" s="2"/>
      <c r="L731" s="1"/>
      <c r="M731" s="1"/>
      <c r="N731" s="3"/>
    </row>
    <row r="732" spans="4:14" ht="15.75" customHeight="1">
      <c r="D732" s="1"/>
      <c r="E732" s="1"/>
      <c r="H732" s="2"/>
      <c r="L732" s="1"/>
      <c r="M732" s="1"/>
      <c r="N732" s="3"/>
    </row>
    <row r="733" spans="4:14" ht="15.75" customHeight="1">
      <c r="D733" s="1"/>
      <c r="E733" s="1"/>
      <c r="H733" s="2"/>
      <c r="L733" s="1"/>
      <c r="M733" s="1"/>
      <c r="N733" s="3"/>
    </row>
    <row r="734" spans="4:14" ht="15.75" customHeight="1">
      <c r="D734" s="1"/>
      <c r="E734" s="1"/>
      <c r="H734" s="2"/>
      <c r="L734" s="1"/>
      <c r="M734" s="1"/>
      <c r="N734" s="3"/>
    </row>
    <row r="735" spans="4:14" ht="15.75" customHeight="1">
      <c r="D735" s="1"/>
      <c r="E735" s="1"/>
      <c r="H735" s="2"/>
      <c r="L735" s="1"/>
      <c r="M735" s="1"/>
      <c r="N735" s="3"/>
    </row>
    <row r="736" spans="4:14" ht="15.75" customHeight="1">
      <c r="D736" s="1"/>
      <c r="E736" s="1"/>
      <c r="H736" s="2"/>
      <c r="L736" s="1"/>
      <c r="M736" s="1"/>
      <c r="N736" s="3"/>
    </row>
    <row r="737" spans="4:14" ht="15.75" customHeight="1">
      <c r="D737" s="1"/>
      <c r="E737" s="1"/>
      <c r="H737" s="2"/>
      <c r="L737" s="1"/>
      <c r="M737" s="1"/>
      <c r="N737" s="3"/>
    </row>
    <row r="738" spans="4:14" ht="15.75" customHeight="1">
      <c r="D738" s="1"/>
      <c r="E738" s="1"/>
      <c r="H738" s="2"/>
      <c r="L738" s="1"/>
      <c r="M738" s="1"/>
      <c r="N738" s="3"/>
    </row>
    <row r="739" spans="4:14" ht="15.75" customHeight="1">
      <c r="D739" s="1"/>
      <c r="E739" s="1"/>
      <c r="H739" s="2"/>
      <c r="L739" s="1"/>
      <c r="M739" s="1"/>
      <c r="N739" s="3"/>
    </row>
    <row r="740" spans="4:14" ht="15.75" customHeight="1">
      <c r="D740" s="1"/>
      <c r="E740" s="1"/>
      <c r="H740" s="2"/>
      <c r="L740" s="1"/>
      <c r="M740" s="1"/>
      <c r="N740" s="3"/>
    </row>
    <row r="741" spans="4:14" ht="15.75" customHeight="1">
      <c r="D741" s="1"/>
      <c r="E741" s="1"/>
      <c r="H741" s="2"/>
      <c r="L741" s="1"/>
      <c r="M741" s="1"/>
      <c r="N741" s="3"/>
    </row>
    <row r="742" spans="4:14" ht="15.75" customHeight="1">
      <c r="D742" s="1"/>
      <c r="E742" s="1"/>
      <c r="H742" s="2"/>
      <c r="L742" s="1"/>
      <c r="M742" s="1"/>
      <c r="N742" s="3"/>
    </row>
    <row r="743" spans="4:14" ht="15.75" customHeight="1">
      <c r="D743" s="1"/>
      <c r="E743" s="1"/>
      <c r="H743" s="2"/>
      <c r="L743" s="1"/>
      <c r="M743" s="1"/>
      <c r="N743" s="3"/>
    </row>
    <row r="744" spans="4:14" ht="15.75" customHeight="1">
      <c r="D744" s="1"/>
      <c r="E744" s="1"/>
      <c r="H744" s="2"/>
      <c r="L744" s="1"/>
      <c r="M744" s="1"/>
      <c r="N744" s="3"/>
    </row>
    <row r="745" spans="4:14" ht="15.75" customHeight="1">
      <c r="D745" s="1"/>
      <c r="E745" s="1"/>
      <c r="H745" s="2"/>
      <c r="L745" s="1"/>
      <c r="M745" s="1"/>
      <c r="N745" s="3"/>
    </row>
    <row r="746" spans="4:14" ht="15.75" customHeight="1">
      <c r="D746" s="1"/>
      <c r="E746" s="1"/>
      <c r="H746" s="2"/>
      <c r="L746" s="1"/>
      <c r="M746" s="1"/>
      <c r="N746" s="3"/>
    </row>
    <row r="747" spans="4:14" ht="15.75" customHeight="1">
      <c r="D747" s="1"/>
      <c r="E747" s="1"/>
      <c r="H747" s="2"/>
      <c r="L747" s="1"/>
      <c r="M747" s="1"/>
      <c r="N747" s="3"/>
    </row>
    <row r="748" spans="4:14" ht="15.75" customHeight="1">
      <c r="D748" s="1"/>
      <c r="E748" s="1"/>
      <c r="H748" s="2"/>
      <c r="L748" s="1"/>
      <c r="M748" s="1"/>
      <c r="N748" s="3"/>
    </row>
    <row r="749" spans="4:14" ht="15.75" customHeight="1">
      <c r="D749" s="1"/>
      <c r="E749" s="1"/>
      <c r="H749" s="2"/>
      <c r="L749" s="1"/>
      <c r="M749" s="1"/>
      <c r="N749" s="3"/>
    </row>
    <row r="750" spans="4:14" ht="15.75" customHeight="1">
      <c r="D750" s="1"/>
      <c r="E750" s="1"/>
      <c r="H750" s="2"/>
      <c r="L750" s="1"/>
      <c r="M750" s="1"/>
      <c r="N750" s="3"/>
    </row>
    <row r="751" spans="4:14" ht="15.75" customHeight="1">
      <c r="D751" s="1"/>
      <c r="E751" s="1"/>
      <c r="H751" s="2"/>
      <c r="L751" s="1"/>
      <c r="M751" s="1"/>
      <c r="N751" s="3"/>
    </row>
    <row r="752" spans="4:14" ht="15.75" customHeight="1">
      <c r="D752" s="1"/>
      <c r="E752" s="1"/>
      <c r="H752" s="2"/>
      <c r="L752" s="1"/>
      <c r="M752" s="1"/>
      <c r="N752" s="3"/>
    </row>
    <row r="753" spans="4:14" ht="15.75" customHeight="1">
      <c r="D753" s="1"/>
      <c r="E753" s="1"/>
      <c r="H753" s="2"/>
      <c r="L753" s="1"/>
      <c r="M753" s="1"/>
      <c r="N753" s="3"/>
    </row>
    <row r="754" spans="4:14" ht="15.75" customHeight="1">
      <c r="D754" s="1"/>
      <c r="E754" s="1"/>
      <c r="H754" s="2"/>
      <c r="L754" s="1"/>
      <c r="M754" s="1"/>
      <c r="N754" s="3"/>
    </row>
    <row r="755" spans="4:14" ht="15.75" customHeight="1">
      <c r="D755" s="1"/>
      <c r="E755" s="1"/>
      <c r="H755" s="2"/>
      <c r="L755" s="1"/>
      <c r="M755" s="1"/>
      <c r="N755" s="3"/>
    </row>
    <row r="756" spans="4:14" ht="15.75" customHeight="1">
      <c r="D756" s="1"/>
      <c r="E756" s="1"/>
      <c r="H756" s="2"/>
      <c r="L756" s="1"/>
      <c r="M756" s="1"/>
      <c r="N756" s="3"/>
    </row>
    <row r="757" spans="4:14" ht="15.75" customHeight="1">
      <c r="D757" s="1"/>
      <c r="E757" s="1"/>
      <c r="H757" s="2"/>
      <c r="L757" s="1"/>
      <c r="M757" s="1"/>
      <c r="N757" s="3"/>
    </row>
    <row r="758" spans="4:14" ht="15.75" customHeight="1">
      <c r="D758" s="1"/>
      <c r="E758" s="1"/>
      <c r="H758" s="2"/>
      <c r="L758" s="1"/>
      <c r="M758" s="1"/>
      <c r="N758" s="3"/>
    </row>
    <row r="759" spans="4:14" ht="15.75" customHeight="1">
      <c r="D759" s="1"/>
      <c r="E759" s="1"/>
      <c r="H759" s="2"/>
      <c r="L759" s="1"/>
      <c r="M759" s="1"/>
      <c r="N759" s="3"/>
    </row>
    <row r="760" spans="4:14" ht="15.75" customHeight="1">
      <c r="D760" s="1"/>
      <c r="E760" s="1"/>
      <c r="H760" s="2"/>
      <c r="L760" s="1"/>
      <c r="M760" s="1"/>
      <c r="N760" s="3"/>
    </row>
    <row r="761" spans="4:14" ht="15.75" customHeight="1">
      <c r="D761" s="1"/>
      <c r="E761" s="1"/>
      <c r="H761" s="2"/>
      <c r="L761" s="1"/>
      <c r="M761" s="1"/>
      <c r="N761" s="3"/>
    </row>
    <row r="762" spans="4:14" ht="15.75" customHeight="1">
      <c r="D762" s="1"/>
      <c r="E762" s="1"/>
      <c r="H762" s="2"/>
      <c r="L762" s="1"/>
      <c r="M762" s="1"/>
      <c r="N762" s="3"/>
    </row>
    <row r="763" spans="4:14" ht="15.75" customHeight="1">
      <c r="D763" s="1"/>
      <c r="E763" s="1"/>
      <c r="H763" s="2"/>
      <c r="L763" s="1"/>
      <c r="M763" s="1"/>
      <c r="N763" s="3"/>
    </row>
    <row r="764" spans="4:14" ht="15.75" customHeight="1">
      <c r="D764" s="1"/>
      <c r="E764" s="1"/>
      <c r="H764" s="2"/>
      <c r="L764" s="1"/>
      <c r="M764" s="1"/>
      <c r="N764" s="3"/>
    </row>
    <row r="765" spans="4:14" ht="15.75" customHeight="1">
      <c r="D765" s="1"/>
      <c r="E765" s="1"/>
      <c r="H765" s="2"/>
      <c r="L765" s="1"/>
      <c r="M765" s="1"/>
      <c r="N765" s="3"/>
    </row>
    <row r="766" spans="4:14" ht="15.75" customHeight="1">
      <c r="D766" s="1"/>
      <c r="E766" s="1"/>
      <c r="H766" s="2"/>
      <c r="L766" s="1"/>
      <c r="M766" s="1"/>
      <c r="N766" s="3"/>
    </row>
    <row r="767" spans="4:14" ht="15.75" customHeight="1">
      <c r="D767" s="1"/>
      <c r="E767" s="1"/>
      <c r="H767" s="2"/>
      <c r="L767" s="1"/>
      <c r="M767" s="1"/>
      <c r="N767" s="3"/>
    </row>
    <row r="768" spans="4:14" ht="15.75" customHeight="1">
      <c r="D768" s="1"/>
      <c r="E768" s="1"/>
      <c r="H768" s="2"/>
      <c r="L768" s="1"/>
      <c r="M768" s="1"/>
      <c r="N768" s="3"/>
    </row>
    <row r="769" spans="4:14" ht="15.75" customHeight="1">
      <c r="D769" s="1"/>
      <c r="E769" s="1"/>
      <c r="H769" s="2"/>
      <c r="L769" s="1"/>
      <c r="M769" s="1"/>
      <c r="N769" s="3"/>
    </row>
    <row r="770" spans="4:14" ht="15.75" customHeight="1">
      <c r="D770" s="1"/>
      <c r="E770" s="1"/>
      <c r="H770" s="2"/>
      <c r="L770" s="1"/>
      <c r="M770" s="1"/>
      <c r="N770" s="3"/>
    </row>
    <row r="771" spans="4:14" ht="15.75" customHeight="1">
      <c r="D771" s="1"/>
      <c r="E771" s="1"/>
      <c r="H771" s="2"/>
      <c r="L771" s="1"/>
      <c r="M771" s="1"/>
      <c r="N771" s="3"/>
    </row>
    <row r="772" spans="4:14" ht="15.75" customHeight="1">
      <c r="D772" s="1"/>
      <c r="E772" s="1"/>
      <c r="H772" s="2"/>
      <c r="L772" s="1"/>
      <c r="M772" s="1"/>
      <c r="N772" s="3"/>
    </row>
    <row r="773" spans="4:14" ht="15.75" customHeight="1">
      <c r="D773" s="1"/>
      <c r="E773" s="1"/>
      <c r="H773" s="2"/>
      <c r="L773" s="1"/>
      <c r="M773" s="1"/>
      <c r="N773" s="3"/>
    </row>
    <row r="774" spans="4:14" ht="15.75" customHeight="1">
      <c r="D774" s="1"/>
      <c r="E774" s="1"/>
      <c r="H774" s="2"/>
      <c r="L774" s="1"/>
      <c r="M774" s="1"/>
      <c r="N774" s="3"/>
    </row>
    <row r="775" spans="4:14" ht="15.75" customHeight="1">
      <c r="D775" s="1"/>
      <c r="E775" s="1"/>
      <c r="H775" s="2"/>
      <c r="L775" s="1"/>
      <c r="M775" s="1"/>
      <c r="N775" s="3"/>
    </row>
    <row r="776" spans="4:14" ht="15.75" customHeight="1">
      <c r="D776" s="1"/>
      <c r="E776" s="1"/>
      <c r="H776" s="2"/>
      <c r="L776" s="1"/>
      <c r="M776" s="1"/>
      <c r="N776" s="3"/>
    </row>
    <row r="777" spans="4:14" ht="15.75" customHeight="1">
      <c r="D777" s="1"/>
      <c r="E777" s="1"/>
      <c r="H777" s="2"/>
      <c r="L777" s="1"/>
      <c r="M777" s="1"/>
      <c r="N777" s="3"/>
    </row>
    <row r="778" spans="4:14" ht="15.75" customHeight="1">
      <c r="D778" s="1"/>
      <c r="E778" s="1"/>
      <c r="H778" s="2"/>
      <c r="L778" s="1"/>
      <c r="M778" s="1"/>
      <c r="N778" s="3"/>
    </row>
    <row r="779" spans="4:14" ht="15.75" customHeight="1">
      <c r="D779" s="1"/>
      <c r="E779" s="1"/>
      <c r="H779" s="2"/>
      <c r="L779" s="1"/>
      <c r="M779" s="1"/>
      <c r="N779" s="3"/>
    </row>
    <row r="780" spans="4:14" ht="15.75" customHeight="1">
      <c r="D780" s="1"/>
      <c r="E780" s="1"/>
      <c r="H780" s="2"/>
      <c r="L780" s="1"/>
      <c r="M780" s="1"/>
      <c r="N780" s="3"/>
    </row>
    <row r="781" spans="4:14" ht="15.75" customHeight="1">
      <c r="D781" s="1"/>
      <c r="E781" s="1"/>
      <c r="H781" s="2"/>
      <c r="L781" s="1"/>
      <c r="M781" s="1"/>
      <c r="N781" s="3"/>
    </row>
    <row r="782" spans="4:14" ht="15.75" customHeight="1">
      <c r="D782" s="1"/>
      <c r="E782" s="1"/>
      <c r="H782" s="2"/>
      <c r="L782" s="1"/>
      <c r="M782" s="1"/>
      <c r="N782" s="3"/>
    </row>
    <row r="783" spans="4:14" ht="15.75" customHeight="1">
      <c r="D783" s="1"/>
      <c r="E783" s="1"/>
      <c r="H783" s="2"/>
      <c r="L783" s="1"/>
      <c r="M783" s="1"/>
      <c r="N783" s="3"/>
    </row>
    <row r="784" spans="4:14" ht="15.75" customHeight="1">
      <c r="D784" s="1"/>
      <c r="E784" s="1"/>
      <c r="H784" s="2"/>
      <c r="L784" s="1"/>
      <c r="M784" s="1"/>
      <c r="N784" s="3"/>
    </row>
    <row r="785" spans="4:14" ht="15.75" customHeight="1">
      <c r="D785" s="1"/>
      <c r="E785" s="1"/>
      <c r="H785" s="2"/>
      <c r="L785" s="1"/>
      <c r="M785" s="1"/>
      <c r="N785" s="3"/>
    </row>
    <row r="786" spans="4:14" ht="15.75" customHeight="1">
      <c r="D786" s="1"/>
      <c r="E786" s="1"/>
      <c r="H786" s="2"/>
      <c r="L786" s="1"/>
      <c r="M786" s="1"/>
      <c r="N786" s="3"/>
    </row>
    <row r="787" spans="4:14" ht="15.75" customHeight="1">
      <c r="D787" s="1"/>
      <c r="E787" s="1"/>
      <c r="H787" s="2"/>
      <c r="L787" s="1"/>
      <c r="M787" s="1"/>
      <c r="N787" s="3"/>
    </row>
    <row r="788" spans="4:14" ht="15.75" customHeight="1">
      <c r="D788" s="1"/>
      <c r="E788" s="1"/>
      <c r="H788" s="2"/>
      <c r="L788" s="1"/>
      <c r="M788" s="1"/>
      <c r="N788" s="3"/>
    </row>
    <row r="789" spans="4:14" ht="15.75" customHeight="1">
      <c r="D789" s="1"/>
      <c r="E789" s="1"/>
      <c r="H789" s="2"/>
      <c r="L789" s="1"/>
      <c r="M789" s="1"/>
      <c r="N789" s="3"/>
    </row>
    <row r="790" spans="4:14" ht="15.75" customHeight="1">
      <c r="D790" s="1"/>
      <c r="E790" s="1"/>
      <c r="H790" s="2"/>
      <c r="L790" s="1"/>
      <c r="M790" s="1"/>
      <c r="N790" s="3"/>
    </row>
    <row r="791" spans="4:14" ht="15.75" customHeight="1">
      <c r="D791" s="1"/>
      <c r="E791" s="1"/>
      <c r="H791" s="2"/>
      <c r="L791" s="1"/>
      <c r="M791" s="1"/>
      <c r="N791" s="3"/>
    </row>
    <row r="792" spans="4:14" ht="15.75" customHeight="1">
      <c r="D792" s="1"/>
      <c r="E792" s="1"/>
      <c r="H792" s="2"/>
      <c r="L792" s="1"/>
      <c r="M792" s="1"/>
      <c r="N792" s="3"/>
    </row>
    <row r="793" spans="4:14" ht="15.75" customHeight="1">
      <c r="D793" s="1"/>
      <c r="E793" s="1"/>
      <c r="H793" s="2"/>
      <c r="L793" s="1"/>
      <c r="M793" s="1"/>
      <c r="N793" s="3"/>
    </row>
    <row r="794" spans="4:14" ht="15.75" customHeight="1">
      <c r="D794" s="1"/>
      <c r="E794" s="1"/>
      <c r="H794" s="2"/>
      <c r="L794" s="1"/>
      <c r="M794" s="1"/>
      <c r="N794" s="3"/>
    </row>
    <row r="795" spans="4:14" ht="15.75" customHeight="1">
      <c r="D795" s="1"/>
      <c r="E795" s="1"/>
      <c r="H795" s="2"/>
      <c r="L795" s="1"/>
      <c r="M795" s="1"/>
      <c r="N795" s="3"/>
    </row>
    <row r="796" spans="4:14" ht="15.75" customHeight="1">
      <c r="D796" s="1"/>
      <c r="E796" s="1"/>
      <c r="H796" s="2"/>
      <c r="L796" s="1"/>
      <c r="M796" s="1"/>
      <c r="N796" s="3"/>
    </row>
    <row r="797" spans="4:14" ht="15.75" customHeight="1">
      <c r="D797" s="1"/>
      <c r="E797" s="1"/>
      <c r="H797" s="2"/>
      <c r="L797" s="1"/>
      <c r="M797" s="1"/>
      <c r="N797" s="3"/>
    </row>
    <row r="798" spans="4:14" ht="15.75" customHeight="1">
      <c r="D798" s="1"/>
      <c r="E798" s="1"/>
      <c r="H798" s="2"/>
      <c r="L798" s="1"/>
      <c r="M798" s="1"/>
      <c r="N798" s="3"/>
    </row>
    <row r="799" spans="4:14" ht="15.75" customHeight="1">
      <c r="D799" s="1"/>
      <c r="E799" s="1"/>
      <c r="H799" s="2"/>
      <c r="L799" s="1"/>
      <c r="M799" s="1"/>
      <c r="N799" s="3"/>
    </row>
    <row r="800" spans="4:14" ht="15.75" customHeight="1">
      <c r="D800" s="1"/>
      <c r="E800" s="1"/>
      <c r="H800" s="2"/>
      <c r="L800" s="1"/>
      <c r="M800" s="1"/>
      <c r="N800" s="3"/>
    </row>
    <row r="801" spans="4:14" ht="15.75" customHeight="1">
      <c r="D801" s="1"/>
      <c r="E801" s="1"/>
      <c r="H801" s="2"/>
      <c r="L801" s="1"/>
      <c r="M801" s="1"/>
      <c r="N801" s="3"/>
    </row>
    <row r="802" spans="4:14" ht="15.75" customHeight="1">
      <c r="D802" s="1"/>
      <c r="E802" s="1"/>
      <c r="H802" s="2"/>
      <c r="L802" s="1"/>
      <c r="M802" s="1"/>
      <c r="N802" s="3"/>
    </row>
    <row r="803" spans="4:14" ht="15.75" customHeight="1">
      <c r="D803" s="1"/>
      <c r="E803" s="1"/>
      <c r="H803" s="2"/>
      <c r="L803" s="1"/>
      <c r="M803" s="1"/>
      <c r="N803" s="3"/>
    </row>
    <row r="804" spans="4:14" ht="15.75" customHeight="1">
      <c r="D804" s="1"/>
      <c r="E804" s="1"/>
      <c r="H804" s="2"/>
      <c r="L804" s="1"/>
      <c r="M804" s="1"/>
      <c r="N804" s="3"/>
    </row>
    <row r="805" spans="4:14" ht="15.75" customHeight="1">
      <c r="D805" s="1"/>
      <c r="E805" s="1"/>
      <c r="H805" s="2"/>
      <c r="L805" s="1"/>
      <c r="M805" s="1"/>
      <c r="N805" s="3"/>
    </row>
    <row r="806" spans="4:14" ht="15.75" customHeight="1">
      <c r="D806" s="1"/>
      <c r="E806" s="1"/>
      <c r="H806" s="2"/>
      <c r="L806" s="1"/>
      <c r="M806" s="1"/>
      <c r="N806" s="3"/>
    </row>
    <row r="807" spans="4:14" ht="15.75" customHeight="1">
      <c r="D807" s="1"/>
      <c r="E807" s="1"/>
      <c r="H807" s="2"/>
      <c r="L807" s="1"/>
      <c r="M807" s="1"/>
      <c r="N807" s="3"/>
    </row>
    <row r="808" spans="4:14" ht="15.75" customHeight="1">
      <c r="D808" s="1"/>
      <c r="E808" s="1"/>
      <c r="H808" s="2"/>
      <c r="L808" s="1"/>
      <c r="M808" s="1"/>
      <c r="N808" s="3"/>
    </row>
    <row r="809" spans="4:14" ht="15.75" customHeight="1">
      <c r="D809" s="1"/>
      <c r="E809" s="1"/>
      <c r="H809" s="2"/>
      <c r="L809" s="1"/>
      <c r="M809" s="1"/>
      <c r="N809" s="3"/>
    </row>
    <row r="810" spans="4:14" ht="15.75" customHeight="1">
      <c r="D810" s="1"/>
      <c r="E810" s="1"/>
      <c r="H810" s="2"/>
      <c r="L810" s="1"/>
      <c r="M810" s="1"/>
      <c r="N810" s="3"/>
    </row>
    <row r="811" spans="4:14" ht="15.75" customHeight="1">
      <c r="D811" s="1"/>
      <c r="E811" s="1"/>
      <c r="H811" s="2"/>
      <c r="L811" s="1"/>
      <c r="M811" s="1"/>
      <c r="N811" s="3"/>
    </row>
    <row r="812" spans="4:14" ht="15.75" customHeight="1">
      <c r="D812" s="1"/>
      <c r="E812" s="1"/>
      <c r="H812" s="2"/>
      <c r="L812" s="1"/>
      <c r="M812" s="1"/>
      <c r="N812" s="3"/>
    </row>
    <row r="813" spans="4:14" ht="15.75" customHeight="1">
      <c r="D813" s="1"/>
      <c r="E813" s="1"/>
      <c r="H813" s="2"/>
      <c r="L813" s="1"/>
      <c r="M813" s="1"/>
      <c r="N813" s="3"/>
    </row>
    <row r="814" spans="4:14" ht="15.75" customHeight="1">
      <c r="D814" s="1"/>
      <c r="E814" s="1"/>
      <c r="H814" s="2"/>
      <c r="L814" s="1"/>
      <c r="M814" s="1"/>
      <c r="N814" s="3"/>
    </row>
    <row r="815" spans="4:14" ht="15.75" customHeight="1">
      <c r="D815" s="1"/>
      <c r="E815" s="1"/>
      <c r="H815" s="2"/>
      <c r="L815" s="1"/>
      <c r="M815" s="1"/>
      <c r="N815" s="3"/>
    </row>
    <row r="816" spans="4:14" ht="15.75" customHeight="1">
      <c r="D816" s="1"/>
      <c r="E816" s="1"/>
      <c r="H816" s="2"/>
      <c r="L816" s="1"/>
      <c r="M816" s="1"/>
      <c r="N816" s="3"/>
    </row>
    <row r="817" spans="4:14" ht="15.75" customHeight="1">
      <c r="D817" s="1"/>
      <c r="E817" s="1"/>
      <c r="H817" s="2"/>
      <c r="L817" s="1"/>
      <c r="M817" s="1"/>
      <c r="N817" s="3"/>
    </row>
    <row r="818" spans="4:14" ht="15.75" customHeight="1">
      <c r="D818" s="1"/>
      <c r="E818" s="1"/>
      <c r="H818" s="2"/>
      <c r="L818" s="1"/>
      <c r="M818" s="1"/>
      <c r="N818" s="3"/>
    </row>
    <row r="819" spans="4:14" ht="15.75" customHeight="1">
      <c r="D819" s="1"/>
      <c r="E819" s="1"/>
      <c r="H819" s="2"/>
      <c r="L819" s="1"/>
      <c r="M819" s="1"/>
      <c r="N819" s="3"/>
    </row>
    <row r="820" spans="4:14" ht="15.75" customHeight="1">
      <c r="D820" s="1"/>
      <c r="E820" s="1"/>
      <c r="H820" s="2"/>
      <c r="L820" s="1"/>
      <c r="M820" s="1"/>
      <c r="N820" s="3"/>
    </row>
    <row r="821" spans="4:14" ht="15.75" customHeight="1">
      <c r="D821" s="1"/>
      <c r="E821" s="1"/>
      <c r="H821" s="2"/>
      <c r="L821" s="1"/>
      <c r="M821" s="1"/>
      <c r="N821" s="3"/>
    </row>
    <row r="822" spans="4:14" ht="15.75" customHeight="1">
      <c r="D822" s="1"/>
      <c r="E822" s="1"/>
      <c r="H822" s="2"/>
      <c r="L822" s="1"/>
      <c r="M822" s="1"/>
      <c r="N822" s="3"/>
    </row>
    <row r="823" spans="4:14" ht="15.75" customHeight="1">
      <c r="D823" s="1"/>
      <c r="E823" s="1"/>
      <c r="H823" s="2"/>
      <c r="L823" s="1"/>
      <c r="M823" s="1"/>
      <c r="N823" s="3"/>
    </row>
    <row r="824" spans="4:14" ht="15.75" customHeight="1">
      <c r="D824" s="1"/>
      <c r="E824" s="1"/>
      <c r="H824" s="2"/>
      <c r="L824" s="1"/>
      <c r="M824" s="1"/>
      <c r="N824" s="3"/>
    </row>
    <row r="825" spans="4:14" ht="15.75" customHeight="1">
      <c r="D825" s="1"/>
      <c r="E825" s="1"/>
      <c r="H825" s="2"/>
      <c r="L825" s="1"/>
      <c r="M825" s="1"/>
      <c r="N825" s="3"/>
    </row>
    <row r="826" spans="4:14" ht="15.75" customHeight="1">
      <c r="D826" s="1"/>
      <c r="E826" s="1"/>
      <c r="H826" s="2"/>
      <c r="L826" s="1"/>
      <c r="M826" s="1"/>
      <c r="N826" s="3"/>
    </row>
    <row r="827" spans="4:14" ht="15.75" customHeight="1">
      <c r="D827" s="1"/>
      <c r="E827" s="1"/>
      <c r="H827" s="2"/>
      <c r="L827" s="1"/>
      <c r="M827" s="1"/>
      <c r="N827" s="3"/>
    </row>
    <row r="828" spans="4:14" ht="15.75" customHeight="1">
      <c r="D828" s="1"/>
      <c r="E828" s="1"/>
      <c r="H828" s="2"/>
      <c r="L828" s="1"/>
      <c r="M828" s="1"/>
      <c r="N828" s="3"/>
    </row>
    <row r="829" spans="4:14" ht="15.75" customHeight="1">
      <c r="D829" s="1"/>
      <c r="E829" s="1"/>
      <c r="H829" s="2"/>
      <c r="L829" s="1"/>
      <c r="M829" s="1"/>
      <c r="N829" s="3"/>
    </row>
    <row r="830" spans="4:14" ht="15.75" customHeight="1">
      <c r="D830" s="1"/>
      <c r="E830" s="1"/>
      <c r="H830" s="2"/>
      <c r="L830" s="1"/>
      <c r="M830" s="1"/>
      <c r="N830" s="3"/>
    </row>
    <row r="831" spans="4:14" ht="15.75" customHeight="1">
      <c r="D831" s="1"/>
      <c r="E831" s="1"/>
      <c r="H831" s="2"/>
      <c r="L831" s="1"/>
      <c r="M831" s="1"/>
      <c r="N831" s="3"/>
    </row>
    <row r="832" spans="4:14" ht="15.75" customHeight="1">
      <c r="D832" s="1"/>
      <c r="E832" s="1"/>
      <c r="H832" s="2"/>
      <c r="L832" s="1"/>
      <c r="M832" s="1"/>
      <c r="N832" s="3"/>
    </row>
    <row r="833" spans="4:14" ht="15.75" customHeight="1">
      <c r="D833" s="1"/>
      <c r="E833" s="1"/>
      <c r="H833" s="2"/>
      <c r="L833" s="1"/>
      <c r="M833" s="1"/>
      <c r="N833" s="3"/>
    </row>
    <row r="834" spans="4:14" ht="15.75" customHeight="1">
      <c r="D834" s="1"/>
      <c r="E834" s="1"/>
      <c r="H834" s="2"/>
      <c r="L834" s="1"/>
      <c r="M834" s="1"/>
      <c r="N834" s="3"/>
    </row>
    <row r="835" spans="4:14" ht="15.75" customHeight="1">
      <c r="D835" s="1"/>
      <c r="E835" s="1"/>
      <c r="H835" s="2"/>
      <c r="L835" s="1"/>
      <c r="M835" s="1"/>
      <c r="N835" s="3"/>
    </row>
    <row r="836" spans="4:14" ht="15.75" customHeight="1">
      <c r="D836" s="1"/>
      <c r="E836" s="1"/>
      <c r="H836" s="2"/>
      <c r="L836" s="1"/>
      <c r="M836" s="1"/>
      <c r="N836" s="3"/>
    </row>
    <row r="837" spans="4:14" ht="15.75" customHeight="1">
      <c r="D837" s="1"/>
      <c r="E837" s="1"/>
      <c r="H837" s="2"/>
      <c r="L837" s="1"/>
      <c r="M837" s="1"/>
      <c r="N837" s="3"/>
    </row>
    <row r="838" spans="4:14" ht="15.75" customHeight="1">
      <c r="D838" s="1"/>
      <c r="E838" s="1"/>
      <c r="H838" s="2"/>
      <c r="L838" s="1"/>
      <c r="M838" s="1"/>
      <c r="N838" s="3"/>
    </row>
    <row r="839" spans="4:14" ht="15.75" customHeight="1">
      <c r="D839" s="1"/>
      <c r="E839" s="1"/>
      <c r="H839" s="2"/>
      <c r="L839" s="1"/>
      <c r="M839" s="1"/>
      <c r="N839" s="3"/>
    </row>
    <row r="840" spans="4:14" ht="15.75" customHeight="1">
      <c r="D840" s="1"/>
      <c r="E840" s="1"/>
      <c r="H840" s="2"/>
      <c r="L840" s="1"/>
      <c r="M840" s="1"/>
      <c r="N840" s="3"/>
    </row>
    <row r="841" spans="4:14" ht="15.75" customHeight="1">
      <c r="D841" s="1"/>
      <c r="E841" s="1"/>
      <c r="H841" s="2"/>
      <c r="L841" s="1"/>
      <c r="M841" s="1"/>
      <c r="N841" s="3"/>
    </row>
    <row r="842" spans="4:14" ht="15.75" customHeight="1">
      <c r="D842" s="1"/>
      <c r="E842" s="1"/>
      <c r="H842" s="2"/>
      <c r="L842" s="1"/>
      <c r="M842" s="1"/>
      <c r="N842" s="3"/>
    </row>
    <row r="843" spans="4:14" ht="15.75" customHeight="1">
      <c r="D843" s="1"/>
      <c r="E843" s="1"/>
      <c r="H843" s="2"/>
      <c r="L843" s="1"/>
      <c r="M843" s="1"/>
      <c r="N843" s="3"/>
    </row>
    <row r="844" spans="4:14" ht="15.75" customHeight="1">
      <c r="D844" s="1"/>
      <c r="E844" s="1"/>
      <c r="H844" s="2"/>
      <c r="L844" s="1"/>
      <c r="M844" s="1"/>
      <c r="N844" s="3"/>
    </row>
    <row r="845" spans="4:14" ht="15.75" customHeight="1">
      <c r="D845" s="1"/>
      <c r="E845" s="1"/>
      <c r="H845" s="2"/>
      <c r="L845" s="1"/>
      <c r="M845" s="1"/>
      <c r="N845" s="3"/>
    </row>
    <row r="846" spans="4:14" ht="15.75" customHeight="1">
      <c r="D846" s="1"/>
      <c r="E846" s="1"/>
      <c r="H846" s="2"/>
      <c r="L846" s="1"/>
      <c r="M846" s="1"/>
      <c r="N846" s="3"/>
    </row>
    <row r="847" spans="4:14" ht="15.75" customHeight="1">
      <c r="D847" s="1"/>
      <c r="E847" s="1"/>
      <c r="H847" s="2"/>
      <c r="L847" s="1"/>
      <c r="M847" s="1"/>
      <c r="N847" s="3"/>
    </row>
    <row r="848" spans="4:14" ht="15.75" customHeight="1">
      <c r="D848" s="1"/>
      <c r="E848" s="1"/>
      <c r="H848" s="2"/>
      <c r="L848" s="1"/>
      <c r="M848" s="1"/>
      <c r="N848" s="3"/>
    </row>
    <row r="849" spans="4:14" ht="15.75" customHeight="1">
      <c r="D849" s="1"/>
      <c r="E849" s="1"/>
      <c r="H849" s="2"/>
      <c r="L849" s="1"/>
      <c r="M849" s="1"/>
      <c r="N849" s="3"/>
    </row>
    <row r="850" spans="4:14" ht="15.75" customHeight="1">
      <c r="D850" s="1"/>
      <c r="E850" s="1"/>
      <c r="H850" s="2"/>
      <c r="L850" s="1"/>
      <c r="M850" s="1"/>
      <c r="N850" s="3"/>
    </row>
    <row r="851" spans="4:14" ht="15.75" customHeight="1">
      <c r="D851" s="1"/>
      <c r="E851" s="1"/>
      <c r="H851" s="2"/>
      <c r="L851" s="1"/>
      <c r="M851" s="1"/>
      <c r="N851" s="3"/>
    </row>
    <row r="852" spans="4:14" ht="15.75" customHeight="1">
      <c r="D852" s="1"/>
      <c r="E852" s="1"/>
      <c r="H852" s="2"/>
      <c r="L852" s="1"/>
      <c r="M852" s="1"/>
      <c r="N852" s="3"/>
    </row>
    <row r="853" spans="4:14" ht="15.75" customHeight="1">
      <c r="D853" s="1"/>
      <c r="E853" s="1"/>
      <c r="H853" s="2"/>
      <c r="L853" s="1"/>
      <c r="M853" s="1"/>
      <c r="N853" s="3"/>
    </row>
    <row r="854" spans="4:14" ht="15.75" customHeight="1">
      <c r="D854" s="1"/>
      <c r="E854" s="1"/>
      <c r="H854" s="2"/>
      <c r="L854" s="1"/>
      <c r="M854" s="1"/>
      <c r="N854" s="3"/>
    </row>
    <row r="855" spans="4:14" ht="15.75" customHeight="1">
      <c r="D855" s="1"/>
      <c r="E855" s="1"/>
      <c r="H855" s="2"/>
      <c r="L855" s="1"/>
      <c r="M855" s="1"/>
      <c r="N855" s="3"/>
    </row>
    <row r="856" spans="4:14" ht="15.75" customHeight="1">
      <c r="D856" s="1"/>
      <c r="E856" s="1"/>
      <c r="H856" s="2"/>
      <c r="L856" s="1"/>
      <c r="M856" s="1"/>
      <c r="N856" s="3"/>
    </row>
    <row r="857" spans="4:14" ht="15.75" customHeight="1">
      <c r="D857" s="1"/>
      <c r="E857" s="1"/>
      <c r="H857" s="2"/>
      <c r="L857" s="1"/>
      <c r="M857" s="1"/>
      <c r="N857" s="3"/>
    </row>
    <row r="858" spans="4:14" ht="15.75" customHeight="1">
      <c r="D858" s="1"/>
      <c r="E858" s="1"/>
      <c r="H858" s="2"/>
      <c r="L858" s="1"/>
      <c r="M858" s="1"/>
      <c r="N858" s="3"/>
    </row>
    <row r="859" spans="4:14" ht="15.75" customHeight="1">
      <c r="D859" s="1"/>
      <c r="E859" s="1"/>
      <c r="H859" s="2"/>
      <c r="L859" s="1"/>
      <c r="M859" s="1"/>
      <c r="N859" s="3"/>
    </row>
    <row r="860" spans="4:14" ht="15.75" customHeight="1">
      <c r="D860" s="1"/>
      <c r="E860" s="1"/>
      <c r="H860" s="2"/>
      <c r="L860" s="1"/>
      <c r="M860" s="1"/>
      <c r="N860" s="3"/>
    </row>
    <row r="861" spans="4:14" ht="15.75" customHeight="1">
      <c r="D861" s="1"/>
      <c r="E861" s="1"/>
      <c r="H861" s="2"/>
      <c r="L861" s="1"/>
      <c r="M861" s="1"/>
      <c r="N861" s="3"/>
    </row>
    <row r="862" spans="4:14" ht="15.75" customHeight="1">
      <c r="D862" s="1"/>
      <c r="E862" s="1"/>
      <c r="H862" s="2"/>
      <c r="L862" s="1"/>
      <c r="M862" s="1"/>
      <c r="N862" s="3"/>
    </row>
    <row r="863" spans="4:14" ht="15.75" customHeight="1">
      <c r="D863" s="1"/>
      <c r="E863" s="1"/>
      <c r="H863" s="2"/>
      <c r="L863" s="1"/>
      <c r="M863" s="1"/>
      <c r="N863" s="3"/>
    </row>
    <row r="864" spans="4:14" ht="15.75" customHeight="1">
      <c r="D864" s="1"/>
      <c r="E864" s="1"/>
      <c r="H864" s="2"/>
      <c r="L864" s="1"/>
      <c r="M864" s="1"/>
      <c r="N864" s="3"/>
    </row>
    <row r="865" spans="4:14" ht="15.75" customHeight="1">
      <c r="D865" s="1"/>
      <c r="E865" s="1"/>
      <c r="H865" s="2"/>
      <c r="L865" s="1"/>
      <c r="M865" s="1"/>
      <c r="N865" s="3"/>
    </row>
    <row r="866" spans="4:14" ht="15.75" customHeight="1">
      <c r="D866" s="1"/>
      <c r="E866" s="1"/>
      <c r="H866" s="2"/>
      <c r="L866" s="1"/>
      <c r="M866" s="1"/>
      <c r="N866" s="3"/>
    </row>
    <row r="867" spans="4:14" ht="15.75" customHeight="1">
      <c r="D867" s="1"/>
      <c r="E867" s="1"/>
      <c r="H867" s="2"/>
      <c r="L867" s="1"/>
      <c r="M867" s="1"/>
      <c r="N867" s="3"/>
    </row>
    <row r="868" spans="4:14" ht="15.75" customHeight="1">
      <c r="D868" s="1"/>
      <c r="E868" s="1"/>
      <c r="H868" s="2"/>
      <c r="L868" s="1"/>
      <c r="M868" s="1"/>
      <c r="N868" s="3"/>
    </row>
    <row r="869" spans="4:14" ht="15.75" customHeight="1">
      <c r="D869" s="1"/>
      <c r="E869" s="1"/>
      <c r="H869" s="2"/>
      <c r="L869" s="1"/>
      <c r="M869" s="1"/>
      <c r="N869" s="3"/>
    </row>
    <row r="870" spans="4:14" ht="15.75" customHeight="1">
      <c r="D870" s="1"/>
      <c r="E870" s="1"/>
      <c r="H870" s="2"/>
      <c r="L870" s="1"/>
      <c r="M870" s="1"/>
      <c r="N870" s="3"/>
    </row>
    <row r="871" spans="4:14" ht="15.75" customHeight="1">
      <c r="D871" s="1"/>
      <c r="E871" s="1"/>
      <c r="H871" s="2"/>
      <c r="L871" s="1"/>
      <c r="M871" s="1"/>
      <c r="N871" s="3"/>
    </row>
    <row r="872" spans="4:14" ht="15.75" customHeight="1">
      <c r="D872" s="1"/>
      <c r="E872" s="1"/>
      <c r="H872" s="2"/>
      <c r="L872" s="1"/>
      <c r="M872" s="1"/>
      <c r="N872" s="3"/>
    </row>
    <row r="873" spans="4:14" ht="15.75" customHeight="1">
      <c r="D873" s="1"/>
      <c r="E873" s="1"/>
      <c r="H873" s="2"/>
      <c r="L873" s="1"/>
      <c r="M873" s="1"/>
      <c r="N873" s="3"/>
    </row>
    <row r="874" spans="4:14" ht="15.75" customHeight="1">
      <c r="D874" s="1"/>
      <c r="E874" s="1"/>
      <c r="H874" s="2"/>
      <c r="L874" s="1"/>
      <c r="M874" s="1"/>
      <c r="N874" s="3"/>
    </row>
    <row r="875" spans="4:14" ht="15.75" customHeight="1">
      <c r="D875" s="1"/>
      <c r="E875" s="1"/>
      <c r="H875" s="2"/>
      <c r="L875" s="1"/>
      <c r="M875" s="1"/>
      <c r="N875" s="3"/>
    </row>
    <row r="876" spans="4:14" ht="15.75" customHeight="1">
      <c r="D876" s="1"/>
      <c r="E876" s="1"/>
      <c r="H876" s="2"/>
      <c r="L876" s="1"/>
      <c r="M876" s="1"/>
      <c r="N876" s="3"/>
    </row>
    <row r="877" spans="4:14" ht="15.75" customHeight="1">
      <c r="D877" s="1"/>
      <c r="E877" s="1"/>
      <c r="H877" s="2"/>
      <c r="L877" s="1"/>
      <c r="M877" s="1"/>
      <c r="N877" s="3"/>
    </row>
    <row r="878" spans="4:14" ht="15.75" customHeight="1">
      <c r="D878" s="1"/>
      <c r="E878" s="1"/>
      <c r="H878" s="2"/>
      <c r="L878" s="1"/>
      <c r="M878" s="1"/>
      <c r="N878" s="3"/>
    </row>
    <row r="879" spans="4:14" ht="15.75" customHeight="1">
      <c r="D879" s="1"/>
      <c r="E879" s="1"/>
      <c r="H879" s="2"/>
      <c r="L879" s="1"/>
      <c r="M879" s="1"/>
      <c r="N879" s="3"/>
    </row>
    <row r="880" spans="4:14" ht="15.75" customHeight="1">
      <c r="D880" s="1"/>
      <c r="E880" s="1"/>
      <c r="H880" s="2"/>
      <c r="L880" s="1"/>
      <c r="M880" s="1"/>
      <c r="N880" s="3"/>
    </row>
    <row r="881" spans="4:14" ht="15.75" customHeight="1">
      <c r="D881" s="1"/>
      <c r="E881" s="1"/>
      <c r="H881" s="2"/>
      <c r="L881" s="1"/>
      <c r="M881" s="1"/>
      <c r="N881" s="3"/>
    </row>
    <row r="882" spans="4:14" ht="15.75" customHeight="1">
      <c r="D882" s="1"/>
      <c r="E882" s="1"/>
      <c r="H882" s="2"/>
      <c r="L882" s="1"/>
      <c r="M882" s="1"/>
      <c r="N882" s="3"/>
    </row>
    <row r="883" spans="4:14" ht="15.75" customHeight="1">
      <c r="D883" s="1"/>
      <c r="E883" s="1"/>
      <c r="H883" s="2"/>
      <c r="L883" s="1"/>
      <c r="M883" s="1"/>
      <c r="N883" s="3"/>
    </row>
    <row r="884" spans="4:14" ht="15.75" customHeight="1">
      <c r="D884" s="1"/>
      <c r="E884" s="1"/>
      <c r="H884" s="2"/>
      <c r="L884" s="1"/>
      <c r="M884" s="1"/>
      <c r="N884" s="3"/>
    </row>
    <row r="885" spans="4:14" ht="15.75" customHeight="1">
      <c r="D885" s="1"/>
      <c r="E885" s="1"/>
      <c r="H885" s="2"/>
      <c r="L885" s="1"/>
      <c r="M885" s="1"/>
      <c r="N885" s="3"/>
    </row>
    <row r="886" spans="4:14" ht="15.75" customHeight="1">
      <c r="D886" s="1"/>
      <c r="E886" s="1"/>
      <c r="H886" s="2"/>
      <c r="L886" s="1"/>
      <c r="M886" s="1"/>
      <c r="N886" s="3"/>
    </row>
    <row r="887" spans="4:14" ht="15.75" customHeight="1">
      <c r="D887" s="1"/>
      <c r="E887" s="1"/>
      <c r="H887" s="2"/>
      <c r="L887" s="1"/>
      <c r="M887" s="1"/>
      <c r="N887" s="3"/>
    </row>
    <row r="888" spans="4:14" ht="15.75" customHeight="1">
      <c r="D888" s="1"/>
      <c r="E888" s="1"/>
      <c r="H888" s="2"/>
      <c r="L888" s="1"/>
      <c r="M888" s="1"/>
      <c r="N888" s="3"/>
    </row>
    <row r="889" spans="4:14" ht="15.75" customHeight="1">
      <c r="D889" s="1"/>
      <c r="E889" s="1"/>
      <c r="H889" s="2"/>
      <c r="L889" s="1"/>
      <c r="M889" s="1"/>
      <c r="N889" s="3"/>
    </row>
    <row r="890" spans="4:14" ht="15.75" customHeight="1">
      <c r="D890" s="1"/>
      <c r="E890" s="1"/>
      <c r="H890" s="2"/>
      <c r="L890" s="1"/>
      <c r="M890" s="1"/>
      <c r="N890" s="3"/>
    </row>
    <row r="891" spans="4:14" ht="15.75" customHeight="1">
      <c r="D891" s="1"/>
      <c r="E891" s="1"/>
      <c r="H891" s="2"/>
      <c r="L891" s="1"/>
      <c r="M891" s="1"/>
      <c r="N891" s="3"/>
    </row>
    <row r="892" spans="4:14" ht="15.75" customHeight="1">
      <c r="D892" s="1"/>
      <c r="E892" s="1"/>
      <c r="H892" s="2"/>
      <c r="L892" s="1"/>
      <c r="M892" s="1"/>
      <c r="N892" s="3"/>
    </row>
    <row r="893" spans="4:14" ht="15.75" customHeight="1">
      <c r="D893" s="1"/>
      <c r="E893" s="1"/>
      <c r="H893" s="2"/>
      <c r="L893" s="1"/>
      <c r="M893" s="1"/>
      <c r="N893" s="3"/>
    </row>
    <row r="894" spans="4:14" ht="15.75" customHeight="1">
      <c r="D894" s="1"/>
      <c r="E894" s="1"/>
      <c r="H894" s="2"/>
      <c r="L894" s="1"/>
      <c r="M894" s="1"/>
      <c r="N894" s="3"/>
    </row>
    <row r="895" spans="4:14" ht="15.75" customHeight="1">
      <c r="D895" s="1"/>
      <c r="E895" s="1"/>
      <c r="H895" s="2"/>
      <c r="L895" s="1"/>
      <c r="M895" s="1"/>
      <c r="N895" s="3"/>
    </row>
    <row r="896" spans="4:14" ht="15.75" customHeight="1">
      <c r="D896" s="1"/>
      <c r="E896" s="1"/>
      <c r="H896" s="2"/>
      <c r="L896" s="1"/>
      <c r="M896" s="1"/>
      <c r="N896" s="3"/>
    </row>
    <row r="897" spans="4:14" ht="15.75" customHeight="1">
      <c r="D897" s="1"/>
      <c r="E897" s="1"/>
      <c r="H897" s="2"/>
      <c r="L897" s="1"/>
      <c r="M897" s="1"/>
      <c r="N897" s="3"/>
    </row>
    <row r="898" spans="4:14" ht="15.75" customHeight="1">
      <c r="D898" s="1"/>
      <c r="E898" s="1"/>
      <c r="H898" s="2"/>
      <c r="L898" s="1"/>
      <c r="M898" s="1"/>
      <c r="N898" s="3"/>
    </row>
    <row r="899" spans="4:14" ht="15.75" customHeight="1">
      <c r="D899" s="1"/>
      <c r="E899" s="1"/>
      <c r="H899" s="2"/>
      <c r="L899" s="1"/>
      <c r="M899" s="1"/>
      <c r="N899" s="3"/>
    </row>
    <row r="900" spans="4:14" ht="15.75" customHeight="1">
      <c r="D900" s="1"/>
      <c r="E900" s="1"/>
      <c r="H900" s="2"/>
      <c r="L900" s="1"/>
      <c r="M900" s="1"/>
      <c r="N900" s="3"/>
    </row>
    <row r="901" spans="4:14" ht="15.75" customHeight="1">
      <c r="D901" s="1"/>
      <c r="E901" s="1"/>
      <c r="H901" s="2"/>
      <c r="L901" s="1"/>
      <c r="M901" s="1"/>
      <c r="N901" s="3"/>
    </row>
    <row r="902" spans="4:14" ht="15.75" customHeight="1">
      <c r="D902" s="1"/>
      <c r="E902" s="1"/>
      <c r="H902" s="2"/>
      <c r="L902" s="1"/>
      <c r="M902" s="1"/>
      <c r="N902" s="3"/>
    </row>
    <row r="903" spans="4:14" ht="15.75" customHeight="1">
      <c r="D903" s="1"/>
      <c r="E903" s="1"/>
      <c r="H903" s="2"/>
      <c r="L903" s="1"/>
      <c r="M903" s="1"/>
      <c r="N903" s="3"/>
    </row>
    <row r="904" spans="4:14" ht="15.75" customHeight="1">
      <c r="D904" s="1"/>
      <c r="E904" s="1"/>
      <c r="H904" s="2"/>
      <c r="L904" s="1"/>
      <c r="M904" s="1"/>
      <c r="N904" s="3"/>
    </row>
    <row r="905" spans="4:14" ht="15.75" customHeight="1">
      <c r="D905" s="1"/>
      <c r="E905" s="1"/>
      <c r="H905" s="2"/>
      <c r="L905" s="1"/>
      <c r="M905" s="1"/>
      <c r="N905" s="3"/>
    </row>
    <row r="906" spans="4:14" ht="15.75" customHeight="1">
      <c r="D906" s="1"/>
      <c r="E906" s="1"/>
      <c r="H906" s="2"/>
      <c r="L906" s="1"/>
      <c r="M906" s="1"/>
      <c r="N906" s="3"/>
    </row>
    <row r="907" spans="4:14" ht="15.75" customHeight="1">
      <c r="D907" s="1"/>
      <c r="E907" s="1"/>
      <c r="H907" s="2"/>
      <c r="L907" s="1"/>
      <c r="M907" s="1"/>
      <c r="N907" s="3"/>
    </row>
    <row r="908" spans="4:14" ht="15.75" customHeight="1">
      <c r="D908" s="1"/>
      <c r="E908" s="1"/>
      <c r="H908" s="2"/>
      <c r="L908" s="1"/>
      <c r="M908" s="1"/>
      <c r="N908" s="3"/>
    </row>
    <row r="909" spans="4:14" ht="15.75" customHeight="1">
      <c r="D909" s="1"/>
      <c r="E909" s="1"/>
      <c r="H909" s="2"/>
      <c r="L909" s="1"/>
      <c r="M909" s="1"/>
      <c r="N909" s="3"/>
    </row>
    <row r="910" spans="4:14" ht="15.75" customHeight="1">
      <c r="D910" s="1"/>
      <c r="E910" s="1"/>
      <c r="H910" s="2"/>
      <c r="L910" s="1"/>
      <c r="M910" s="1"/>
      <c r="N910" s="3"/>
    </row>
    <row r="911" spans="4:14" ht="15.75" customHeight="1">
      <c r="D911" s="1"/>
      <c r="E911" s="1"/>
      <c r="H911" s="2"/>
      <c r="L911" s="1"/>
      <c r="M911" s="1"/>
      <c r="N911" s="3"/>
    </row>
    <row r="912" spans="4:14" ht="15.75" customHeight="1">
      <c r="D912" s="1"/>
      <c r="E912" s="1"/>
      <c r="H912" s="2"/>
      <c r="L912" s="1"/>
      <c r="M912" s="1"/>
      <c r="N912" s="3"/>
    </row>
    <row r="913" spans="4:14" ht="15.75" customHeight="1">
      <c r="D913" s="1"/>
      <c r="E913" s="1"/>
      <c r="H913" s="2"/>
      <c r="L913" s="1"/>
      <c r="M913" s="1"/>
      <c r="N913" s="3"/>
    </row>
    <row r="914" spans="4:14" ht="15.75" customHeight="1">
      <c r="D914" s="1"/>
      <c r="E914" s="1"/>
      <c r="H914" s="2"/>
      <c r="L914" s="1"/>
      <c r="M914" s="1"/>
      <c r="N914" s="3"/>
    </row>
    <row r="915" spans="4:14" ht="15.75" customHeight="1">
      <c r="D915" s="1"/>
      <c r="E915" s="1"/>
      <c r="H915" s="2"/>
      <c r="L915" s="1"/>
      <c r="M915" s="1"/>
      <c r="N915" s="3"/>
    </row>
    <row r="916" spans="4:14" ht="15.75" customHeight="1">
      <c r="D916" s="1"/>
      <c r="E916" s="1"/>
      <c r="H916" s="2"/>
      <c r="L916" s="1"/>
      <c r="M916" s="1"/>
      <c r="N916" s="3"/>
    </row>
    <row r="917" spans="4:14" ht="15.75" customHeight="1">
      <c r="D917" s="1"/>
      <c r="E917" s="1"/>
      <c r="H917" s="2"/>
      <c r="L917" s="1"/>
      <c r="M917" s="1"/>
      <c r="N917" s="3"/>
    </row>
    <row r="918" spans="4:14" ht="15.75" customHeight="1">
      <c r="D918" s="1"/>
      <c r="E918" s="1"/>
      <c r="H918" s="2"/>
      <c r="L918" s="1"/>
      <c r="M918" s="1"/>
      <c r="N918" s="3"/>
    </row>
    <row r="919" spans="4:14" ht="15.75" customHeight="1">
      <c r="D919" s="1"/>
      <c r="E919" s="1"/>
      <c r="H919" s="2"/>
      <c r="L919" s="1"/>
      <c r="M919" s="1"/>
      <c r="N919" s="3"/>
    </row>
    <row r="920" spans="4:14" ht="15.75" customHeight="1">
      <c r="D920" s="1"/>
      <c r="E920" s="1"/>
      <c r="H920" s="2"/>
      <c r="L920" s="1"/>
      <c r="M920" s="1"/>
      <c r="N920" s="3"/>
    </row>
    <row r="921" spans="4:14" ht="15.75" customHeight="1">
      <c r="D921" s="1"/>
      <c r="E921" s="1"/>
      <c r="H921" s="2"/>
      <c r="L921" s="1"/>
      <c r="M921" s="1"/>
      <c r="N921" s="3"/>
    </row>
    <row r="922" spans="4:14" ht="15.75" customHeight="1">
      <c r="D922" s="1"/>
      <c r="E922" s="1"/>
      <c r="H922" s="2"/>
      <c r="L922" s="1"/>
      <c r="M922" s="1"/>
      <c r="N922" s="3"/>
    </row>
    <row r="923" spans="4:14" ht="15.75" customHeight="1">
      <c r="D923" s="1"/>
      <c r="E923" s="1"/>
      <c r="H923" s="2"/>
      <c r="L923" s="1"/>
      <c r="M923" s="1"/>
      <c r="N923" s="3"/>
    </row>
    <row r="924" spans="4:14" ht="15.75" customHeight="1">
      <c r="D924" s="1"/>
      <c r="E924" s="1"/>
      <c r="H924" s="2"/>
      <c r="L924" s="1"/>
      <c r="M924" s="1"/>
      <c r="N924" s="3"/>
    </row>
    <row r="925" spans="4:14" ht="15.75" customHeight="1">
      <c r="D925" s="1"/>
      <c r="E925" s="1"/>
      <c r="H925" s="2"/>
      <c r="L925" s="1"/>
      <c r="M925" s="1"/>
      <c r="N925" s="3"/>
    </row>
    <row r="926" spans="4:14" ht="15.75" customHeight="1">
      <c r="D926" s="1"/>
      <c r="E926" s="1"/>
      <c r="H926" s="2"/>
      <c r="L926" s="1"/>
      <c r="M926" s="1"/>
      <c r="N926" s="3"/>
    </row>
    <row r="927" spans="4:14" ht="15.75" customHeight="1">
      <c r="D927" s="1"/>
      <c r="E927" s="1"/>
      <c r="H927" s="2"/>
      <c r="L927" s="1"/>
      <c r="M927" s="1"/>
      <c r="N927" s="3"/>
    </row>
    <row r="928" spans="4:14" ht="15.75" customHeight="1">
      <c r="D928" s="1"/>
      <c r="E928" s="1"/>
      <c r="H928" s="2"/>
      <c r="L928" s="1"/>
      <c r="M928" s="1"/>
      <c r="N928" s="3"/>
    </row>
    <row r="929" spans="4:14" ht="15.75" customHeight="1">
      <c r="D929" s="1"/>
      <c r="E929" s="1"/>
      <c r="H929" s="2"/>
      <c r="L929" s="1"/>
      <c r="M929" s="1"/>
      <c r="N929" s="3"/>
    </row>
    <row r="930" spans="4:14" ht="15.75" customHeight="1">
      <c r="D930" s="1"/>
      <c r="E930" s="1"/>
      <c r="H930" s="2"/>
      <c r="L930" s="1"/>
      <c r="M930" s="1"/>
      <c r="N930" s="3"/>
    </row>
    <row r="931" spans="4:14" ht="15.75" customHeight="1">
      <c r="D931" s="1"/>
      <c r="E931" s="1"/>
      <c r="H931" s="2"/>
      <c r="L931" s="1"/>
      <c r="M931" s="1"/>
      <c r="N931" s="3"/>
    </row>
    <row r="932" spans="4:14" ht="15.75" customHeight="1">
      <c r="D932" s="1"/>
      <c r="E932" s="1"/>
      <c r="H932" s="2"/>
      <c r="L932" s="1"/>
      <c r="M932" s="1"/>
      <c r="N932" s="3"/>
    </row>
    <row r="933" spans="4:14" ht="15.75" customHeight="1">
      <c r="D933" s="1"/>
      <c r="E933" s="1"/>
      <c r="H933" s="2"/>
      <c r="L933" s="1"/>
      <c r="M933" s="1"/>
      <c r="N933" s="3"/>
    </row>
    <row r="934" spans="4:14" ht="15.75" customHeight="1">
      <c r="D934" s="1"/>
      <c r="E934" s="1"/>
      <c r="H934" s="2"/>
      <c r="L934" s="1"/>
      <c r="M934" s="1"/>
      <c r="N934" s="3"/>
    </row>
    <row r="935" spans="4:14" ht="15.75" customHeight="1">
      <c r="D935" s="1"/>
      <c r="E935" s="1"/>
      <c r="H935" s="2"/>
      <c r="L935" s="1"/>
      <c r="M935" s="1"/>
      <c r="N935" s="3"/>
    </row>
    <row r="936" spans="4:14" ht="15.75" customHeight="1">
      <c r="D936" s="1"/>
      <c r="E936" s="1"/>
      <c r="H936" s="2"/>
      <c r="L936" s="1"/>
      <c r="M936" s="1"/>
      <c r="N936" s="3"/>
    </row>
    <row r="937" spans="4:14" ht="15.75" customHeight="1">
      <c r="D937" s="1"/>
      <c r="E937" s="1"/>
      <c r="H937" s="2"/>
      <c r="L937" s="1"/>
      <c r="M937" s="1"/>
      <c r="N937" s="3"/>
    </row>
    <row r="938" spans="4:14" ht="15.75" customHeight="1">
      <c r="D938" s="1"/>
      <c r="E938" s="1"/>
      <c r="H938" s="2"/>
      <c r="L938" s="1"/>
      <c r="M938" s="1"/>
      <c r="N938" s="3"/>
    </row>
    <row r="939" spans="4:14" ht="15.75" customHeight="1">
      <c r="D939" s="1"/>
      <c r="E939" s="1"/>
      <c r="H939" s="2"/>
      <c r="L939" s="1"/>
      <c r="M939" s="1"/>
      <c r="N939" s="3"/>
    </row>
    <row r="940" spans="4:14" ht="15.75" customHeight="1">
      <c r="D940" s="1"/>
      <c r="E940" s="1"/>
      <c r="H940" s="2"/>
      <c r="L940" s="1"/>
      <c r="M940" s="1"/>
      <c r="N940" s="3"/>
    </row>
    <row r="941" spans="4:14" ht="15.75" customHeight="1">
      <c r="D941" s="1"/>
      <c r="E941" s="1"/>
      <c r="H941" s="2"/>
      <c r="L941" s="1"/>
      <c r="M941" s="1"/>
      <c r="N941" s="3"/>
    </row>
    <row r="942" spans="4:14" ht="15.75" customHeight="1">
      <c r="D942" s="1"/>
      <c r="E942" s="1"/>
      <c r="H942" s="2"/>
      <c r="L942" s="1"/>
      <c r="M942" s="1"/>
      <c r="N942" s="3"/>
    </row>
    <row r="943" spans="4:14" ht="15.75" customHeight="1">
      <c r="D943" s="1"/>
      <c r="E943" s="1"/>
      <c r="H943" s="2"/>
      <c r="L943" s="1"/>
      <c r="M943" s="1"/>
      <c r="N943" s="3"/>
    </row>
    <row r="944" spans="4:14" ht="15.75" customHeight="1">
      <c r="D944" s="1"/>
      <c r="E944" s="1"/>
      <c r="H944" s="2"/>
      <c r="L944" s="1"/>
      <c r="M944" s="1"/>
      <c r="N944" s="3"/>
    </row>
    <row r="945" spans="4:14" ht="15.75" customHeight="1">
      <c r="D945" s="1"/>
      <c r="E945" s="1"/>
      <c r="H945" s="2"/>
      <c r="L945" s="1"/>
      <c r="M945" s="1"/>
      <c r="N945" s="3"/>
    </row>
    <row r="946" spans="4:14" ht="15.75" customHeight="1">
      <c r="D946" s="1"/>
      <c r="E946" s="1"/>
      <c r="H946" s="2"/>
      <c r="L946" s="1"/>
      <c r="M946" s="1"/>
      <c r="N946" s="3"/>
    </row>
    <row r="947" spans="4:14" ht="15.75" customHeight="1">
      <c r="D947" s="1"/>
      <c r="E947" s="1"/>
      <c r="H947" s="2"/>
      <c r="L947" s="1"/>
      <c r="M947" s="1"/>
      <c r="N947" s="3"/>
    </row>
    <row r="948" spans="4:14" ht="15.75" customHeight="1">
      <c r="D948" s="1"/>
      <c r="E948" s="1"/>
      <c r="H948" s="2"/>
      <c r="L948" s="1"/>
      <c r="M948" s="1"/>
      <c r="N948" s="3"/>
    </row>
    <row r="949" spans="4:14" ht="15.75" customHeight="1">
      <c r="D949" s="1"/>
      <c r="E949" s="1"/>
      <c r="H949" s="2"/>
      <c r="L949" s="1"/>
      <c r="M949" s="1"/>
      <c r="N949" s="3"/>
    </row>
    <row r="950" spans="4:14" ht="15.75" customHeight="1">
      <c r="D950" s="1"/>
      <c r="E950" s="1"/>
      <c r="H950" s="2"/>
      <c r="L950" s="1"/>
      <c r="M950" s="1"/>
      <c r="N950" s="3"/>
    </row>
    <row r="951" spans="4:14" ht="15.75" customHeight="1">
      <c r="D951" s="1"/>
      <c r="E951" s="1"/>
      <c r="H951" s="2"/>
      <c r="L951" s="1"/>
      <c r="M951" s="1"/>
      <c r="N951" s="3"/>
    </row>
    <row r="952" spans="4:14" ht="15.75" customHeight="1">
      <c r="D952" s="1"/>
      <c r="E952" s="1"/>
      <c r="H952" s="2"/>
      <c r="L952" s="1"/>
      <c r="M952" s="1"/>
      <c r="N952" s="3"/>
    </row>
    <row r="953" spans="4:14" ht="15.75" customHeight="1">
      <c r="D953" s="1"/>
      <c r="E953" s="1"/>
      <c r="H953" s="2"/>
      <c r="L953" s="1"/>
      <c r="M953" s="1"/>
      <c r="N953" s="3"/>
    </row>
    <row r="954" spans="4:14" ht="15.75" customHeight="1">
      <c r="D954" s="1"/>
      <c r="E954" s="1"/>
      <c r="H954" s="2"/>
      <c r="L954" s="1"/>
      <c r="M954" s="1"/>
      <c r="N954" s="3"/>
    </row>
    <row r="955" spans="4:14" ht="15.75" customHeight="1">
      <c r="D955" s="1"/>
      <c r="E955" s="1"/>
      <c r="H955" s="2"/>
      <c r="L955" s="1"/>
      <c r="M955" s="1"/>
      <c r="N955" s="3"/>
    </row>
    <row r="956" spans="4:14" ht="15.75" customHeight="1">
      <c r="D956" s="1"/>
      <c r="E956" s="1"/>
      <c r="H956" s="2"/>
      <c r="L956" s="1"/>
      <c r="M956" s="1"/>
      <c r="N956" s="3"/>
    </row>
    <row r="957" spans="4:14" ht="15.75" customHeight="1">
      <c r="D957" s="1"/>
      <c r="E957" s="1"/>
      <c r="H957" s="2"/>
      <c r="L957" s="1"/>
      <c r="M957" s="1"/>
      <c r="N957" s="3"/>
    </row>
    <row r="958" spans="4:14" ht="15.75" customHeight="1">
      <c r="D958" s="1"/>
      <c r="E958" s="1"/>
      <c r="H958" s="2"/>
      <c r="L958" s="1"/>
      <c r="M958" s="1"/>
      <c r="N958" s="3"/>
    </row>
    <row r="959" spans="4:14" ht="15.75" customHeight="1">
      <c r="D959" s="1"/>
      <c r="E959" s="1"/>
      <c r="H959" s="2"/>
      <c r="L959" s="1"/>
      <c r="M959" s="1"/>
      <c r="N959" s="3"/>
    </row>
    <row r="960" spans="4:14" ht="15.75" customHeight="1">
      <c r="D960" s="1"/>
      <c r="E960" s="1"/>
      <c r="H960" s="2"/>
      <c r="L960" s="1"/>
      <c r="M960" s="1"/>
      <c r="N960" s="3"/>
    </row>
    <row r="961" spans="4:14" ht="15.75" customHeight="1">
      <c r="D961" s="1"/>
      <c r="E961" s="1"/>
      <c r="H961" s="2"/>
      <c r="L961" s="1"/>
      <c r="M961" s="1"/>
      <c r="N961" s="3"/>
    </row>
    <row r="962" spans="4:14" ht="15.75" customHeight="1">
      <c r="D962" s="1"/>
      <c r="E962" s="1"/>
      <c r="H962" s="2"/>
      <c r="L962" s="1"/>
      <c r="M962" s="1"/>
      <c r="N962" s="3"/>
    </row>
    <row r="963" spans="4:14" ht="15.75" customHeight="1">
      <c r="D963" s="1"/>
      <c r="E963" s="1"/>
      <c r="H963" s="2"/>
      <c r="L963" s="1"/>
      <c r="M963" s="1"/>
      <c r="N963" s="3"/>
    </row>
    <row r="964" spans="4:14" ht="15.75" customHeight="1">
      <c r="D964" s="1"/>
      <c r="E964" s="1"/>
      <c r="H964" s="2"/>
      <c r="L964" s="1"/>
      <c r="M964" s="1"/>
      <c r="N964" s="3"/>
    </row>
    <row r="965" spans="4:14" ht="15.75" customHeight="1">
      <c r="D965" s="1"/>
      <c r="E965" s="1"/>
      <c r="H965" s="2"/>
      <c r="L965" s="1"/>
      <c r="M965" s="1"/>
      <c r="N965" s="3"/>
    </row>
    <row r="966" spans="4:14" ht="15.75" customHeight="1">
      <c r="D966" s="1"/>
      <c r="E966" s="1"/>
      <c r="H966" s="2"/>
      <c r="L966" s="1"/>
      <c r="M966" s="1"/>
      <c r="N966" s="3"/>
    </row>
    <row r="967" spans="4:14" ht="15.75" customHeight="1">
      <c r="D967" s="1"/>
      <c r="E967" s="1"/>
      <c r="H967" s="2"/>
      <c r="L967" s="1"/>
      <c r="M967" s="1"/>
      <c r="N967" s="3"/>
    </row>
    <row r="968" spans="4:14" ht="15.75" customHeight="1">
      <c r="D968" s="1"/>
      <c r="E968" s="1"/>
      <c r="H968" s="2"/>
      <c r="L968" s="1"/>
      <c r="M968" s="1"/>
      <c r="N968" s="3"/>
    </row>
    <row r="969" spans="4:14" ht="15.75" customHeight="1">
      <c r="D969" s="1"/>
      <c r="E969" s="1"/>
      <c r="H969" s="2"/>
      <c r="L969" s="1"/>
      <c r="M969" s="1"/>
      <c r="N969" s="3"/>
    </row>
    <row r="970" spans="4:14" ht="15.75" customHeight="1">
      <c r="D970" s="1"/>
      <c r="E970" s="1"/>
      <c r="H970" s="2"/>
      <c r="L970" s="1"/>
      <c r="M970" s="1"/>
      <c r="N970" s="3"/>
    </row>
    <row r="971" spans="4:14" ht="15.75" customHeight="1">
      <c r="D971" s="1"/>
      <c r="E971" s="1"/>
      <c r="H971" s="2"/>
      <c r="L971" s="1"/>
      <c r="M971" s="1"/>
      <c r="N971" s="3"/>
    </row>
    <row r="972" spans="4:14" ht="15.75" customHeight="1">
      <c r="D972" s="1"/>
      <c r="E972" s="1"/>
      <c r="H972" s="2"/>
      <c r="L972" s="1"/>
      <c r="M972" s="1"/>
      <c r="N972" s="3"/>
    </row>
    <row r="973" spans="4:14" ht="15.75" customHeight="1">
      <c r="D973" s="1"/>
      <c r="E973" s="1"/>
      <c r="H973" s="2"/>
      <c r="L973" s="1"/>
      <c r="M973" s="1"/>
      <c r="N973" s="3"/>
    </row>
    <row r="974" spans="4:14" ht="15.75" customHeight="1">
      <c r="D974" s="1"/>
      <c r="E974" s="1"/>
      <c r="H974" s="2"/>
      <c r="L974" s="1"/>
      <c r="M974" s="1"/>
      <c r="N974" s="3"/>
    </row>
    <row r="975" spans="4:14" ht="15.75" customHeight="1">
      <c r="D975" s="1"/>
      <c r="E975" s="1"/>
      <c r="H975" s="2"/>
      <c r="L975" s="1"/>
      <c r="M975" s="1"/>
      <c r="N975" s="3"/>
    </row>
    <row r="976" spans="4:14" ht="15.75" customHeight="1">
      <c r="D976" s="1"/>
      <c r="E976" s="1"/>
      <c r="H976" s="2"/>
      <c r="L976" s="1"/>
      <c r="M976" s="1"/>
      <c r="N976" s="3"/>
    </row>
    <row r="977" spans="4:14" ht="15.75" customHeight="1">
      <c r="D977" s="1"/>
      <c r="E977" s="1"/>
      <c r="H977" s="2"/>
      <c r="L977" s="1"/>
      <c r="M977" s="1"/>
      <c r="N977" s="3"/>
    </row>
    <row r="978" spans="4:14" ht="15.75" customHeight="1">
      <c r="D978" s="1"/>
      <c r="E978" s="1"/>
      <c r="H978" s="2"/>
      <c r="L978" s="1"/>
      <c r="M978" s="1"/>
      <c r="N978" s="3"/>
    </row>
    <row r="979" spans="4:14" ht="15.75" customHeight="1">
      <c r="D979" s="1"/>
      <c r="E979" s="1"/>
      <c r="H979" s="2"/>
      <c r="L979" s="1"/>
      <c r="M979" s="1"/>
      <c r="N979" s="3"/>
    </row>
    <row r="980" spans="4:14" ht="15.75" customHeight="1">
      <c r="D980" s="1"/>
      <c r="E980" s="1"/>
      <c r="H980" s="2"/>
      <c r="L980" s="1"/>
      <c r="M980" s="1"/>
      <c r="N980" s="3"/>
    </row>
    <row r="981" spans="4:14" ht="15.75" customHeight="1">
      <c r="D981" s="1"/>
      <c r="E981" s="1"/>
      <c r="H981" s="2"/>
      <c r="L981" s="1"/>
      <c r="M981" s="1"/>
      <c r="N981" s="3"/>
    </row>
    <row r="982" spans="4:14" ht="15.75" customHeight="1">
      <c r="D982" s="1"/>
      <c r="E982" s="1"/>
      <c r="H982" s="2"/>
      <c r="L982" s="1"/>
      <c r="M982" s="1"/>
      <c r="N982" s="3"/>
    </row>
    <row r="983" spans="4:14" ht="15.75" customHeight="1">
      <c r="D983" s="1"/>
      <c r="E983" s="1"/>
      <c r="H983" s="2"/>
      <c r="L983" s="1"/>
      <c r="M983" s="1"/>
      <c r="N983" s="3"/>
    </row>
    <row r="984" spans="4:14" ht="15.75" customHeight="1">
      <c r="D984" s="1"/>
      <c r="E984" s="1"/>
      <c r="H984" s="2"/>
      <c r="L984" s="1"/>
      <c r="M984" s="1"/>
      <c r="N984" s="3"/>
    </row>
    <row r="985" spans="4:14" ht="15.75" customHeight="1">
      <c r="D985" s="1"/>
      <c r="E985" s="1"/>
      <c r="H985" s="2"/>
      <c r="L985" s="1"/>
      <c r="M985" s="1"/>
      <c r="N985" s="3"/>
    </row>
    <row r="986" spans="4:14" ht="15.75" customHeight="1">
      <c r="D986" s="1"/>
      <c r="E986" s="1"/>
      <c r="H986" s="2"/>
      <c r="L986" s="1"/>
      <c r="M986" s="1"/>
      <c r="N986" s="3"/>
    </row>
    <row r="987" spans="4:14" ht="15.75" customHeight="1">
      <c r="D987" s="1"/>
      <c r="E987" s="1"/>
      <c r="H987" s="2"/>
      <c r="L987" s="1"/>
      <c r="M987" s="1"/>
      <c r="N987" s="3"/>
    </row>
    <row r="988" spans="4:14" ht="15.75" customHeight="1">
      <c r="D988" s="1"/>
      <c r="E988" s="1"/>
      <c r="H988" s="2"/>
      <c r="L988" s="1"/>
      <c r="M988" s="1"/>
      <c r="N988" s="3"/>
    </row>
    <row r="989" spans="4:14" ht="15.75" customHeight="1">
      <c r="D989" s="1"/>
      <c r="E989" s="1"/>
      <c r="H989" s="2"/>
      <c r="L989" s="1"/>
      <c r="M989" s="1"/>
      <c r="N989" s="3"/>
    </row>
    <row r="990" spans="4:14" ht="15.75" customHeight="1">
      <c r="D990" s="1"/>
      <c r="E990" s="1"/>
      <c r="H990" s="2"/>
      <c r="L990" s="1"/>
      <c r="M990" s="1"/>
      <c r="N990" s="3"/>
    </row>
    <row r="991" spans="4:14" ht="15.75" customHeight="1">
      <c r="D991" s="1"/>
      <c r="E991" s="1"/>
      <c r="H991" s="2"/>
      <c r="L991" s="1"/>
      <c r="M991" s="1"/>
      <c r="N991" s="3"/>
    </row>
    <row r="992" spans="4:14" ht="15.75" customHeight="1">
      <c r="D992" s="1"/>
      <c r="E992" s="1"/>
      <c r="H992" s="2"/>
      <c r="L992" s="1"/>
      <c r="M992" s="1"/>
      <c r="N992" s="3"/>
    </row>
    <row r="993" spans="4:14" ht="15.75" customHeight="1">
      <c r="D993" s="1"/>
      <c r="E993" s="1"/>
      <c r="H993" s="2"/>
      <c r="L993" s="1"/>
      <c r="M993" s="1"/>
      <c r="N993" s="3"/>
    </row>
    <row r="994" spans="4:14" ht="15.75" customHeight="1">
      <c r="D994" s="1"/>
      <c r="E994" s="1"/>
      <c r="H994" s="2"/>
      <c r="L994" s="1"/>
      <c r="M994" s="1"/>
      <c r="N994" s="3"/>
    </row>
    <row r="995" spans="4:14" ht="15.75" customHeight="1">
      <c r="D995" s="1"/>
      <c r="E995" s="1"/>
      <c r="H995" s="2"/>
      <c r="L995" s="1"/>
      <c r="M995" s="1"/>
      <c r="N995" s="3"/>
    </row>
    <row r="996" spans="4:14" ht="15.75" customHeight="1">
      <c r="D996" s="1"/>
      <c r="E996" s="1"/>
      <c r="H996" s="2"/>
      <c r="L996" s="1"/>
      <c r="M996" s="1"/>
      <c r="N996" s="3"/>
    </row>
    <row r="997" spans="4:14" ht="15.75" customHeight="1">
      <c r="D997" s="1"/>
      <c r="E997" s="1"/>
      <c r="H997" s="2"/>
      <c r="L997" s="1"/>
      <c r="M997" s="1"/>
      <c r="N997" s="3"/>
    </row>
    <row r="998" spans="4:14" ht="15.75" customHeight="1">
      <c r="D998" s="1"/>
      <c r="E998" s="1"/>
      <c r="H998" s="2"/>
      <c r="L998" s="1"/>
      <c r="M998" s="1"/>
      <c r="N998" s="3"/>
    </row>
    <row r="999" spans="4:14" ht="15.75" customHeight="1">
      <c r="D999" s="1"/>
      <c r="E999" s="1"/>
      <c r="H999" s="2"/>
      <c r="L999" s="1"/>
      <c r="M999" s="1"/>
      <c r="N999" s="3"/>
    </row>
    <row r="1000" spans="4:14" ht="15.75" customHeight="1">
      <c r="D1000" s="1"/>
      <c r="E1000" s="1"/>
      <c r="H1000" s="2"/>
      <c r="L1000" s="1"/>
      <c r="M1000" s="1"/>
      <c r="N1000" s="3"/>
    </row>
    <row r="1001" spans="4:14" ht="15.75" customHeight="1">
      <c r="D1001" s="1"/>
      <c r="E1001" s="1"/>
      <c r="H1001" s="2"/>
      <c r="L1001" s="1"/>
      <c r="M1001" s="1"/>
      <c r="N1001" s="3"/>
    </row>
    <row r="1002" spans="4:14" ht="15.75" customHeight="1">
      <c r="D1002" s="1"/>
      <c r="E1002" s="1"/>
      <c r="H1002" s="2"/>
      <c r="L1002" s="1"/>
      <c r="M1002" s="1"/>
      <c r="N1002" s="3"/>
    </row>
    <row r="1003" spans="4:14" ht="15.75" customHeight="1">
      <c r="D1003" s="1"/>
      <c r="E1003" s="1"/>
      <c r="H1003" s="2"/>
      <c r="L1003" s="1"/>
      <c r="M1003" s="1"/>
      <c r="N1003" s="3"/>
    </row>
    <row r="1004" spans="4:14" ht="15.75" customHeight="1">
      <c r="D1004" s="1"/>
      <c r="E1004" s="1"/>
      <c r="H1004" s="2"/>
      <c r="L1004" s="1"/>
      <c r="M1004" s="1"/>
      <c r="N1004" s="3"/>
    </row>
    <row r="1005" spans="4:14" ht="15.75" customHeight="1">
      <c r="D1005" s="1"/>
      <c r="E1005" s="1"/>
      <c r="H1005" s="2"/>
      <c r="L1005" s="1"/>
      <c r="M1005" s="1"/>
      <c r="N1005" s="3"/>
    </row>
  </sheetData>
  <printOptions/>
  <pageMargins left="0.7" right="0.7" top="0.75" bottom="0.75" header="0" footer="0"/>
  <pageSetup horizontalDpi="600" verticalDpi="600" orientation="portrait" paperSize="9"/>
  <ignoredErrors>
    <ignoredError sqref="C3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1FDE4-D4FF-4324-ADDF-CD751A6E65E8}">
  <dimension ref="B3:E10"/>
  <sheetViews>
    <sheetView workbookViewId="0" topLeftCell="A1">
      <selection activeCell="G11" sqref="G11"/>
    </sheetView>
  </sheetViews>
  <sheetFormatPr defaultColWidth="9.00390625" defaultRowHeight="14.25"/>
  <cols>
    <col min="3" max="3" width="9.875" style="0" bestFit="1" customWidth="1"/>
    <col min="4" max="4" width="19.125" style="0" bestFit="1" customWidth="1"/>
    <col min="5" max="5" width="18.50390625" style="0" bestFit="1" customWidth="1"/>
  </cols>
  <sheetData>
    <row r="3" spans="2:5" ht="14.25">
      <c r="B3" s="164" t="s">
        <v>234</v>
      </c>
      <c r="C3" s="164" t="s">
        <v>236</v>
      </c>
      <c r="D3" s="164" t="s">
        <v>235</v>
      </c>
      <c r="E3" s="164" t="s">
        <v>238</v>
      </c>
    </row>
    <row r="4" spans="2:5" ht="14.25">
      <c r="B4" s="164">
        <v>1</v>
      </c>
      <c r="C4" s="164" t="s">
        <v>237</v>
      </c>
      <c r="D4" s="164" t="s">
        <v>245</v>
      </c>
      <c r="E4" s="164">
        <v>0</v>
      </c>
    </row>
    <row r="5" spans="2:5" ht="14.25">
      <c r="B5" s="164">
        <v>2</v>
      </c>
      <c r="C5" s="164" t="s">
        <v>240</v>
      </c>
      <c r="D5" s="164" t="s">
        <v>245</v>
      </c>
      <c r="E5" s="164">
        <v>0</v>
      </c>
    </row>
    <row r="6" spans="2:5" ht="14.25">
      <c r="B6" s="164">
        <v>3</v>
      </c>
      <c r="C6" s="164" t="s">
        <v>241</v>
      </c>
      <c r="D6" s="164" t="s">
        <v>245</v>
      </c>
      <c r="E6" s="164">
        <v>0</v>
      </c>
    </row>
    <row r="7" spans="2:5" ht="14.25">
      <c r="B7" s="164">
        <v>4</v>
      </c>
      <c r="C7" s="164" t="s">
        <v>239</v>
      </c>
      <c r="D7" s="164" t="s">
        <v>245</v>
      </c>
      <c r="E7" s="164">
        <v>0</v>
      </c>
    </row>
    <row r="8" spans="2:5" ht="14.25">
      <c r="B8" s="164">
        <v>5</v>
      </c>
      <c r="C8" s="164" t="s">
        <v>242</v>
      </c>
      <c r="D8" s="164" t="s">
        <v>245</v>
      </c>
      <c r="E8" s="164">
        <v>0</v>
      </c>
    </row>
    <row r="9" spans="2:5" ht="14.25">
      <c r="B9" s="164">
        <v>6</v>
      </c>
      <c r="C9" s="164" t="s">
        <v>243</v>
      </c>
      <c r="D9" s="164" t="s">
        <v>245</v>
      </c>
      <c r="E9" s="164">
        <v>0</v>
      </c>
    </row>
    <row r="10" spans="2:5" ht="14.25">
      <c r="B10" s="164">
        <v>7</v>
      </c>
      <c r="C10" s="164" t="s">
        <v>244</v>
      </c>
      <c r="D10" s="164" t="s">
        <v>245</v>
      </c>
      <c r="E10" s="164">
        <v>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U44"/>
  <sheetViews>
    <sheetView workbookViewId="0" topLeftCell="A7">
      <selection activeCell="C23" sqref="C23"/>
    </sheetView>
  </sheetViews>
  <sheetFormatPr defaultColWidth="12.625" defaultRowHeight="15" customHeight="1"/>
  <sheetData>
    <row r="1" spans="1:21" ht="15">
      <c r="A1" s="139" t="s">
        <v>0</v>
      </c>
      <c r="B1" s="140" t="s">
        <v>1</v>
      </c>
      <c r="C1" s="140" t="s">
        <v>2</v>
      </c>
      <c r="D1" s="140" t="s">
        <v>3</v>
      </c>
      <c r="E1" s="140" t="s">
        <v>4</v>
      </c>
      <c r="F1" s="140" t="s">
        <v>5</v>
      </c>
      <c r="G1" s="140" t="s">
        <v>6</v>
      </c>
      <c r="H1" s="140" t="s">
        <v>7</v>
      </c>
      <c r="I1" s="140" t="s">
        <v>8</v>
      </c>
      <c r="J1" s="140" t="s">
        <v>9</v>
      </c>
      <c r="K1" s="140" t="s">
        <v>10</v>
      </c>
      <c r="L1" s="140" t="s">
        <v>11</v>
      </c>
      <c r="M1" s="140" t="s">
        <v>12</v>
      </c>
      <c r="N1" s="140" t="s">
        <v>13</v>
      </c>
      <c r="O1" s="140" t="s">
        <v>14</v>
      </c>
      <c r="P1" s="140" t="s">
        <v>15</v>
      </c>
      <c r="Q1" s="140" t="s">
        <v>16</v>
      </c>
      <c r="R1" s="140" t="s">
        <v>17</v>
      </c>
      <c r="S1" s="140" t="s">
        <v>18</v>
      </c>
      <c r="T1" s="140" t="s">
        <v>19</v>
      </c>
      <c r="U1" s="140" t="s">
        <v>20</v>
      </c>
    </row>
    <row r="2" spans="1:21" ht="15">
      <c r="A2" s="141" t="s">
        <v>33</v>
      </c>
      <c r="B2" s="111">
        <v>20</v>
      </c>
      <c r="C2" s="142">
        <v>3</v>
      </c>
      <c r="D2" s="142">
        <v>2</v>
      </c>
      <c r="E2" s="142">
        <v>4</v>
      </c>
      <c r="F2" s="142">
        <v>0</v>
      </c>
      <c r="G2" s="142">
        <v>1</v>
      </c>
      <c r="H2" s="142">
        <v>0</v>
      </c>
      <c r="I2" s="142">
        <v>0</v>
      </c>
      <c r="J2" s="111">
        <f>2+3+1</f>
        <v>6</v>
      </c>
      <c r="K2" s="111">
        <v>2</v>
      </c>
      <c r="L2" s="142">
        <v>0</v>
      </c>
      <c r="M2" s="111">
        <v>0</v>
      </c>
      <c r="N2" s="142">
        <v>3</v>
      </c>
      <c r="O2" s="111">
        <v>0</v>
      </c>
      <c r="P2" s="111">
        <v>1</v>
      </c>
      <c r="Q2" s="142">
        <v>0</v>
      </c>
      <c r="R2" s="111">
        <v>1</v>
      </c>
      <c r="S2" s="111">
        <v>0</v>
      </c>
      <c r="T2" s="142">
        <v>0</v>
      </c>
      <c r="U2" s="142">
        <v>0</v>
      </c>
    </row>
    <row r="3" spans="1:21" ht="15">
      <c r="A3" s="141" t="s">
        <v>34</v>
      </c>
      <c r="B3" s="111">
        <v>9</v>
      </c>
      <c r="C3" s="142">
        <v>1</v>
      </c>
      <c r="D3" s="142">
        <v>0</v>
      </c>
      <c r="E3" s="142">
        <v>1</v>
      </c>
      <c r="F3" s="142">
        <v>0</v>
      </c>
      <c r="G3" s="142">
        <v>0</v>
      </c>
      <c r="H3" s="142">
        <v>0</v>
      </c>
      <c r="I3" s="142">
        <v>0</v>
      </c>
      <c r="J3" s="111">
        <v>2</v>
      </c>
      <c r="K3" s="111">
        <v>0</v>
      </c>
      <c r="L3" s="142">
        <v>0</v>
      </c>
      <c r="M3" s="111">
        <v>0</v>
      </c>
      <c r="N3" s="142">
        <v>1</v>
      </c>
      <c r="O3" s="111">
        <v>0</v>
      </c>
      <c r="P3" s="111">
        <v>1</v>
      </c>
      <c r="Q3" s="142">
        <v>0</v>
      </c>
      <c r="R3" s="111">
        <v>0</v>
      </c>
      <c r="S3" s="111">
        <v>0</v>
      </c>
      <c r="T3" s="142">
        <v>0</v>
      </c>
      <c r="U3" s="142">
        <v>0</v>
      </c>
    </row>
    <row r="4" spans="1:21" ht="15">
      <c r="A4" s="141" t="s">
        <v>35</v>
      </c>
      <c r="B4" s="111">
        <v>6</v>
      </c>
      <c r="C4" s="142">
        <v>0</v>
      </c>
      <c r="D4" s="142">
        <v>0</v>
      </c>
      <c r="E4" s="142">
        <v>0</v>
      </c>
      <c r="F4" s="142">
        <v>0</v>
      </c>
      <c r="G4" s="142">
        <v>0</v>
      </c>
      <c r="H4" s="142">
        <v>0</v>
      </c>
      <c r="I4" s="142">
        <v>0</v>
      </c>
      <c r="J4" s="111">
        <v>0</v>
      </c>
      <c r="K4" s="111">
        <v>0</v>
      </c>
      <c r="L4" s="142">
        <v>0</v>
      </c>
      <c r="M4" s="111">
        <v>0</v>
      </c>
      <c r="N4" s="142">
        <v>0</v>
      </c>
      <c r="O4" s="111">
        <v>0</v>
      </c>
      <c r="P4" s="111">
        <v>1</v>
      </c>
      <c r="Q4" s="142">
        <v>1</v>
      </c>
      <c r="R4" s="111">
        <v>0</v>
      </c>
      <c r="S4" s="111">
        <v>0</v>
      </c>
      <c r="T4" s="142">
        <v>0</v>
      </c>
      <c r="U4" s="142">
        <v>0</v>
      </c>
    </row>
    <row r="5" spans="1:21" ht="15">
      <c r="A5" s="141" t="s">
        <v>36</v>
      </c>
      <c r="B5" s="111">
        <v>14</v>
      </c>
      <c r="C5" s="142">
        <v>12</v>
      </c>
      <c r="D5" s="142">
        <v>2</v>
      </c>
      <c r="E5" s="111">
        <v>6</v>
      </c>
      <c r="F5" s="142">
        <v>0</v>
      </c>
      <c r="G5" s="142">
        <v>0</v>
      </c>
      <c r="H5" s="142">
        <v>0</v>
      </c>
      <c r="I5" s="142">
        <v>0</v>
      </c>
      <c r="J5" s="111">
        <v>26</v>
      </c>
      <c r="K5" s="111">
        <v>5</v>
      </c>
      <c r="L5" s="142">
        <v>0</v>
      </c>
      <c r="M5" s="111">
        <v>0</v>
      </c>
      <c r="N5" s="142">
        <v>9</v>
      </c>
      <c r="O5" s="111">
        <v>4</v>
      </c>
      <c r="P5" s="111">
        <v>4</v>
      </c>
      <c r="Q5" s="142">
        <v>1</v>
      </c>
      <c r="R5" s="111">
        <v>0</v>
      </c>
      <c r="S5" s="111">
        <v>0</v>
      </c>
      <c r="T5" s="142">
        <v>0</v>
      </c>
      <c r="U5" s="142">
        <v>0</v>
      </c>
    </row>
    <row r="6" spans="1:21" ht="15">
      <c r="A6" s="141" t="s">
        <v>37</v>
      </c>
      <c r="B6" s="111">
        <v>7</v>
      </c>
      <c r="C6" s="142">
        <v>0</v>
      </c>
      <c r="D6" s="111">
        <v>0</v>
      </c>
      <c r="E6" s="111">
        <v>0</v>
      </c>
      <c r="F6" s="142">
        <v>1</v>
      </c>
      <c r="G6" s="142">
        <v>0</v>
      </c>
      <c r="H6" s="142">
        <v>0</v>
      </c>
      <c r="I6" s="142">
        <v>0</v>
      </c>
      <c r="J6" s="111">
        <v>0</v>
      </c>
      <c r="K6" s="111">
        <v>0</v>
      </c>
      <c r="L6" s="142">
        <v>0</v>
      </c>
      <c r="M6" s="111">
        <v>0</v>
      </c>
      <c r="N6" s="142">
        <v>1</v>
      </c>
      <c r="O6" s="111">
        <v>0</v>
      </c>
      <c r="P6" s="111">
        <v>0</v>
      </c>
      <c r="Q6" s="142">
        <v>0</v>
      </c>
      <c r="R6" s="111">
        <v>0</v>
      </c>
      <c r="S6" s="111">
        <v>0</v>
      </c>
      <c r="T6" s="142">
        <v>0</v>
      </c>
      <c r="U6" s="142">
        <v>0</v>
      </c>
    </row>
    <row r="7" spans="1:21" ht="15">
      <c r="A7" s="141" t="s">
        <v>38</v>
      </c>
      <c r="B7" s="111">
        <v>1</v>
      </c>
      <c r="C7" s="142">
        <v>0</v>
      </c>
      <c r="D7" s="111">
        <v>0</v>
      </c>
      <c r="E7" s="111">
        <v>0</v>
      </c>
      <c r="F7" s="142">
        <v>0</v>
      </c>
      <c r="G7" s="142">
        <v>0</v>
      </c>
      <c r="H7" s="142">
        <v>0</v>
      </c>
      <c r="I7" s="142">
        <v>0</v>
      </c>
      <c r="J7" s="111">
        <v>0</v>
      </c>
      <c r="K7" s="111">
        <v>0</v>
      </c>
      <c r="L7" s="142">
        <v>0</v>
      </c>
      <c r="M7" s="111">
        <v>0</v>
      </c>
      <c r="N7" s="142">
        <v>0</v>
      </c>
      <c r="O7" s="111">
        <v>0</v>
      </c>
      <c r="P7" s="111">
        <v>0</v>
      </c>
      <c r="Q7" s="142">
        <v>0</v>
      </c>
      <c r="R7" s="111">
        <v>0</v>
      </c>
      <c r="S7" s="111">
        <v>0</v>
      </c>
      <c r="T7" s="142">
        <v>0</v>
      </c>
      <c r="U7" s="142">
        <v>0</v>
      </c>
    </row>
    <row r="8" spans="1:21" ht="15">
      <c r="A8" s="141" t="s">
        <v>39</v>
      </c>
      <c r="B8" s="111">
        <v>44</v>
      </c>
      <c r="C8" s="142">
        <v>5</v>
      </c>
      <c r="D8" s="111">
        <v>0</v>
      </c>
      <c r="E8" s="111">
        <v>3</v>
      </c>
      <c r="F8" s="139">
        <v>0</v>
      </c>
      <c r="G8" s="142">
        <v>0</v>
      </c>
      <c r="H8" s="139">
        <v>0</v>
      </c>
      <c r="I8" s="139">
        <v>0</v>
      </c>
      <c r="J8" s="139">
        <f>3</f>
        <v>3</v>
      </c>
      <c r="K8" s="139">
        <v>0</v>
      </c>
      <c r="L8" s="142">
        <v>0</v>
      </c>
      <c r="M8" s="111">
        <v>0</v>
      </c>
      <c r="N8" s="139">
        <v>7</v>
      </c>
      <c r="O8" s="139">
        <v>0</v>
      </c>
      <c r="P8" s="139">
        <v>3</v>
      </c>
      <c r="Q8" s="139">
        <v>1</v>
      </c>
      <c r="R8" s="139">
        <v>0</v>
      </c>
      <c r="S8" s="139">
        <v>0</v>
      </c>
      <c r="T8" s="142">
        <v>0</v>
      </c>
      <c r="U8" s="142">
        <v>0</v>
      </c>
    </row>
    <row r="9" spans="1:21" ht="15">
      <c r="A9" s="141" t="s">
        <v>40</v>
      </c>
      <c r="B9" s="111">
        <v>1</v>
      </c>
      <c r="C9" s="142">
        <v>1</v>
      </c>
      <c r="D9" s="111">
        <v>1</v>
      </c>
      <c r="E9" s="111">
        <v>1</v>
      </c>
      <c r="F9" s="142">
        <v>0</v>
      </c>
      <c r="G9" s="142">
        <v>0</v>
      </c>
      <c r="H9" s="142">
        <v>0</v>
      </c>
      <c r="I9" s="142">
        <v>0</v>
      </c>
      <c r="J9" s="111">
        <v>2</v>
      </c>
      <c r="K9" s="111">
        <v>1</v>
      </c>
      <c r="L9" s="142">
        <v>0</v>
      </c>
      <c r="M9" s="111">
        <v>0</v>
      </c>
      <c r="N9" s="142">
        <v>0</v>
      </c>
      <c r="O9" s="111">
        <v>2</v>
      </c>
      <c r="P9" s="111">
        <v>0</v>
      </c>
      <c r="Q9" s="142">
        <v>0</v>
      </c>
      <c r="R9" s="111">
        <v>0</v>
      </c>
      <c r="S9" s="111">
        <v>0</v>
      </c>
      <c r="T9" s="142">
        <v>0</v>
      </c>
      <c r="U9" s="142">
        <v>0</v>
      </c>
    </row>
    <row r="10" spans="1:21" ht="15">
      <c r="A10" s="141" t="s">
        <v>41</v>
      </c>
      <c r="B10" s="111">
        <v>5</v>
      </c>
      <c r="C10" s="142">
        <v>1</v>
      </c>
      <c r="D10" s="111">
        <v>0</v>
      </c>
      <c r="E10" s="111">
        <v>0</v>
      </c>
      <c r="F10" s="142">
        <v>0</v>
      </c>
      <c r="G10" s="142">
        <v>0</v>
      </c>
      <c r="H10" s="142">
        <v>0</v>
      </c>
      <c r="I10" s="142">
        <v>1</v>
      </c>
      <c r="J10" s="111">
        <v>5</v>
      </c>
      <c r="K10" s="111">
        <v>0</v>
      </c>
      <c r="L10" s="142">
        <v>0</v>
      </c>
      <c r="M10" s="111">
        <v>0</v>
      </c>
      <c r="N10" s="142">
        <v>1</v>
      </c>
      <c r="O10" s="111">
        <v>1</v>
      </c>
      <c r="P10" s="111">
        <v>2</v>
      </c>
      <c r="Q10" s="142">
        <v>0</v>
      </c>
      <c r="R10" s="111">
        <v>0</v>
      </c>
      <c r="S10" s="111">
        <v>0</v>
      </c>
      <c r="T10" s="142">
        <v>0</v>
      </c>
      <c r="U10" s="142">
        <v>0</v>
      </c>
    </row>
    <row r="11" spans="1:21" ht="15">
      <c r="A11" s="141" t="s">
        <v>42</v>
      </c>
      <c r="B11" s="111">
        <v>0</v>
      </c>
      <c r="C11" s="142">
        <v>7</v>
      </c>
      <c r="D11" s="111">
        <v>0</v>
      </c>
      <c r="E11" s="111">
        <v>2</v>
      </c>
      <c r="F11" s="142">
        <v>0</v>
      </c>
      <c r="G11" s="142">
        <v>0</v>
      </c>
      <c r="H11" s="142">
        <v>0</v>
      </c>
      <c r="I11" s="142">
        <v>0</v>
      </c>
      <c r="J11" s="111">
        <f>4+2</f>
        <v>6</v>
      </c>
      <c r="K11" s="111">
        <v>1</v>
      </c>
      <c r="L11" s="142">
        <v>0</v>
      </c>
      <c r="M11" s="111">
        <v>0</v>
      </c>
      <c r="N11" s="142">
        <v>1</v>
      </c>
      <c r="O11" s="111">
        <v>3</v>
      </c>
      <c r="P11" s="111">
        <v>0</v>
      </c>
      <c r="Q11" s="142">
        <v>0</v>
      </c>
      <c r="R11" s="111">
        <v>0</v>
      </c>
      <c r="S11" s="111">
        <v>0</v>
      </c>
      <c r="T11" s="142">
        <v>0</v>
      </c>
      <c r="U11" s="142">
        <v>0</v>
      </c>
    </row>
    <row r="12" spans="1:21" ht="15">
      <c r="A12" s="141" t="s">
        <v>43</v>
      </c>
      <c r="B12" s="111">
        <v>3</v>
      </c>
      <c r="C12" s="142">
        <v>0</v>
      </c>
      <c r="D12" s="111">
        <v>0</v>
      </c>
      <c r="E12" s="111">
        <v>0</v>
      </c>
      <c r="F12" s="142">
        <v>0</v>
      </c>
      <c r="G12" s="142">
        <v>0</v>
      </c>
      <c r="H12" s="142">
        <v>0</v>
      </c>
      <c r="I12" s="142">
        <v>0</v>
      </c>
      <c r="J12" s="111">
        <v>0</v>
      </c>
      <c r="K12" s="111">
        <v>0</v>
      </c>
      <c r="L12" s="142">
        <v>0</v>
      </c>
      <c r="M12" s="111">
        <v>0</v>
      </c>
      <c r="N12" s="142">
        <v>0</v>
      </c>
      <c r="O12" s="111">
        <v>0</v>
      </c>
      <c r="P12" s="111">
        <v>0</v>
      </c>
      <c r="Q12" s="142">
        <v>0</v>
      </c>
      <c r="R12" s="111">
        <v>0</v>
      </c>
      <c r="S12" s="111">
        <v>0</v>
      </c>
      <c r="T12" s="142">
        <v>0</v>
      </c>
      <c r="U12" s="142">
        <v>0</v>
      </c>
    </row>
    <row r="13" spans="1:21" ht="15">
      <c r="A13" s="141" t="s">
        <v>44</v>
      </c>
      <c r="B13" s="111">
        <v>1</v>
      </c>
      <c r="C13" s="142">
        <v>0</v>
      </c>
      <c r="D13" s="111">
        <v>1</v>
      </c>
      <c r="E13" s="111">
        <v>0</v>
      </c>
      <c r="F13" s="142">
        <v>0</v>
      </c>
      <c r="G13" s="142">
        <v>0</v>
      </c>
      <c r="H13" s="142">
        <v>0</v>
      </c>
      <c r="I13" s="142">
        <v>0</v>
      </c>
      <c r="J13" s="111">
        <v>1</v>
      </c>
      <c r="K13" s="111">
        <v>0</v>
      </c>
      <c r="L13" s="142">
        <v>0</v>
      </c>
      <c r="M13" s="111">
        <v>0</v>
      </c>
      <c r="N13" s="142">
        <v>0</v>
      </c>
      <c r="O13" s="111">
        <v>0</v>
      </c>
      <c r="P13" s="111">
        <v>0</v>
      </c>
      <c r="Q13" s="142">
        <v>0</v>
      </c>
      <c r="R13" s="111">
        <v>0</v>
      </c>
      <c r="S13" s="111">
        <v>0</v>
      </c>
      <c r="T13" s="142">
        <v>0</v>
      </c>
      <c r="U13" s="142">
        <v>0</v>
      </c>
    </row>
    <row r="14" spans="1:21" ht="15">
      <c r="A14" s="141" t="s">
        <v>45</v>
      </c>
      <c r="B14" s="111">
        <v>0</v>
      </c>
      <c r="C14" s="142">
        <v>1</v>
      </c>
      <c r="D14" s="111">
        <v>0</v>
      </c>
      <c r="E14" s="111">
        <v>0</v>
      </c>
      <c r="F14" s="142">
        <v>0</v>
      </c>
      <c r="G14" s="142">
        <v>0</v>
      </c>
      <c r="H14" s="142">
        <v>0</v>
      </c>
      <c r="I14" s="142">
        <v>0</v>
      </c>
      <c r="J14" s="111">
        <v>0</v>
      </c>
      <c r="K14" s="111">
        <v>0</v>
      </c>
      <c r="L14" s="142">
        <v>0</v>
      </c>
      <c r="M14" s="111">
        <v>0</v>
      </c>
      <c r="N14" s="142">
        <v>0</v>
      </c>
      <c r="O14" s="111">
        <v>0</v>
      </c>
      <c r="P14" s="111">
        <v>0</v>
      </c>
      <c r="Q14" s="142">
        <v>0</v>
      </c>
      <c r="R14" s="111">
        <v>0</v>
      </c>
      <c r="S14" s="111">
        <v>0</v>
      </c>
      <c r="T14" s="142">
        <v>0</v>
      </c>
      <c r="U14" s="142">
        <v>1</v>
      </c>
    </row>
    <row r="15" spans="1:21" ht="15">
      <c r="A15" s="141" t="s">
        <v>46</v>
      </c>
      <c r="B15" s="111">
        <v>5</v>
      </c>
      <c r="C15" s="142">
        <v>0</v>
      </c>
      <c r="D15" s="111">
        <v>0</v>
      </c>
      <c r="E15" s="111">
        <v>0</v>
      </c>
      <c r="F15" s="142">
        <v>0</v>
      </c>
      <c r="G15" s="142">
        <v>0</v>
      </c>
      <c r="H15" s="142">
        <v>0</v>
      </c>
      <c r="I15" s="142">
        <v>0</v>
      </c>
      <c r="J15" s="111">
        <v>0</v>
      </c>
      <c r="K15" s="111">
        <v>0</v>
      </c>
      <c r="L15" s="142">
        <v>0</v>
      </c>
      <c r="M15" s="111">
        <v>0</v>
      </c>
      <c r="N15" s="142">
        <v>0</v>
      </c>
      <c r="O15" s="111">
        <v>0</v>
      </c>
      <c r="P15" s="111">
        <v>0</v>
      </c>
      <c r="Q15" s="142">
        <v>0</v>
      </c>
      <c r="R15" s="111">
        <v>0</v>
      </c>
      <c r="S15" s="111">
        <v>0</v>
      </c>
      <c r="T15" s="142">
        <v>0</v>
      </c>
      <c r="U15" s="142">
        <v>0</v>
      </c>
    </row>
    <row r="16" spans="1:21" ht="15">
      <c r="A16" s="141" t="s">
        <v>33</v>
      </c>
      <c r="B16" s="111">
        <v>87</v>
      </c>
      <c r="C16" s="111">
        <f>5+1+3+2+14+4+1+2+5+2+1</f>
        <v>40</v>
      </c>
      <c r="D16" s="142">
        <v>2</v>
      </c>
      <c r="E16" s="111">
        <v>6</v>
      </c>
      <c r="F16" s="111">
        <v>2</v>
      </c>
      <c r="G16" s="142">
        <v>0</v>
      </c>
      <c r="H16" s="142">
        <v>0</v>
      </c>
      <c r="I16" s="142">
        <v>0</v>
      </c>
      <c r="J16" s="111">
        <f>10+4+7</f>
        <v>21</v>
      </c>
      <c r="K16" s="111">
        <f>3+4+2</f>
        <v>9</v>
      </c>
      <c r="L16" s="111">
        <f>4+2+2+1+1</f>
        <v>10</v>
      </c>
      <c r="M16" s="111">
        <v>1</v>
      </c>
      <c r="N16" s="111">
        <f>19+2+10</f>
        <v>31</v>
      </c>
      <c r="O16" s="111">
        <v>1</v>
      </c>
      <c r="P16" s="111">
        <f>4+2</f>
        <v>6</v>
      </c>
      <c r="Q16" s="111">
        <v>2</v>
      </c>
      <c r="R16" s="111">
        <v>0</v>
      </c>
      <c r="S16" s="111">
        <v>0</v>
      </c>
      <c r="T16" s="142">
        <v>1</v>
      </c>
      <c r="U16" s="142">
        <v>0</v>
      </c>
    </row>
    <row r="17" spans="1:21" ht="15">
      <c r="A17" s="141" t="s">
        <v>34</v>
      </c>
      <c r="B17" s="111">
        <v>24</v>
      </c>
      <c r="C17" s="111">
        <f>3+3+3</f>
        <v>9</v>
      </c>
      <c r="D17" s="142">
        <v>0</v>
      </c>
      <c r="E17" s="111">
        <v>3</v>
      </c>
      <c r="F17" s="111">
        <v>0</v>
      </c>
      <c r="G17" s="142">
        <v>0</v>
      </c>
      <c r="H17" s="142">
        <v>0</v>
      </c>
      <c r="I17" s="142">
        <v>0</v>
      </c>
      <c r="J17" s="111">
        <v>2</v>
      </c>
      <c r="K17" s="111">
        <v>1</v>
      </c>
      <c r="L17" s="111">
        <v>1</v>
      </c>
      <c r="M17" s="111">
        <v>0</v>
      </c>
      <c r="N17" s="111">
        <v>11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42">
        <v>0</v>
      </c>
      <c r="U17" s="142">
        <v>0</v>
      </c>
    </row>
    <row r="18" spans="1:21" ht="15">
      <c r="A18" s="141" t="s">
        <v>35</v>
      </c>
      <c r="B18" s="111">
        <v>4</v>
      </c>
      <c r="C18" s="111">
        <v>6</v>
      </c>
      <c r="D18" s="142">
        <v>1</v>
      </c>
      <c r="E18" s="111">
        <v>0</v>
      </c>
      <c r="F18" s="111">
        <v>0</v>
      </c>
      <c r="G18" s="142">
        <v>0</v>
      </c>
      <c r="H18" s="142">
        <v>0</v>
      </c>
      <c r="I18" s="142">
        <v>0</v>
      </c>
      <c r="J18" s="111">
        <v>5</v>
      </c>
      <c r="K18" s="111">
        <v>0</v>
      </c>
      <c r="L18" s="111">
        <v>0</v>
      </c>
      <c r="M18" s="111">
        <v>0</v>
      </c>
      <c r="N18" s="111">
        <v>2</v>
      </c>
      <c r="O18" s="111">
        <v>0</v>
      </c>
      <c r="P18" s="111">
        <v>0</v>
      </c>
      <c r="Q18" s="111">
        <v>0</v>
      </c>
      <c r="R18" s="111">
        <v>0</v>
      </c>
      <c r="S18" s="111">
        <v>0</v>
      </c>
      <c r="T18" s="142">
        <v>0</v>
      </c>
      <c r="U18" s="142">
        <v>0</v>
      </c>
    </row>
    <row r="19" spans="1:21" ht="15">
      <c r="A19" s="141" t="s">
        <v>36</v>
      </c>
      <c r="B19" s="111">
        <v>116</v>
      </c>
      <c r="C19" s="111">
        <v>109</v>
      </c>
      <c r="D19" s="111">
        <f>2+1+2</f>
        <v>5</v>
      </c>
      <c r="E19" s="111">
        <f>2+2+4+1+1+3+1+3</f>
        <v>17</v>
      </c>
      <c r="F19" s="111">
        <v>0</v>
      </c>
      <c r="G19" s="142">
        <v>0</v>
      </c>
      <c r="H19" s="142">
        <v>0</v>
      </c>
      <c r="I19" s="142">
        <v>0</v>
      </c>
      <c r="J19" s="111">
        <f>2+136+17+32</f>
        <v>187</v>
      </c>
      <c r="K19" s="111">
        <f>4+3+44+1</f>
        <v>52</v>
      </c>
      <c r="L19" s="111">
        <f>7+2+1+6+1+1+3+1+1+1</f>
        <v>24</v>
      </c>
      <c r="M19" s="111">
        <v>5</v>
      </c>
      <c r="N19" s="111">
        <f>10+212+19+8</f>
        <v>249</v>
      </c>
      <c r="O19" s="111">
        <v>6</v>
      </c>
      <c r="P19" s="111">
        <f>10+32+3</f>
        <v>45</v>
      </c>
      <c r="Q19" s="111">
        <v>4</v>
      </c>
      <c r="R19" s="111">
        <v>0</v>
      </c>
      <c r="S19" s="111">
        <v>0</v>
      </c>
      <c r="T19" s="142">
        <v>2</v>
      </c>
      <c r="U19" s="142">
        <v>0</v>
      </c>
    </row>
    <row r="20" spans="1:21" ht="15">
      <c r="A20" s="141" t="s">
        <v>37</v>
      </c>
      <c r="B20" s="111">
        <v>28</v>
      </c>
      <c r="C20" s="111">
        <f>5+5+2+1+1+1+2+8+2+2+2+1+4+5</f>
        <v>41</v>
      </c>
      <c r="D20" s="111">
        <v>0</v>
      </c>
      <c r="E20" s="111">
        <v>4</v>
      </c>
      <c r="F20" s="111">
        <v>0</v>
      </c>
      <c r="G20" s="142">
        <v>0</v>
      </c>
      <c r="H20" s="142">
        <v>0</v>
      </c>
      <c r="I20" s="142">
        <v>0</v>
      </c>
      <c r="J20" s="111">
        <f>17+6</f>
        <v>23</v>
      </c>
      <c r="K20" s="111">
        <v>8</v>
      </c>
      <c r="L20" s="111">
        <v>1</v>
      </c>
      <c r="M20" s="111">
        <v>0</v>
      </c>
      <c r="N20" s="111">
        <f>8+12</f>
        <v>20</v>
      </c>
      <c r="O20" s="111">
        <v>1</v>
      </c>
      <c r="P20" s="111">
        <v>3</v>
      </c>
      <c r="Q20" s="111">
        <v>3</v>
      </c>
      <c r="R20" s="111">
        <v>0</v>
      </c>
      <c r="S20" s="111">
        <v>0</v>
      </c>
      <c r="T20" s="142">
        <v>0</v>
      </c>
      <c r="U20" s="142">
        <v>0</v>
      </c>
    </row>
    <row r="21" spans="1:21" ht="15">
      <c r="A21" s="141" t="s">
        <v>43</v>
      </c>
      <c r="B21" s="111">
        <v>0</v>
      </c>
      <c r="C21" s="111">
        <v>0</v>
      </c>
      <c r="D21" s="111">
        <v>0</v>
      </c>
      <c r="E21" s="111">
        <v>0</v>
      </c>
      <c r="F21" s="111">
        <v>0</v>
      </c>
      <c r="G21" s="142">
        <v>0</v>
      </c>
      <c r="H21" s="142">
        <v>0</v>
      </c>
      <c r="I21" s="142">
        <v>0</v>
      </c>
      <c r="J21" s="111">
        <v>1</v>
      </c>
      <c r="K21" s="111">
        <v>1</v>
      </c>
      <c r="L21" s="111">
        <v>0</v>
      </c>
      <c r="M21" s="111">
        <v>0</v>
      </c>
      <c r="N21" s="111">
        <v>3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  <c r="T21" s="142">
        <v>0</v>
      </c>
      <c r="U21" s="142">
        <v>0</v>
      </c>
    </row>
    <row r="22" spans="1:21" ht="15">
      <c r="A22" s="141" t="s">
        <v>38</v>
      </c>
      <c r="B22" s="111">
        <v>0</v>
      </c>
      <c r="C22" s="111">
        <v>0</v>
      </c>
      <c r="D22" s="111">
        <v>0</v>
      </c>
      <c r="E22" s="111">
        <v>0</v>
      </c>
      <c r="F22" s="111">
        <v>0</v>
      </c>
      <c r="G22" s="142">
        <v>0</v>
      </c>
      <c r="H22" s="142">
        <v>0</v>
      </c>
      <c r="I22" s="142">
        <v>0</v>
      </c>
      <c r="J22" s="111">
        <v>2</v>
      </c>
      <c r="K22" s="111">
        <v>0</v>
      </c>
      <c r="L22" s="111">
        <v>0</v>
      </c>
      <c r="M22" s="111">
        <v>0</v>
      </c>
      <c r="N22" s="111">
        <v>0</v>
      </c>
      <c r="O22" s="111">
        <v>1</v>
      </c>
      <c r="P22" s="111">
        <v>0</v>
      </c>
      <c r="Q22" s="111">
        <v>0</v>
      </c>
      <c r="R22" s="111">
        <v>0</v>
      </c>
      <c r="S22" s="111">
        <v>0</v>
      </c>
      <c r="T22" s="142">
        <v>0</v>
      </c>
      <c r="U22" s="142">
        <v>0</v>
      </c>
    </row>
    <row r="23" spans="1:21" ht="15">
      <c r="A23" s="141" t="s">
        <v>39</v>
      </c>
      <c r="B23" s="111">
        <v>324</v>
      </c>
      <c r="C23" s="111">
        <v>359</v>
      </c>
      <c r="D23" s="111">
        <f>17+4</f>
        <v>21</v>
      </c>
      <c r="E23" s="111">
        <f>39-3</f>
        <v>36</v>
      </c>
      <c r="F23" s="111">
        <v>2</v>
      </c>
      <c r="G23" s="142">
        <v>2</v>
      </c>
      <c r="H23" s="142">
        <v>0</v>
      </c>
      <c r="I23" s="142">
        <v>0</v>
      </c>
      <c r="J23" s="111">
        <f>119+62+1</f>
        <v>182</v>
      </c>
      <c r="K23" s="111">
        <f>6+101</f>
        <v>107</v>
      </c>
      <c r="L23" s="111">
        <f>23+1+1+1+2+1+1+1</f>
        <v>31</v>
      </c>
      <c r="M23" s="111">
        <v>3</v>
      </c>
      <c r="N23" s="111">
        <f>195+101+2</f>
        <v>298</v>
      </c>
      <c r="O23" s="111">
        <v>4</v>
      </c>
      <c r="P23" s="111">
        <f>69+10</f>
        <v>79</v>
      </c>
      <c r="Q23" s="111">
        <v>14</v>
      </c>
      <c r="R23" s="111">
        <v>0</v>
      </c>
      <c r="S23" s="111">
        <v>0</v>
      </c>
      <c r="T23" s="142">
        <v>2</v>
      </c>
      <c r="U23" s="142">
        <v>0</v>
      </c>
    </row>
    <row r="24" spans="1:21" ht="15">
      <c r="A24" s="141" t="s">
        <v>40</v>
      </c>
      <c r="B24" s="111">
        <v>96</v>
      </c>
      <c r="C24" s="111">
        <f>3+1+1+1+1+2+6+2+3+2+5+2+2+4+2+1+2+3+7+2+3+1+9</f>
        <v>65</v>
      </c>
      <c r="D24" s="111">
        <v>8</v>
      </c>
      <c r="E24" s="111">
        <f>7+2+2+2+2+2+4</f>
        <v>21</v>
      </c>
      <c r="F24" s="111">
        <v>0</v>
      </c>
      <c r="G24" s="142">
        <v>0</v>
      </c>
      <c r="H24" s="142">
        <v>0</v>
      </c>
      <c r="I24" s="142">
        <v>0</v>
      </c>
      <c r="J24" s="111">
        <f>18+11</f>
        <v>29</v>
      </c>
      <c r="K24" s="111">
        <f>6+11</f>
        <v>17</v>
      </c>
      <c r="L24" s="111">
        <v>6</v>
      </c>
      <c r="M24" s="111">
        <v>0</v>
      </c>
      <c r="N24" s="111">
        <f>21+28</f>
        <v>49</v>
      </c>
      <c r="O24" s="111">
        <v>2</v>
      </c>
      <c r="P24" s="111">
        <v>12</v>
      </c>
      <c r="Q24" s="111">
        <v>5</v>
      </c>
      <c r="R24" s="111">
        <v>0</v>
      </c>
      <c r="S24" s="111">
        <v>0</v>
      </c>
      <c r="T24" s="142">
        <v>0</v>
      </c>
      <c r="U24" s="142">
        <v>0</v>
      </c>
    </row>
    <row r="25" spans="1:21" ht="15">
      <c r="A25" s="141" t="s">
        <v>41</v>
      </c>
      <c r="B25" s="111">
        <f>35+1+3+1+4+1+4+2+2+6</f>
        <v>59</v>
      </c>
      <c r="C25" s="111">
        <f>2+2+15+4+3+4+4</f>
        <v>34</v>
      </c>
      <c r="D25" s="111">
        <v>3</v>
      </c>
      <c r="E25" s="111">
        <v>7</v>
      </c>
      <c r="F25" s="111">
        <v>0</v>
      </c>
      <c r="G25" s="142">
        <v>0</v>
      </c>
      <c r="H25" s="142">
        <v>0</v>
      </c>
      <c r="I25" s="142">
        <v>0</v>
      </c>
      <c r="J25" s="111">
        <f>2+14+5</f>
        <v>21</v>
      </c>
      <c r="K25" s="111">
        <v>6</v>
      </c>
      <c r="L25" s="111">
        <v>2</v>
      </c>
      <c r="M25" s="111">
        <v>0</v>
      </c>
      <c r="N25" s="111">
        <f>2+38+1</f>
        <v>41</v>
      </c>
      <c r="O25" s="111">
        <v>0</v>
      </c>
      <c r="P25" s="111">
        <v>7</v>
      </c>
      <c r="Q25" s="111">
        <v>1</v>
      </c>
      <c r="R25" s="111">
        <v>1</v>
      </c>
      <c r="S25" s="111">
        <v>0</v>
      </c>
      <c r="T25" s="142">
        <v>0</v>
      </c>
      <c r="U25" s="142">
        <v>0</v>
      </c>
    </row>
    <row r="26" spans="1:21" ht="15">
      <c r="A26" s="141" t="s">
        <v>42</v>
      </c>
      <c r="B26" s="111">
        <v>90</v>
      </c>
      <c r="C26" s="111">
        <f>1+6+5+15+8+6</f>
        <v>41</v>
      </c>
      <c r="D26" s="111">
        <v>5</v>
      </c>
      <c r="E26" s="111">
        <f>25-3</f>
        <v>22</v>
      </c>
      <c r="F26" s="111">
        <v>0</v>
      </c>
      <c r="G26" s="142">
        <v>0</v>
      </c>
      <c r="H26" s="142">
        <v>0</v>
      </c>
      <c r="I26" s="142">
        <v>0</v>
      </c>
      <c r="J26" s="111">
        <f>16</f>
        <v>16</v>
      </c>
      <c r="K26" s="111">
        <v>5</v>
      </c>
      <c r="L26" s="111">
        <v>0</v>
      </c>
      <c r="M26" s="111">
        <v>0</v>
      </c>
      <c r="N26" s="111">
        <f>4+10</f>
        <v>14</v>
      </c>
      <c r="O26" s="111">
        <v>2</v>
      </c>
      <c r="P26" s="111">
        <f>1+3+1</f>
        <v>5</v>
      </c>
      <c r="Q26" s="111">
        <v>0</v>
      </c>
      <c r="R26" s="111">
        <v>0</v>
      </c>
      <c r="S26" s="111">
        <v>0</v>
      </c>
      <c r="T26" s="142">
        <v>0</v>
      </c>
      <c r="U26" s="142">
        <v>0</v>
      </c>
    </row>
    <row r="27" spans="1:21" ht="15">
      <c r="A27" s="141" t="s">
        <v>48</v>
      </c>
      <c r="B27" s="111">
        <v>1</v>
      </c>
      <c r="C27" s="111">
        <v>1</v>
      </c>
      <c r="D27" s="111">
        <v>0</v>
      </c>
      <c r="E27" s="111">
        <v>0</v>
      </c>
      <c r="F27" s="111">
        <v>0</v>
      </c>
      <c r="G27" s="142">
        <v>0</v>
      </c>
      <c r="H27" s="142">
        <v>0</v>
      </c>
      <c r="I27" s="142">
        <v>0</v>
      </c>
      <c r="J27" s="111">
        <v>3</v>
      </c>
      <c r="K27" s="111">
        <v>0</v>
      </c>
      <c r="L27" s="111">
        <v>0</v>
      </c>
      <c r="M27" s="111">
        <v>0</v>
      </c>
      <c r="N27" s="111">
        <v>1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142">
        <v>0</v>
      </c>
      <c r="U27" s="142">
        <v>0</v>
      </c>
    </row>
    <row r="28" spans="1:21" ht="15">
      <c r="A28" s="141" t="s">
        <v>49</v>
      </c>
      <c r="B28" s="111">
        <v>2</v>
      </c>
      <c r="C28" s="111">
        <v>1</v>
      </c>
      <c r="D28" s="111">
        <v>0</v>
      </c>
      <c r="E28" s="111">
        <v>0</v>
      </c>
      <c r="F28" s="111">
        <v>0</v>
      </c>
      <c r="G28" s="142">
        <v>0</v>
      </c>
      <c r="H28" s="142">
        <v>0</v>
      </c>
      <c r="I28" s="142">
        <v>0</v>
      </c>
      <c r="J28" s="111">
        <v>2</v>
      </c>
      <c r="K28" s="111">
        <v>1</v>
      </c>
      <c r="L28" s="111">
        <v>1</v>
      </c>
      <c r="M28" s="111">
        <v>0</v>
      </c>
      <c r="N28" s="111">
        <v>2</v>
      </c>
      <c r="O28" s="111">
        <v>0</v>
      </c>
      <c r="P28" s="111">
        <v>1</v>
      </c>
      <c r="Q28" s="111">
        <v>0</v>
      </c>
      <c r="R28" s="111">
        <v>0</v>
      </c>
      <c r="S28" s="111">
        <v>0</v>
      </c>
      <c r="T28" s="142">
        <v>0</v>
      </c>
      <c r="U28" s="142">
        <v>0</v>
      </c>
    </row>
    <row r="29" spans="1:21" ht="15">
      <c r="A29" s="141" t="s">
        <v>44</v>
      </c>
      <c r="B29" s="111">
        <v>2</v>
      </c>
      <c r="C29" s="111">
        <v>0</v>
      </c>
      <c r="D29" s="111">
        <v>0</v>
      </c>
      <c r="E29" s="111">
        <v>0</v>
      </c>
      <c r="F29" s="111">
        <v>0</v>
      </c>
      <c r="G29" s="142">
        <v>0</v>
      </c>
      <c r="H29" s="142">
        <v>0</v>
      </c>
      <c r="I29" s="142">
        <v>0</v>
      </c>
      <c r="J29" s="111">
        <v>2</v>
      </c>
      <c r="K29" s="111">
        <v>0</v>
      </c>
      <c r="L29" s="111">
        <v>0</v>
      </c>
      <c r="M29" s="111">
        <v>0</v>
      </c>
      <c r="N29" s="111">
        <v>1</v>
      </c>
      <c r="O29" s="111">
        <v>0</v>
      </c>
      <c r="P29" s="111">
        <v>2</v>
      </c>
      <c r="Q29" s="111">
        <v>0</v>
      </c>
      <c r="R29" s="111">
        <v>0</v>
      </c>
      <c r="S29" s="111">
        <v>0</v>
      </c>
      <c r="T29" s="142">
        <v>0</v>
      </c>
      <c r="U29" s="142">
        <v>0</v>
      </c>
    </row>
    <row r="30" spans="1:21" ht="15">
      <c r="A30" s="141" t="s">
        <v>46</v>
      </c>
      <c r="B30" s="111">
        <v>6</v>
      </c>
      <c r="C30" s="111">
        <v>0</v>
      </c>
      <c r="D30" s="111">
        <v>0</v>
      </c>
      <c r="E30" s="111">
        <v>1</v>
      </c>
      <c r="F30" s="111">
        <v>0</v>
      </c>
      <c r="G30" s="142">
        <v>0</v>
      </c>
      <c r="H30" s="142">
        <v>0</v>
      </c>
      <c r="I30" s="142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2</v>
      </c>
      <c r="Q30" s="111">
        <v>0</v>
      </c>
      <c r="R30" s="111">
        <v>0</v>
      </c>
      <c r="S30" s="111">
        <v>0</v>
      </c>
      <c r="T30" s="142">
        <v>0</v>
      </c>
      <c r="U30" s="142">
        <v>0</v>
      </c>
    </row>
    <row r="31" spans="1:21" ht="15.75" customHeight="1">
      <c r="A31" s="142" t="s">
        <v>33</v>
      </c>
      <c r="B31" s="109">
        <v>69</v>
      </c>
      <c r="C31" s="111">
        <f>2+1+12+2+5+10+2+3+10+10+7+10+5+5+1+8+6+4+11+14+2+1+1+1+1+4</f>
        <v>138</v>
      </c>
      <c r="D31" s="141">
        <v>6</v>
      </c>
      <c r="E31" s="110">
        <v>2</v>
      </c>
      <c r="F31" s="109">
        <v>4</v>
      </c>
      <c r="G31" s="141">
        <v>2</v>
      </c>
      <c r="H31" s="141">
        <v>2</v>
      </c>
      <c r="I31" s="141">
        <v>0</v>
      </c>
      <c r="J31" s="111">
        <f>37+6</f>
        <v>43</v>
      </c>
      <c r="K31" s="109">
        <v>6</v>
      </c>
      <c r="L31" s="141">
        <v>3</v>
      </c>
      <c r="M31" s="109">
        <v>0</v>
      </c>
      <c r="N31" s="111">
        <f>70+1</f>
        <v>71</v>
      </c>
      <c r="O31" s="109">
        <v>3</v>
      </c>
      <c r="P31" s="109">
        <v>19</v>
      </c>
      <c r="Q31" s="109">
        <v>1</v>
      </c>
      <c r="R31" s="109">
        <v>1</v>
      </c>
      <c r="S31" s="109">
        <v>0</v>
      </c>
      <c r="T31" s="141">
        <v>3</v>
      </c>
      <c r="U31" s="141">
        <v>1</v>
      </c>
    </row>
    <row r="32" spans="1:21" ht="15.75" customHeight="1">
      <c r="A32" s="142" t="s">
        <v>34</v>
      </c>
      <c r="B32" s="110">
        <v>16</v>
      </c>
      <c r="C32" s="111">
        <f>5+5+10+4</f>
        <v>24</v>
      </c>
      <c r="D32" s="141">
        <v>1</v>
      </c>
      <c r="E32" s="110">
        <v>1</v>
      </c>
      <c r="F32" s="109">
        <v>1</v>
      </c>
      <c r="G32" s="141">
        <v>0</v>
      </c>
      <c r="H32" s="141">
        <v>0</v>
      </c>
      <c r="I32" s="110">
        <v>0</v>
      </c>
      <c r="J32" s="110">
        <v>7</v>
      </c>
      <c r="K32" s="109">
        <v>1</v>
      </c>
      <c r="L32" s="141">
        <v>0</v>
      </c>
      <c r="M32" s="109">
        <v>0</v>
      </c>
      <c r="N32" s="110">
        <v>16</v>
      </c>
      <c r="O32" s="109">
        <v>0</v>
      </c>
      <c r="P32" s="109">
        <v>8</v>
      </c>
      <c r="Q32" s="109">
        <v>0</v>
      </c>
      <c r="R32" s="109">
        <v>0</v>
      </c>
      <c r="S32" s="109">
        <v>0</v>
      </c>
      <c r="T32" s="141">
        <v>2</v>
      </c>
      <c r="U32" s="141">
        <v>0</v>
      </c>
    </row>
    <row r="33" spans="1:21" ht="15.75" customHeight="1">
      <c r="A33" s="142" t="s">
        <v>35</v>
      </c>
      <c r="B33" s="110">
        <v>14</v>
      </c>
      <c r="C33" s="111">
        <f>9+6</f>
        <v>15</v>
      </c>
      <c r="D33" s="141">
        <v>1</v>
      </c>
      <c r="E33" s="110">
        <v>0</v>
      </c>
      <c r="F33" s="109">
        <v>0</v>
      </c>
      <c r="G33" s="141">
        <v>0</v>
      </c>
      <c r="H33" s="141">
        <v>0</v>
      </c>
      <c r="I33" s="110">
        <v>0</v>
      </c>
      <c r="J33" s="110">
        <v>3</v>
      </c>
      <c r="K33" s="109">
        <v>0</v>
      </c>
      <c r="L33" s="141">
        <v>0</v>
      </c>
      <c r="M33" s="109">
        <v>1</v>
      </c>
      <c r="N33" s="110">
        <v>10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41">
        <v>0</v>
      </c>
      <c r="U33" s="141">
        <v>0</v>
      </c>
    </row>
    <row r="34" spans="1:21" ht="15.75" customHeight="1">
      <c r="A34" s="142" t="s">
        <v>36</v>
      </c>
      <c r="B34" s="109">
        <v>69</v>
      </c>
      <c r="C34" s="111">
        <f>6+1+2+1+1+1+1+1+12+2+5+3+1+2+2+1+1+1+1+1+1+2+1+2+6+4+3+1+1+1+1+1+2+2+1+3+3+2+2+3+3+4+3+3+8+5+6+5+7+103+3+3+4+1+2+2+4+2+5+4+5+3+7</f>
        <v>280</v>
      </c>
      <c r="D34" s="141">
        <v>3</v>
      </c>
      <c r="E34" s="110">
        <v>2</v>
      </c>
      <c r="F34" s="109">
        <v>0</v>
      </c>
      <c r="G34" s="141">
        <v>1</v>
      </c>
      <c r="H34" s="141">
        <v>0</v>
      </c>
      <c r="I34" s="110">
        <v>0</v>
      </c>
      <c r="J34" s="111">
        <f>15+2+22</f>
        <v>39</v>
      </c>
      <c r="K34" s="111">
        <f>5+19</f>
        <v>24</v>
      </c>
      <c r="L34" s="141">
        <v>9</v>
      </c>
      <c r="M34" s="109">
        <v>3</v>
      </c>
      <c r="N34" s="111">
        <f>55+5+71+1</f>
        <v>132</v>
      </c>
      <c r="O34" s="109">
        <v>1</v>
      </c>
      <c r="P34" s="111">
        <f>14+14+1</f>
        <v>29</v>
      </c>
      <c r="Q34" s="109">
        <v>3</v>
      </c>
      <c r="R34" s="109">
        <v>1</v>
      </c>
      <c r="S34" s="109">
        <v>0</v>
      </c>
      <c r="T34" s="141">
        <v>0</v>
      </c>
      <c r="U34" s="141">
        <v>0</v>
      </c>
    </row>
    <row r="35" spans="1:21" ht="15.75" customHeight="1">
      <c r="A35" s="142" t="s">
        <v>37</v>
      </c>
      <c r="B35" s="110">
        <v>36</v>
      </c>
      <c r="C35" s="111">
        <f>2+8+6+63</f>
        <v>79</v>
      </c>
      <c r="D35" s="141">
        <v>0</v>
      </c>
      <c r="E35" s="110">
        <v>0</v>
      </c>
      <c r="F35" s="109">
        <v>0</v>
      </c>
      <c r="G35" s="141">
        <v>0</v>
      </c>
      <c r="H35" s="141">
        <v>0</v>
      </c>
      <c r="I35" s="110">
        <v>0</v>
      </c>
      <c r="J35" s="111">
        <f>21+3</f>
        <v>24</v>
      </c>
      <c r="K35" s="109">
        <v>1</v>
      </c>
      <c r="L35" s="141">
        <v>0</v>
      </c>
      <c r="M35" s="109">
        <v>1</v>
      </c>
      <c r="N35" s="110">
        <v>77</v>
      </c>
      <c r="O35" s="109">
        <v>0</v>
      </c>
      <c r="P35" s="109">
        <v>7</v>
      </c>
      <c r="Q35" s="109">
        <v>1</v>
      </c>
      <c r="R35" s="109">
        <v>0</v>
      </c>
      <c r="S35" s="109">
        <v>0</v>
      </c>
      <c r="T35" s="141">
        <v>0</v>
      </c>
      <c r="U35" s="141">
        <v>0</v>
      </c>
    </row>
    <row r="36" spans="1:21" ht="15.75" customHeight="1">
      <c r="A36" s="142" t="s">
        <v>39</v>
      </c>
      <c r="B36" s="109">
        <v>260</v>
      </c>
      <c r="C36" s="109">
        <v>655</v>
      </c>
      <c r="D36" s="141">
        <v>17</v>
      </c>
      <c r="E36" s="110">
        <v>2</v>
      </c>
      <c r="F36" s="109">
        <v>1</v>
      </c>
      <c r="G36" s="141">
        <v>1</v>
      </c>
      <c r="H36" s="141">
        <v>0</v>
      </c>
      <c r="I36" s="110">
        <v>0</v>
      </c>
      <c r="J36" s="111">
        <f>183+4</f>
        <v>187</v>
      </c>
      <c r="K36" s="109">
        <v>26</v>
      </c>
      <c r="L36" s="141">
        <v>0</v>
      </c>
      <c r="M36" s="109">
        <v>5</v>
      </c>
      <c r="N36" s="111">
        <f>589+6</f>
        <v>595</v>
      </c>
      <c r="O36" s="109">
        <v>2</v>
      </c>
      <c r="P36" s="109">
        <v>77</v>
      </c>
      <c r="Q36" s="109">
        <v>5</v>
      </c>
      <c r="R36" s="109">
        <v>2</v>
      </c>
      <c r="S36" s="109">
        <v>0</v>
      </c>
      <c r="T36" s="141">
        <v>7</v>
      </c>
      <c r="U36" s="141">
        <v>0</v>
      </c>
    </row>
    <row r="37" spans="1:21" ht="15.75" customHeight="1">
      <c r="A37" s="142" t="s">
        <v>40</v>
      </c>
      <c r="B37" s="109">
        <v>32</v>
      </c>
      <c r="C37" s="111">
        <f>1+1+1+2+1+1+2+4+1+1+7+5+7</f>
        <v>34</v>
      </c>
      <c r="D37" s="141">
        <v>3</v>
      </c>
      <c r="E37" s="110">
        <v>2</v>
      </c>
      <c r="F37" s="109">
        <v>0</v>
      </c>
      <c r="G37" s="141">
        <v>0</v>
      </c>
      <c r="H37" s="141">
        <v>0</v>
      </c>
      <c r="I37" s="110">
        <v>0</v>
      </c>
      <c r="J37" s="110">
        <v>21</v>
      </c>
      <c r="K37" s="109">
        <v>2</v>
      </c>
      <c r="L37" s="108">
        <v>11</v>
      </c>
      <c r="M37" s="109">
        <v>1</v>
      </c>
      <c r="N37" s="110">
        <v>49</v>
      </c>
      <c r="O37" s="109">
        <v>0</v>
      </c>
      <c r="P37" s="109">
        <v>13</v>
      </c>
      <c r="Q37" s="109">
        <v>0</v>
      </c>
      <c r="R37" s="109">
        <v>1</v>
      </c>
      <c r="S37" s="109">
        <v>0</v>
      </c>
      <c r="T37" s="141">
        <v>0</v>
      </c>
      <c r="U37" s="141">
        <v>0</v>
      </c>
    </row>
    <row r="38" spans="1:21" ht="15.75" customHeight="1">
      <c r="A38" s="142" t="s">
        <v>41</v>
      </c>
      <c r="B38" s="109">
        <v>70</v>
      </c>
      <c r="C38" s="111">
        <f>47+13+10+13+19+39+12+11+6</f>
        <v>170</v>
      </c>
      <c r="D38" s="141">
        <v>7</v>
      </c>
      <c r="E38" s="110">
        <v>1</v>
      </c>
      <c r="F38" s="109">
        <v>0</v>
      </c>
      <c r="G38" s="141">
        <v>1</v>
      </c>
      <c r="H38" s="141">
        <v>0</v>
      </c>
      <c r="I38" s="110">
        <v>0</v>
      </c>
      <c r="J38" s="110">
        <v>44</v>
      </c>
      <c r="K38" s="109">
        <v>4</v>
      </c>
      <c r="L38" s="141">
        <v>2</v>
      </c>
      <c r="M38" s="109">
        <v>2</v>
      </c>
      <c r="N38" s="110">
        <v>72</v>
      </c>
      <c r="O38" s="109">
        <v>2</v>
      </c>
      <c r="P38" s="109">
        <v>26</v>
      </c>
      <c r="Q38" s="109">
        <v>4</v>
      </c>
      <c r="R38" s="109">
        <v>0</v>
      </c>
      <c r="S38" s="109">
        <v>0</v>
      </c>
      <c r="T38" s="141">
        <v>2</v>
      </c>
      <c r="U38" s="141">
        <v>2</v>
      </c>
    </row>
    <row r="39" spans="1:21" ht="15.75" customHeight="1">
      <c r="A39" s="142" t="s">
        <v>42</v>
      </c>
      <c r="B39" s="109">
        <v>135</v>
      </c>
      <c r="C39" s="111">
        <f>10+20+5+26</f>
        <v>61</v>
      </c>
      <c r="D39" s="141">
        <v>6</v>
      </c>
      <c r="E39" s="110">
        <v>4</v>
      </c>
      <c r="F39" s="109">
        <v>0</v>
      </c>
      <c r="G39" s="141">
        <v>0</v>
      </c>
      <c r="H39" s="141">
        <v>0</v>
      </c>
      <c r="I39" s="110">
        <v>0</v>
      </c>
      <c r="J39" s="110">
        <v>13</v>
      </c>
      <c r="K39" s="109">
        <v>0</v>
      </c>
      <c r="L39" s="141">
        <v>2</v>
      </c>
      <c r="M39" s="109">
        <v>0</v>
      </c>
      <c r="N39" s="110">
        <v>21</v>
      </c>
      <c r="O39" s="109">
        <v>0</v>
      </c>
      <c r="P39" s="109">
        <v>15</v>
      </c>
      <c r="Q39" s="109">
        <v>0</v>
      </c>
      <c r="R39" s="109">
        <v>0</v>
      </c>
      <c r="S39" s="109">
        <v>0</v>
      </c>
      <c r="T39" s="141">
        <v>0</v>
      </c>
      <c r="U39" s="141">
        <v>0</v>
      </c>
    </row>
    <row r="40" spans="1:21" ht="15.75" customHeight="1">
      <c r="A40" s="142" t="s">
        <v>44</v>
      </c>
      <c r="B40" s="110">
        <v>0</v>
      </c>
      <c r="C40" s="109">
        <v>0</v>
      </c>
      <c r="D40" s="109">
        <v>0</v>
      </c>
      <c r="E40" s="110">
        <v>0</v>
      </c>
      <c r="F40" s="110">
        <v>0</v>
      </c>
      <c r="G40" s="109">
        <v>0</v>
      </c>
      <c r="H40" s="110">
        <v>0</v>
      </c>
      <c r="I40" s="110">
        <v>0</v>
      </c>
      <c r="J40" s="110">
        <v>0</v>
      </c>
      <c r="K40" s="109">
        <v>0</v>
      </c>
      <c r="L40" s="109">
        <v>0</v>
      </c>
      <c r="M40" s="109">
        <v>0</v>
      </c>
      <c r="N40" s="110">
        <v>3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41">
        <v>0</v>
      </c>
      <c r="U40" s="141">
        <v>0</v>
      </c>
    </row>
    <row r="41" spans="1:21" ht="15.75" customHeight="1">
      <c r="A41" s="142" t="s">
        <v>38</v>
      </c>
      <c r="B41" s="110">
        <v>0</v>
      </c>
      <c r="C41" s="109">
        <v>0</v>
      </c>
      <c r="D41" s="109">
        <v>0</v>
      </c>
      <c r="E41" s="110">
        <v>0</v>
      </c>
      <c r="F41" s="110">
        <v>0</v>
      </c>
      <c r="G41" s="109">
        <v>0</v>
      </c>
      <c r="H41" s="110">
        <v>0</v>
      </c>
      <c r="I41" s="110">
        <v>0</v>
      </c>
      <c r="J41" s="110">
        <v>0</v>
      </c>
      <c r="K41" s="109">
        <v>0</v>
      </c>
      <c r="L41" s="109">
        <v>0</v>
      </c>
      <c r="M41" s="109">
        <v>0</v>
      </c>
      <c r="N41" s="110">
        <v>1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41">
        <v>0</v>
      </c>
      <c r="U41" s="141">
        <v>0</v>
      </c>
    </row>
    <row r="42" spans="1:21" ht="15.75" customHeight="1">
      <c r="A42" s="142" t="s">
        <v>49</v>
      </c>
      <c r="B42" s="109">
        <v>1</v>
      </c>
      <c r="C42" s="109">
        <v>8</v>
      </c>
      <c r="D42" s="141">
        <v>0</v>
      </c>
      <c r="E42" s="141">
        <v>0</v>
      </c>
      <c r="F42" s="109">
        <v>0</v>
      </c>
      <c r="G42" s="141">
        <v>0</v>
      </c>
      <c r="H42" s="141">
        <v>0</v>
      </c>
      <c r="I42" s="110">
        <v>0</v>
      </c>
      <c r="J42" s="110">
        <v>1</v>
      </c>
      <c r="K42" s="109">
        <v>0</v>
      </c>
      <c r="L42" s="141">
        <v>0</v>
      </c>
      <c r="M42" s="109">
        <v>0</v>
      </c>
      <c r="N42" s="110">
        <v>10</v>
      </c>
      <c r="O42" s="109">
        <v>0</v>
      </c>
      <c r="P42" s="109">
        <v>1</v>
      </c>
      <c r="Q42" s="109">
        <v>0</v>
      </c>
      <c r="R42" s="109">
        <v>0</v>
      </c>
      <c r="S42" s="109">
        <v>0</v>
      </c>
      <c r="T42" s="141">
        <v>0</v>
      </c>
      <c r="U42" s="141">
        <v>0</v>
      </c>
    </row>
    <row r="43" spans="1:21" ht="15.75" customHeight="1">
      <c r="A43" s="142" t="s">
        <v>43</v>
      </c>
      <c r="B43" s="109">
        <v>1</v>
      </c>
      <c r="C43" s="109">
        <v>1</v>
      </c>
      <c r="D43" s="141">
        <v>0</v>
      </c>
      <c r="E43" s="141">
        <v>0</v>
      </c>
      <c r="F43" s="109">
        <v>0</v>
      </c>
      <c r="G43" s="141">
        <v>0</v>
      </c>
      <c r="H43" s="141">
        <v>0</v>
      </c>
      <c r="I43" s="110">
        <v>0</v>
      </c>
      <c r="J43" s="110">
        <v>2</v>
      </c>
      <c r="K43" s="109">
        <v>0</v>
      </c>
      <c r="L43" s="141">
        <v>0</v>
      </c>
      <c r="M43" s="109">
        <v>0</v>
      </c>
      <c r="N43" s="110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41">
        <v>0</v>
      </c>
      <c r="U43" s="141">
        <v>0</v>
      </c>
    </row>
    <row r="44" spans="1:21" ht="15.75" customHeight="1">
      <c r="A44" s="142" t="s">
        <v>48</v>
      </c>
      <c r="B44" s="110">
        <v>0</v>
      </c>
      <c r="C44" s="109">
        <v>1</v>
      </c>
      <c r="D44" s="141">
        <v>0</v>
      </c>
      <c r="E44" s="141">
        <v>0</v>
      </c>
      <c r="F44" s="109">
        <v>0</v>
      </c>
      <c r="G44" s="141">
        <v>0</v>
      </c>
      <c r="H44" s="141">
        <v>0</v>
      </c>
      <c r="I44" s="110">
        <v>0</v>
      </c>
      <c r="J44" s="110">
        <v>1</v>
      </c>
      <c r="K44" s="109">
        <v>0</v>
      </c>
      <c r="L44" s="141">
        <v>0</v>
      </c>
      <c r="M44" s="109">
        <v>0</v>
      </c>
      <c r="N44" s="110">
        <v>3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41">
        <v>0</v>
      </c>
      <c r="U44" s="141">
        <v>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</sheetPr>
  <dimension ref="A3:B19"/>
  <sheetViews>
    <sheetView workbookViewId="0" topLeftCell="A4">
      <selection activeCell="B4" sqref="B4"/>
    </sheetView>
  </sheetViews>
  <sheetFormatPr defaultColWidth="12.625" defaultRowHeight="15" customHeight="1"/>
  <sheetData>
    <row r="3" spans="1:2" ht="15">
      <c r="A3" s="8" t="s">
        <v>51</v>
      </c>
      <c r="B3" s="8" t="s">
        <v>32</v>
      </c>
    </row>
    <row r="4" spans="1:2" ht="15" customHeight="1">
      <c r="A4" s="9" t="s">
        <v>33</v>
      </c>
      <c r="B4" s="9">
        <v>636</v>
      </c>
    </row>
    <row r="5" spans="1:2" ht="15" customHeight="1">
      <c r="A5" s="9" t="s">
        <v>34</v>
      </c>
      <c r="B5" s="9">
        <v>143</v>
      </c>
    </row>
    <row r="6" spans="1:2" ht="15" customHeight="1">
      <c r="A6" s="9" t="s">
        <v>35</v>
      </c>
      <c r="B6" s="9">
        <v>70</v>
      </c>
    </row>
    <row r="7" spans="1:2" ht="15" customHeight="1">
      <c r="A7" s="9" t="s">
        <v>36</v>
      </c>
      <c r="B7" s="9">
        <v>1500</v>
      </c>
    </row>
    <row r="8" spans="1:2" ht="15" customHeight="1">
      <c r="A8" s="9" t="s">
        <v>37</v>
      </c>
      <c r="B8" s="9">
        <v>367</v>
      </c>
    </row>
    <row r="9" spans="1:2" ht="15" customHeight="1">
      <c r="A9" s="9" t="s">
        <v>38</v>
      </c>
      <c r="B9" s="9">
        <v>5</v>
      </c>
    </row>
    <row r="10" spans="1:2" ht="15" customHeight="1">
      <c r="A10" s="9" t="s">
        <v>39</v>
      </c>
      <c r="B10" s="9">
        <v>3372</v>
      </c>
    </row>
    <row r="11" spans="1:2" ht="15" customHeight="1">
      <c r="A11" s="9" t="s">
        <v>40</v>
      </c>
      <c r="B11" s="9">
        <v>488</v>
      </c>
    </row>
    <row r="12" spans="1:2" ht="15" customHeight="1">
      <c r="A12" s="9" t="s">
        <v>41</v>
      </c>
      <c r="B12" s="9">
        <v>607</v>
      </c>
    </row>
    <row r="13" spans="1:2" ht="15" customHeight="1">
      <c r="A13" s="9" t="s">
        <v>42</v>
      </c>
      <c r="B13" s="9">
        <v>477</v>
      </c>
    </row>
    <row r="14" spans="1:2" ht="15" customHeight="1">
      <c r="A14" s="9" t="s">
        <v>43</v>
      </c>
      <c r="B14" s="9">
        <v>12</v>
      </c>
    </row>
    <row r="15" spans="1:2" ht="15" customHeight="1">
      <c r="A15" s="9" t="s">
        <v>44</v>
      </c>
      <c r="B15" s="9">
        <v>13</v>
      </c>
    </row>
    <row r="16" spans="1:2" ht="15" customHeight="1">
      <c r="A16" s="10" t="s">
        <v>45</v>
      </c>
      <c r="B16" s="9">
        <v>2</v>
      </c>
    </row>
    <row r="17" spans="1:2" ht="15" customHeight="1">
      <c r="A17" s="10" t="s">
        <v>46</v>
      </c>
      <c r="B17" s="9">
        <v>17</v>
      </c>
    </row>
    <row r="18" spans="1:2" ht="15" customHeight="1">
      <c r="A18" s="10" t="s">
        <v>52</v>
      </c>
      <c r="B18" s="9">
        <v>31</v>
      </c>
    </row>
    <row r="19" spans="1:2" ht="15" customHeight="1">
      <c r="A19" s="10" t="s">
        <v>48</v>
      </c>
      <c r="B19" s="9">
        <v>11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outlinePr summaryBelow="0" summaryRight="0"/>
  </sheetPr>
  <dimension ref="A2:U6"/>
  <sheetViews>
    <sheetView workbookViewId="0" topLeftCell="A1">
      <selection activeCell="A4" activeCellId="1" sqref="A2:U2 A4:U6"/>
    </sheetView>
  </sheetViews>
  <sheetFormatPr defaultColWidth="12.625" defaultRowHeight="15" customHeight="1"/>
  <sheetData>
    <row r="2" spans="1:21" ht="15">
      <c r="A2" s="11" t="s">
        <v>0</v>
      </c>
      <c r="B2" s="12" t="s">
        <v>1</v>
      </c>
      <c r="C2" s="13" t="s">
        <v>2</v>
      </c>
      <c r="D2" s="13" t="s">
        <v>3</v>
      </c>
      <c r="E2" s="12" t="s">
        <v>4</v>
      </c>
      <c r="F2" s="12" t="s">
        <v>5</v>
      </c>
      <c r="G2" s="14" t="s">
        <v>6</v>
      </c>
      <c r="H2" s="12" t="s">
        <v>7</v>
      </c>
      <c r="I2" s="12" t="s">
        <v>8</v>
      </c>
      <c r="J2" s="12" t="s">
        <v>9</v>
      </c>
      <c r="K2" s="13" t="s">
        <v>10</v>
      </c>
      <c r="L2" s="13" t="s">
        <v>11</v>
      </c>
      <c r="M2" s="15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2" t="s">
        <v>18</v>
      </c>
      <c r="T2" s="12" t="s">
        <v>19</v>
      </c>
      <c r="U2" s="12" t="s">
        <v>20</v>
      </c>
    </row>
    <row r="3" spans="1:21" ht="15" customHeight="1">
      <c r="A3" s="16" t="s">
        <v>53</v>
      </c>
      <c r="B3" s="17">
        <v>68.080418</v>
      </c>
      <c r="C3" s="18">
        <v>34.13209</v>
      </c>
      <c r="D3" s="18">
        <v>34.084447999999995</v>
      </c>
      <c r="E3" s="19">
        <v>36.13986</v>
      </c>
      <c r="F3" s="19">
        <v>59.77164</v>
      </c>
      <c r="G3" s="20">
        <v>59.932829999999996</v>
      </c>
      <c r="H3" s="17">
        <v>59.81343</v>
      </c>
      <c r="I3" s="17">
        <v>59.879099999999994</v>
      </c>
      <c r="J3" s="17">
        <v>31.511795999999997</v>
      </c>
      <c r="K3" s="18">
        <v>31.618488</v>
      </c>
      <c r="L3" s="18">
        <v>31.423931999999997</v>
      </c>
      <c r="M3" s="21">
        <v>31.863252</v>
      </c>
      <c r="N3" s="17">
        <v>31.490432000000002</v>
      </c>
      <c r="O3" s="17">
        <v>31.634596000000002</v>
      </c>
      <c r="P3" s="17">
        <v>31.647132000000003</v>
      </c>
      <c r="Q3" s="17">
        <v>31.509236000000005</v>
      </c>
      <c r="R3" s="19">
        <v>26.462128</v>
      </c>
      <c r="S3" s="19">
        <v>52.918991999999996</v>
      </c>
      <c r="T3" s="17">
        <v>52.67684799999999</v>
      </c>
      <c r="U3" s="17">
        <v>52.85056</v>
      </c>
    </row>
    <row r="4" spans="1:21" ht="15">
      <c r="A4" s="16" t="s">
        <v>54</v>
      </c>
      <c r="B4" s="22">
        <f>88.0381-76.0359</f>
        <v>12.002200000000002</v>
      </c>
      <c r="C4" s="23">
        <v>2.2434</v>
      </c>
      <c r="D4" s="24">
        <f>11.6965-11.6555</f>
        <v>0.04100000000000037</v>
      </c>
      <c r="E4" s="25">
        <v>0.8885</v>
      </c>
      <c r="F4" s="25">
        <v>0.0421</v>
      </c>
      <c r="G4" s="26">
        <v>0.0092</v>
      </c>
      <c r="H4" s="27">
        <v>0</v>
      </c>
      <c r="I4" s="22">
        <f>16.3789-16.3551</f>
        <v>0.023800000000001376</v>
      </c>
      <c r="J4" s="27">
        <v>5.9693</v>
      </c>
      <c r="K4" s="24">
        <f>16.5763-16.2431</f>
        <v>0.3332000000000015</v>
      </c>
      <c r="L4" s="23">
        <v>0</v>
      </c>
      <c r="M4" s="28">
        <v>0</v>
      </c>
      <c r="N4" s="22">
        <f>13.9017-12.1784</f>
        <v>1.7233</v>
      </c>
      <c r="O4" s="22">
        <f>19.791-17.8987</f>
        <v>1.8922999999999988</v>
      </c>
      <c r="P4" s="22">
        <f>12.6093-12.2316</f>
        <v>0.37769999999999904</v>
      </c>
      <c r="Q4" s="22">
        <f>18.3562-17.6884</f>
        <v>0.6677999999999997</v>
      </c>
      <c r="R4" s="25">
        <v>0.0323</v>
      </c>
      <c r="S4" s="25">
        <v>0</v>
      </c>
      <c r="T4" s="27">
        <v>0</v>
      </c>
      <c r="U4" s="27">
        <v>0</v>
      </c>
    </row>
    <row r="5" spans="1:21" ht="15">
      <c r="A5" s="16" t="s">
        <v>55</v>
      </c>
      <c r="B5" s="29">
        <v>16.3155</v>
      </c>
      <c r="C5" s="30">
        <v>10.2914</v>
      </c>
      <c r="D5" s="31">
        <f>18.5008-17.844</f>
        <v>0.6568000000000005</v>
      </c>
      <c r="E5" s="32">
        <f>123.4952-121.9484</f>
        <v>1.5467999999999904</v>
      </c>
      <c r="F5" s="16">
        <v>0.006</v>
      </c>
      <c r="G5" s="32">
        <f>17.782-17.7712</f>
        <v>0.010799999999999699</v>
      </c>
      <c r="H5" s="29">
        <v>0</v>
      </c>
      <c r="I5" s="29">
        <v>0</v>
      </c>
      <c r="J5" s="29">
        <v>5.8043</v>
      </c>
      <c r="K5" s="31">
        <f>20.1633-16.247</f>
        <v>3.9162999999999997</v>
      </c>
      <c r="L5" s="31">
        <f>33.837-32.8204</f>
        <v>1.016600000000004</v>
      </c>
      <c r="M5" s="33">
        <f>16.4737-16.3117</f>
        <v>0.1620000000000026</v>
      </c>
      <c r="N5" s="34">
        <f>26.9094-17.9909</f>
        <v>8.918500000000002</v>
      </c>
      <c r="O5" s="34">
        <f>17.9136-17.5534</f>
        <v>0.36019999999999897</v>
      </c>
      <c r="P5" s="34">
        <f>20.3198-17.7906</f>
        <v>2.5291999999999994</v>
      </c>
      <c r="Q5" s="34">
        <f>18.55-17.8442</f>
        <v>0.7058</v>
      </c>
      <c r="R5" s="34">
        <f>17.3207-17.3165</f>
        <v>0.004199999999997317</v>
      </c>
      <c r="S5" s="16">
        <v>0</v>
      </c>
      <c r="T5" s="34">
        <f>17.3575-17.3117</f>
        <v>0.045800000000003394</v>
      </c>
      <c r="U5" s="16">
        <v>0</v>
      </c>
    </row>
    <row r="6" spans="1:21" ht="15">
      <c r="A6" s="16" t="s">
        <v>56</v>
      </c>
      <c r="B6" s="34">
        <f>76.6219-76.1661</f>
        <v>0.45579999999999643</v>
      </c>
      <c r="C6" s="31">
        <f>13.1649-12.1168</f>
        <v>1.0480999999999998</v>
      </c>
      <c r="D6" s="31">
        <f>17.638-17.5911</f>
        <v>0.04690000000000083</v>
      </c>
      <c r="E6" s="34">
        <f>17.8618-17.8457</f>
        <v>0.016099999999998005</v>
      </c>
      <c r="F6" s="16">
        <v>0.0043</v>
      </c>
      <c r="G6" s="35">
        <v>0.0023</v>
      </c>
      <c r="H6" s="29">
        <v>0.001</v>
      </c>
      <c r="I6" s="29">
        <v>0</v>
      </c>
      <c r="J6" s="34">
        <f>12.1626-11.7826</f>
        <v>0.379999999999999</v>
      </c>
      <c r="K6" s="31">
        <f>16.417-16.357</f>
        <v>0.060000000000002274</v>
      </c>
      <c r="L6" s="31">
        <f>17.8778-17.8454</f>
        <v>0.032399999999999096</v>
      </c>
      <c r="M6" s="31">
        <f>16.2636-16.2277</f>
        <v>0.0359000000000016</v>
      </c>
      <c r="N6" s="17">
        <v>1.1579</v>
      </c>
      <c r="O6" s="36">
        <f>17.3424-17.3376</f>
        <v>0.004800000000003024</v>
      </c>
      <c r="P6" s="34">
        <f>18.0617-17.8736</f>
        <v>0.1880999999999986</v>
      </c>
      <c r="Q6" s="34">
        <f>16.3031-16.2843</f>
        <v>0.018799999999998818</v>
      </c>
      <c r="R6" s="34">
        <f>16.3605-16.3481</f>
        <v>0.012399999999999523</v>
      </c>
      <c r="S6" s="16">
        <v>0</v>
      </c>
      <c r="T6" s="34">
        <f>16.4109-16.3288</f>
        <v>0.0821000000000005</v>
      </c>
      <c r="U6" s="16">
        <v>0.0006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3:AF101"/>
  <sheetViews>
    <sheetView zoomScale="95" zoomScaleNormal="95" workbookViewId="0" topLeftCell="A1">
      <pane xSplit="5" ySplit="11" topLeftCell="J14" activePane="bottomRight" state="frozen"/>
      <selection pane="topRight" activeCell="F1" sqref="F1"/>
      <selection pane="bottomLeft" activeCell="A12" sqref="A12"/>
      <selection pane="bottomRight" activeCell="J4" sqref="J3:J23"/>
    </sheetView>
  </sheetViews>
  <sheetFormatPr defaultColWidth="12.625" defaultRowHeight="15" customHeight="1"/>
  <cols>
    <col min="1" max="1" width="7.625" style="0" customWidth="1"/>
    <col min="2" max="2" width="17.125" style="0" bestFit="1" customWidth="1"/>
    <col min="3" max="3" width="21.75390625" style="0" bestFit="1" customWidth="1"/>
    <col min="4" max="4" width="10.875" style="0" bestFit="1" customWidth="1"/>
    <col min="5" max="5" width="16.625" style="0" bestFit="1" customWidth="1"/>
    <col min="6" max="6" width="19.00390625" style="0" customWidth="1"/>
    <col min="7" max="7" width="25.625" style="0" customWidth="1"/>
    <col min="8" max="8" width="19.00390625" style="0" customWidth="1"/>
    <col min="9" max="9" width="19.25390625" style="0" customWidth="1"/>
    <col min="10" max="10" width="22.75390625" style="0" bestFit="1" customWidth="1"/>
    <col min="11" max="31" width="7.625" style="0" customWidth="1"/>
  </cols>
  <sheetData>
    <row r="3" spans="1:10" ht="15">
      <c r="A3" s="37" t="s">
        <v>57</v>
      </c>
      <c r="B3" s="37" t="s">
        <v>74</v>
      </c>
      <c r="C3" s="37" t="s">
        <v>79</v>
      </c>
      <c r="D3" s="38" t="s">
        <v>0</v>
      </c>
      <c r="E3" s="38" t="s">
        <v>67</v>
      </c>
      <c r="F3" s="56" t="s">
        <v>70</v>
      </c>
      <c r="G3" s="55" t="s">
        <v>58</v>
      </c>
      <c r="H3" s="8" t="s">
        <v>59</v>
      </c>
      <c r="I3" s="39" t="s">
        <v>60</v>
      </c>
      <c r="J3" s="40" t="s">
        <v>61</v>
      </c>
    </row>
    <row r="4" spans="1:32" ht="15">
      <c r="A4" s="37">
        <v>1</v>
      </c>
      <c r="B4" s="166" t="s">
        <v>75</v>
      </c>
      <c r="C4" s="58" t="s">
        <v>71</v>
      </c>
      <c r="D4" s="55" t="s">
        <v>172</v>
      </c>
      <c r="E4" s="54" t="s">
        <v>68</v>
      </c>
      <c r="F4" s="54">
        <v>1</v>
      </c>
      <c r="G4" s="41">
        <f>SAMPLES!C7+SAMPLES!C30+SAMPLES!C54</f>
        <v>28.7735</v>
      </c>
      <c r="H4" s="42">
        <v>68.080418</v>
      </c>
      <c r="I4" s="47">
        <f aca="true" t="shared" si="0" ref="I4:I23">G4/H4</f>
        <v>0.4226398844965964</v>
      </c>
      <c r="J4" s="59">
        <f aca="true" t="shared" si="1" ref="J4:J23">(G4*1000)/(H4/1000)</f>
        <v>422639.8844965964</v>
      </c>
      <c r="L4" s="45"/>
      <c r="AE4" s="45">
        <f>SAMPLES!W7+SAMPLES!W30+SAMPLES!W54</f>
        <v>0</v>
      </c>
      <c r="AF4" s="45">
        <f>SAMPLES!X7+SAMPLES!X30+SAMPLES!X54</f>
        <v>0</v>
      </c>
    </row>
    <row r="5" spans="1:10" ht="15">
      <c r="A5" s="37">
        <v>1</v>
      </c>
      <c r="B5" s="167"/>
      <c r="C5" s="58" t="s">
        <v>71</v>
      </c>
      <c r="D5" s="54" t="s">
        <v>173</v>
      </c>
      <c r="E5" s="54" t="s">
        <v>69</v>
      </c>
      <c r="F5" s="54">
        <v>2</v>
      </c>
      <c r="G5" s="41">
        <f>SAMPLES!E7+SAMPLES!E30+SAMPLES!E54</f>
        <v>0.7447000000000017</v>
      </c>
      <c r="H5" s="42">
        <v>34.084447999999995</v>
      </c>
      <c r="I5" s="43">
        <f t="shared" si="0"/>
        <v>0.021848674210596043</v>
      </c>
      <c r="J5" s="59">
        <f t="shared" si="1"/>
        <v>21848.674210596037</v>
      </c>
    </row>
    <row r="6" spans="1:10" ht="15">
      <c r="A6" s="37">
        <v>1</v>
      </c>
      <c r="B6" s="167"/>
      <c r="C6" s="58" t="s">
        <v>72</v>
      </c>
      <c r="D6" s="55" t="s">
        <v>174</v>
      </c>
      <c r="E6" s="54" t="s">
        <v>68</v>
      </c>
      <c r="F6" s="54">
        <v>1</v>
      </c>
      <c r="G6" s="41">
        <f>SAMPLES!D7+SAMPLES!D30+SAMPLES!D54</f>
        <v>13.582899999999999</v>
      </c>
      <c r="H6" s="42">
        <v>34.13209</v>
      </c>
      <c r="I6" s="47">
        <f t="shared" si="0"/>
        <v>0.39795101911427044</v>
      </c>
      <c r="J6" s="59">
        <f t="shared" si="1"/>
        <v>397951.01911427046</v>
      </c>
    </row>
    <row r="7" spans="1:10" ht="15">
      <c r="A7" s="37">
        <v>1</v>
      </c>
      <c r="B7" s="168"/>
      <c r="C7" s="58" t="s">
        <v>72</v>
      </c>
      <c r="D7" s="54" t="s">
        <v>175</v>
      </c>
      <c r="E7" s="54" t="s">
        <v>69</v>
      </c>
      <c r="F7" s="54">
        <v>2</v>
      </c>
      <c r="G7" s="41">
        <f>SAMPLES!F7+SAMPLES!F30+SAMPLES!F54</f>
        <v>2.4513999999999885</v>
      </c>
      <c r="H7" s="42">
        <v>36.13986</v>
      </c>
      <c r="I7" s="43">
        <f t="shared" si="0"/>
        <v>0.06783092131513482</v>
      </c>
      <c r="J7" s="59">
        <f t="shared" si="1"/>
        <v>67830.92131513482</v>
      </c>
    </row>
    <row r="8" spans="1:10" ht="15">
      <c r="A8" s="37">
        <v>3</v>
      </c>
      <c r="B8" s="166" t="s">
        <v>77</v>
      </c>
      <c r="C8" s="58" t="s">
        <v>71</v>
      </c>
      <c r="D8" s="55" t="s">
        <v>176</v>
      </c>
      <c r="E8" s="54" t="s">
        <v>68</v>
      </c>
      <c r="F8" s="54">
        <v>1</v>
      </c>
      <c r="G8" s="41">
        <f>SAMPLES!K7+SAMPLES!K30+SAMPLES!K54</f>
        <v>12.153599999999997</v>
      </c>
      <c r="H8" s="42">
        <v>31.511795999999997</v>
      </c>
      <c r="I8" s="47">
        <f t="shared" si="0"/>
        <v>0.38568414190038547</v>
      </c>
      <c r="J8" s="59">
        <f t="shared" si="1"/>
        <v>385684.14190038544</v>
      </c>
    </row>
    <row r="9" spans="1:10" ht="15">
      <c r="A9" s="37">
        <v>3</v>
      </c>
      <c r="B9" s="167"/>
      <c r="C9" s="58" t="s">
        <v>71</v>
      </c>
      <c r="D9" s="54" t="s">
        <v>177</v>
      </c>
      <c r="E9" s="54" t="s">
        <v>69</v>
      </c>
      <c r="F9" s="54">
        <v>2</v>
      </c>
      <c r="G9" s="41">
        <f>SAMPLES!M7+SAMPLES!M30+SAMPLES!M54</f>
        <v>1.049000000000003</v>
      </c>
      <c r="H9" s="42">
        <v>31.423931999999997</v>
      </c>
      <c r="I9" s="43">
        <f t="shared" si="0"/>
        <v>0.03338220054702267</v>
      </c>
      <c r="J9" s="59">
        <f t="shared" si="1"/>
        <v>33382.200547022665</v>
      </c>
    </row>
    <row r="10" spans="1:10" ht="15">
      <c r="A10" s="37">
        <v>3</v>
      </c>
      <c r="B10" s="167"/>
      <c r="C10" s="58" t="s">
        <v>72</v>
      </c>
      <c r="D10" s="55" t="s">
        <v>178</v>
      </c>
      <c r="E10" s="54" t="s">
        <v>68</v>
      </c>
      <c r="F10" s="54">
        <v>1</v>
      </c>
      <c r="G10" s="41">
        <f>SAMPLES!L7+SAMPLES!L30+SAMPLES!L54</f>
        <v>4.309500000000003</v>
      </c>
      <c r="H10" s="44">
        <f>SAMPLES!L5</f>
        <v>31.618488</v>
      </c>
      <c r="I10" s="47">
        <f t="shared" si="0"/>
        <v>0.13629684000069844</v>
      </c>
      <c r="J10" s="59">
        <f t="shared" si="1"/>
        <v>136296.84000069843</v>
      </c>
    </row>
    <row r="11" spans="1:10" ht="15">
      <c r="A11" s="37">
        <v>3</v>
      </c>
      <c r="B11" s="168"/>
      <c r="C11" s="58" t="s">
        <v>72</v>
      </c>
      <c r="D11" s="54" t="s">
        <v>179</v>
      </c>
      <c r="E11" s="54" t="s">
        <v>69</v>
      </c>
      <c r="F11" s="54">
        <v>2</v>
      </c>
      <c r="G11" s="41">
        <f>SAMPLES!N7+SAMPLES!N30+SAMPLES!N54</f>
        <v>0.19790000000000418</v>
      </c>
      <c r="H11" s="44">
        <f>SAMPLES!N5</f>
        <v>31.863252</v>
      </c>
      <c r="I11" s="43">
        <f t="shared" si="0"/>
        <v>0.006210916575621477</v>
      </c>
      <c r="J11" s="59">
        <f t="shared" si="1"/>
        <v>6210.916575621477</v>
      </c>
    </row>
    <row r="12" spans="1:10" ht="15">
      <c r="A12" s="37">
        <v>4</v>
      </c>
      <c r="B12" s="166" t="s">
        <v>78</v>
      </c>
      <c r="C12" s="58" t="s">
        <v>71</v>
      </c>
      <c r="D12" s="55" t="s">
        <v>180</v>
      </c>
      <c r="E12" s="54" t="s">
        <v>68</v>
      </c>
      <c r="F12" s="54">
        <v>1</v>
      </c>
      <c r="G12" s="41">
        <f>SAMPLES!O7+SAMPLES!O30+SAMPLES!O54</f>
        <v>11.799700000000001</v>
      </c>
      <c r="H12" s="42">
        <v>31.490432000000002</v>
      </c>
      <c r="I12" s="47">
        <f t="shared" si="0"/>
        <v>0.3747074666997265</v>
      </c>
      <c r="J12" s="59">
        <f t="shared" si="1"/>
        <v>374707.4666997265</v>
      </c>
    </row>
    <row r="13" spans="1:10" ht="15">
      <c r="A13" s="37">
        <v>4</v>
      </c>
      <c r="B13" s="167"/>
      <c r="C13" s="58" t="s">
        <v>71</v>
      </c>
      <c r="D13" s="54" t="s">
        <v>181</v>
      </c>
      <c r="E13" s="54" t="s">
        <v>69</v>
      </c>
      <c r="F13" s="54">
        <v>2</v>
      </c>
      <c r="G13" s="41">
        <f>SAMPLES!Q7+SAMPLES!Q30+SAMPLES!Q54</f>
        <v>3.094999999999997</v>
      </c>
      <c r="H13" s="42">
        <v>31.647132000000003</v>
      </c>
      <c r="I13" s="43">
        <f t="shared" si="0"/>
        <v>0.09779717163627961</v>
      </c>
      <c r="J13" s="59">
        <f t="shared" si="1"/>
        <v>97797.17163627961</v>
      </c>
    </row>
    <row r="14" spans="1:10" ht="15">
      <c r="A14" s="37">
        <v>4</v>
      </c>
      <c r="B14" s="167"/>
      <c r="C14" s="58" t="s">
        <v>72</v>
      </c>
      <c r="D14" s="55" t="s">
        <v>182</v>
      </c>
      <c r="E14" s="54" t="s">
        <v>68</v>
      </c>
      <c r="F14" s="54">
        <v>1</v>
      </c>
      <c r="G14" s="41">
        <f>SAMPLES!P7+SAMPLES!P30+SAMPLES!P54</f>
        <v>2.2573000000000008</v>
      </c>
      <c r="H14" s="44">
        <f>SAMPLES!P5</f>
        <v>31.634596000000002</v>
      </c>
      <c r="I14" s="47">
        <f t="shared" si="0"/>
        <v>0.07135542366338425</v>
      </c>
      <c r="J14" s="59">
        <f t="shared" si="1"/>
        <v>71355.42366338424</v>
      </c>
    </row>
    <row r="15" spans="1:10" ht="15">
      <c r="A15" s="37">
        <v>4</v>
      </c>
      <c r="B15" s="168"/>
      <c r="C15" s="58" t="s">
        <v>72</v>
      </c>
      <c r="D15" s="54" t="s">
        <v>183</v>
      </c>
      <c r="E15" s="54" t="s">
        <v>69</v>
      </c>
      <c r="F15" s="54">
        <v>2</v>
      </c>
      <c r="G15" s="41">
        <f>SAMPLES!R7+SAMPLES!R30+SAMPLES!R54</f>
        <v>1.3923999999999985</v>
      </c>
      <c r="H15" s="42">
        <v>31.421484000000003</v>
      </c>
      <c r="I15" s="43">
        <f t="shared" si="0"/>
        <v>0.04431362948993747</v>
      </c>
      <c r="J15" s="59">
        <f t="shared" si="1"/>
        <v>44313.62948993746</v>
      </c>
    </row>
    <row r="16" spans="1:10" ht="15">
      <c r="A16" s="37">
        <v>2</v>
      </c>
      <c r="B16" s="166" t="s">
        <v>76</v>
      </c>
      <c r="C16" s="58" t="s">
        <v>71</v>
      </c>
      <c r="D16" s="55" t="s">
        <v>184</v>
      </c>
      <c r="E16" s="54" t="s">
        <v>68</v>
      </c>
      <c r="F16" s="54">
        <v>1</v>
      </c>
      <c r="G16" s="41">
        <f>SAMPLES!G7+SAMPLES!G30+SAMPLES!G54</f>
        <v>0.052399999999999995</v>
      </c>
      <c r="H16" s="42">
        <v>59.77164</v>
      </c>
      <c r="I16" s="47">
        <f t="shared" si="0"/>
        <v>0.0008766699391216302</v>
      </c>
      <c r="J16" s="59">
        <f t="shared" si="1"/>
        <v>876.6699391216303</v>
      </c>
    </row>
    <row r="17" spans="1:10" ht="15">
      <c r="A17" s="37">
        <v>2</v>
      </c>
      <c r="B17" s="167"/>
      <c r="C17" s="58" t="s">
        <v>71</v>
      </c>
      <c r="D17" s="54" t="s">
        <v>185</v>
      </c>
      <c r="E17" s="54" t="s">
        <v>69</v>
      </c>
      <c r="F17" s="54">
        <v>2</v>
      </c>
      <c r="G17" s="41">
        <f>SAMPLES!I7+SAMPLES!I30+SAMPLES!I54</f>
        <v>0.001</v>
      </c>
      <c r="H17" s="42">
        <v>59.81343</v>
      </c>
      <c r="I17" s="46">
        <f t="shared" si="0"/>
        <v>1.6718653319162605E-05</v>
      </c>
      <c r="J17" s="59">
        <f t="shared" si="1"/>
        <v>16.718653319162605</v>
      </c>
    </row>
    <row r="18" spans="1:10" ht="15">
      <c r="A18" s="37">
        <v>2</v>
      </c>
      <c r="B18" s="167"/>
      <c r="C18" s="58" t="s">
        <v>72</v>
      </c>
      <c r="D18" s="55" t="s">
        <v>186</v>
      </c>
      <c r="E18" s="54" t="s">
        <v>68</v>
      </c>
      <c r="F18" s="54">
        <v>1</v>
      </c>
      <c r="G18" s="41">
        <f>SAMPLES!H7+SAMPLES!H30+SAMPLES!H54</f>
        <v>0.0222999999999997</v>
      </c>
      <c r="H18" s="42">
        <v>59.932829999999996</v>
      </c>
      <c r="I18" s="47">
        <f t="shared" si="0"/>
        <v>0.00037208321382453826</v>
      </c>
      <c r="J18" s="59">
        <f t="shared" si="1"/>
        <v>372.0832138245383</v>
      </c>
    </row>
    <row r="19" spans="1:10" ht="15">
      <c r="A19" s="37">
        <v>2</v>
      </c>
      <c r="B19" s="168"/>
      <c r="C19" s="58" t="s">
        <v>72</v>
      </c>
      <c r="D19" s="54" t="s">
        <v>187</v>
      </c>
      <c r="E19" s="54" t="s">
        <v>69</v>
      </c>
      <c r="F19" s="54">
        <v>2</v>
      </c>
      <c r="G19" s="41">
        <f>SAMPLES!J7+SAMPLES!J30+SAMPLES!J54</f>
        <v>0.023800000000001376</v>
      </c>
      <c r="H19" s="42">
        <v>59.879099999999994</v>
      </c>
      <c r="I19" s="43">
        <f t="shared" si="0"/>
        <v>0.0003974675638077623</v>
      </c>
      <c r="J19" s="59">
        <f t="shared" si="1"/>
        <v>397.4675638077623</v>
      </c>
    </row>
    <row r="20" spans="1:10" ht="15.75" customHeight="1">
      <c r="A20" s="37">
        <v>5</v>
      </c>
      <c r="B20" s="166" t="s">
        <v>73</v>
      </c>
      <c r="C20" s="58" t="s">
        <v>71</v>
      </c>
      <c r="D20" s="55" t="s">
        <v>188</v>
      </c>
      <c r="E20" s="54" t="s">
        <v>68</v>
      </c>
      <c r="F20" s="54">
        <v>1</v>
      </c>
      <c r="G20" s="41">
        <f>SAMPLES!S7+SAMPLES!S30+SAMPLES!S54</f>
        <v>0.04889999999999684</v>
      </c>
      <c r="H20" s="42">
        <v>26.462128</v>
      </c>
      <c r="I20" s="47">
        <f t="shared" si="0"/>
        <v>0.001847923946252427</v>
      </c>
      <c r="J20" s="59">
        <f t="shared" si="1"/>
        <v>1847.923946252427</v>
      </c>
    </row>
    <row r="21" spans="1:10" ht="15">
      <c r="A21" s="37">
        <v>5</v>
      </c>
      <c r="B21" s="167"/>
      <c r="C21" s="58" t="s">
        <v>71</v>
      </c>
      <c r="D21" s="54" t="s">
        <v>189</v>
      </c>
      <c r="E21" s="54" t="s">
        <v>69</v>
      </c>
      <c r="F21" s="54">
        <v>2</v>
      </c>
      <c r="G21" s="41">
        <f>SAMPLES!U7+SAMPLES!U30+SAMPLES!U54</f>
        <v>0.1279000000000039</v>
      </c>
      <c r="H21" s="42">
        <v>52.67684799999999</v>
      </c>
      <c r="I21" s="43">
        <f t="shared" si="0"/>
        <v>0.0024280116380540444</v>
      </c>
      <c r="J21" s="59">
        <f t="shared" si="1"/>
        <v>2428.0116380540444</v>
      </c>
    </row>
    <row r="22" spans="1:10" ht="15.75" customHeight="1">
      <c r="A22" s="37">
        <v>5</v>
      </c>
      <c r="B22" s="167"/>
      <c r="C22" s="58" t="s">
        <v>72</v>
      </c>
      <c r="D22" s="55" t="s">
        <v>190</v>
      </c>
      <c r="E22" s="54" t="s">
        <v>68</v>
      </c>
      <c r="F22" s="54">
        <v>1</v>
      </c>
      <c r="G22" s="41">
        <f>SAMPLES!T7+SAMPLES!T30+SAMPLES!T54</f>
        <v>0</v>
      </c>
      <c r="H22" s="44">
        <f>SAMPLES!T5</f>
        <v>52.918991999999996</v>
      </c>
      <c r="I22" s="47">
        <f t="shared" si="0"/>
        <v>0</v>
      </c>
      <c r="J22" s="59">
        <f t="shared" si="1"/>
        <v>0</v>
      </c>
    </row>
    <row r="23" spans="1:10" ht="15.75" customHeight="1">
      <c r="A23" s="37">
        <v>5</v>
      </c>
      <c r="B23" s="168"/>
      <c r="C23" s="58" t="s">
        <v>72</v>
      </c>
      <c r="D23" s="54" t="s">
        <v>191</v>
      </c>
      <c r="E23" s="54" t="s">
        <v>69</v>
      </c>
      <c r="F23" s="54">
        <v>2</v>
      </c>
      <c r="G23" s="41">
        <v>0.0006</v>
      </c>
      <c r="H23" s="42">
        <v>52.645264</v>
      </c>
      <c r="I23" s="46">
        <f t="shared" si="0"/>
        <v>1.1397036588134499E-05</v>
      </c>
      <c r="J23" s="59">
        <f t="shared" si="1"/>
        <v>11.3970365881345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spans="3:8" ht="15.75" customHeight="1">
      <c r="C54" s="61" t="s">
        <v>111</v>
      </c>
      <c r="D54" t="s">
        <v>62</v>
      </c>
      <c r="F54" t="s">
        <v>80</v>
      </c>
      <c r="H54" s="38" t="s">
        <v>67</v>
      </c>
    </row>
    <row r="55" spans="3:10" ht="15.75" customHeight="1">
      <c r="C55" s="61" t="s">
        <v>71</v>
      </c>
      <c r="D55">
        <v>0.4226398844965964</v>
      </c>
      <c r="E55">
        <f>LOG(D55)</f>
        <v>-0.3740295210095935</v>
      </c>
      <c r="F55">
        <v>0.021848674210596043</v>
      </c>
      <c r="G55">
        <f>SQRT(F55)</f>
        <v>0.14781297037336083</v>
      </c>
      <c r="H55" s="54" t="s">
        <v>69</v>
      </c>
      <c r="J55" s="54" t="s">
        <v>68</v>
      </c>
    </row>
    <row r="56" spans="3:10" ht="15.75" customHeight="1">
      <c r="C56" s="61" t="s">
        <v>71</v>
      </c>
      <c r="D56">
        <v>0.39795101911427044</v>
      </c>
      <c r="E56">
        <f aca="true" t="shared" si="2" ref="E56:E63">LOG(D56)</f>
        <v>-0.40017037877418365</v>
      </c>
      <c r="F56">
        <v>0.06783092131513482</v>
      </c>
      <c r="G56">
        <f aca="true" t="shared" si="3" ref="G56:G64">SQRT(F56)</f>
        <v>0.26044370085516527</v>
      </c>
      <c r="H56" s="54" t="s">
        <v>69</v>
      </c>
      <c r="J56" s="54" t="s">
        <v>68</v>
      </c>
    </row>
    <row r="57" spans="3:10" ht="15.75" customHeight="1">
      <c r="C57" s="61" t="s">
        <v>71</v>
      </c>
      <c r="D57">
        <v>0.38568414190038547</v>
      </c>
      <c r="E57">
        <f t="shared" si="2"/>
        <v>-0.4137682175683413</v>
      </c>
      <c r="F57">
        <v>0.03338220054702267</v>
      </c>
      <c r="G57">
        <f t="shared" si="3"/>
        <v>0.18270796519862695</v>
      </c>
      <c r="H57" s="54" t="s">
        <v>69</v>
      </c>
      <c r="J57" s="54" t="s">
        <v>68</v>
      </c>
    </row>
    <row r="58" spans="3:10" ht="15.75" customHeight="1">
      <c r="C58" s="61" t="s">
        <v>71</v>
      </c>
      <c r="D58">
        <v>0.13629684000069844</v>
      </c>
      <c r="E58">
        <f t="shared" si="2"/>
        <v>-0.8655142130293643</v>
      </c>
      <c r="F58">
        <v>0.006210916575621477</v>
      </c>
      <c r="G58">
        <f t="shared" si="3"/>
        <v>0.07880936857773622</v>
      </c>
      <c r="H58" s="54" t="s">
        <v>69</v>
      </c>
      <c r="J58" s="54" t="s">
        <v>68</v>
      </c>
    </row>
    <row r="59" spans="3:10" ht="15.75" customHeight="1">
      <c r="C59" s="61" t="s">
        <v>71</v>
      </c>
      <c r="D59">
        <v>0.3747074666997265</v>
      </c>
      <c r="E59">
        <f t="shared" si="2"/>
        <v>-0.4263076527450589</v>
      </c>
      <c r="F59">
        <v>0.09779717163627961</v>
      </c>
      <c r="G59">
        <f t="shared" si="3"/>
        <v>0.3127253933345989</v>
      </c>
      <c r="H59" s="54" t="s">
        <v>69</v>
      </c>
      <c r="J59" s="54" t="s">
        <v>68</v>
      </c>
    </row>
    <row r="60" spans="3:10" ht="15.75" customHeight="1">
      <c r="C60" s="61" t="s">
        <v>72</v>
      </c>
      <c r="D60">
        <v>0.07135542366338425</v>
      </c>
      <c r="E60">
        <f t="shared" si="2"/>
        <v>-1.1465730109507537</v>
      </c>
      <c r="F60">
        <v>0.04431362948993747</v>
      </c>
      <c r="G60">
        <f t="shared" si="3"/>
        <v>0.21050802713896083</v>
      </c>
      <c r="H60" s="54" t="s">
        <v>69</v>
      </c>
      <c r="J60" s="54" t="s">
        <v>68</v>
      </c>
    </row>
    <row r="61" spans="3:10" ht="15.75" customHeight="1">
      <c r="C61" s="61" t="s">
        <v>72</v>
      </c>
      <c r="D61">
        <v>0.0008766699391216302</v>
      </c>
      <c r="E61">
        <f t="shared" si="2"/>
        <v>-3.057163885081828</v>
      </c>
      <c r="F61">
        <v>1.6718653319162605E-05</v>
      </c>
      <c r="G61">
        <f t="shared" si="3"/>
        <v>0.004088844985954176</v>
      </c>
      <c r="H61" s="54" t="s">
        <v>69</v>
      </c>
      <c r="J61" s="54" t="s">
        <v>68</v>
      </c>
    </row>
    <row r="62" spans="3:10" ht="15.75" customHeight="1">
      <c r="C62" s="61" t="s">
        <v>72</v>
      </c>
      <c r="D62">
        <v>0.00037208321382453826</v>
      </c>
      <c r="E62">
        <f t="shared" si="2"/>
        <v>-3.4293599223133673</v>
      </c>
      <c r="F62">
        <v>0.0003974675638077623</v>
      </c>
      <c r="G62">
        <f t="shared" si="3"/>
        <v>0.019936588569957555</v>
      </c>
      <c r="H62" s="54" t="s">
        <v>69</v>
      </c>
      <c r="J62" s="54" t="s">
        <v>68</v>
      </c>
    </row>
    <row r="63" spans="3:10" ht="15.75" customHeight="1">
      <c r="C63" s="61" t="s">
        <v>72</v>
      </c>
      <c r="D63">
        <v>0.001847923946252427</v>
      </c>
      <c r="E63">
        <f t="shared" si="2"/>
        <v>-2.733315906710382</v>
      </c>
      <c r="F63">
        <v>0.0024280116380540444</v>
      </c>
      <c r="G63">
        <f t="shared" si="3"/>
        <v>0.04927485807238864</v>
      </c>
      <c r="H63" s="54" t="s">
        <v>69</v>
      </c>
      <c r="J63" s="54" t="s">
        <v>68</v>
      </c>
    </row>
    <row r="64" spans="3:10" ht="15.75" customHeight="1">
      <c r="C64" s="61" t="s">
        <v>72</v>
      </c>
      <c r="D64">
        <v>0</v>
      </c>
      <c r="E64" t="e">
        <f>LOG(D64)</f>
        <v>#NUM!</v>
      </c>
      <c r="F64">
        <v>1.1397036588134499E-05</v>
      </c>
      <c r="G64">
        <f t="shared" si="3"/>
        <v>0.0033759497312807396</v>
      </c>
      <c r="H64" s="54" t="s">
        <v>69</v>
      </c>
      <c r="J64" s="54" t="s">
        <v>68</v>
      </c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spans="1:3" ht="15.75" customHeight="1">
      <c r="A81" s="61" t="s">
        <v>111</v>
      </c>
      <c r="B81" s="38" t="s">
        <v>67</v>
      </c>
      <c r="C81" s="40" t="s">
        <v>61</v>
      </c>
    </row>
    <row r="82" spans="1:3" ht="15.75" customHeight="1">
      <c r="A82">
        <v>1</v>
      </c>
      <c r="B82" s="54" t="s">
        <v>69</v>
      </c>
      <c r="C82" s="59">
        <v>21848.674210596037</v>
      </c>
    </row>
    <row r="83" spans="1:3" ht="15.75" customHeight="1">
      <c r="A83">
        <v>2</v>
      </c>
      <c r="B83" s="54" t="s">
        <v>69</v>
      </c>
      <c r="C83" s="59">
        <v>67830.92131513482</v>
      </c>
    </row>
    <row r="84" spans="1:3" ht="15.75" customHeight="1">
      <c r="A84">
        <v>3</v>
      </c>
      <c r="B84" s="54" t="s">
        <v>69</v>
      </c>
      <c r="C84" s="59">
        <v>33382.200547022665</v>
      </c>
    </row>
    <row r="85" spans="1:3" ht="15.75" customHeight="1">
      <c r="A85">
        <v>4</v>
      </c>
      <c r="B85" s="54" t="s">
        <v>69</v>
      </c>
      <c r="C85" s="59">
        <v>6210.916575621477</v>
      </c>
    </row>
    <row r="86" spans="1:3" ht="15.75" customHeight="1">
      <c r="A86">
        <v>5</v>
      </c>
      <c r="B86" s="54" t="s">
        <v>69</v>
      </c>
      <c r="C86" s="59">
        <v>97797.17163627961</v>
      </c>
    </row>
    <row r="87" spans="1:3" ht="15.75" customHeight="1">
      <c r="A87">
        <v>6</v>
      </c>
      <c r="B87" s="54" t="s">
        <v>69</v>
      </c>
      <c r="C87" s="59">
        <v>44313.62948993746</v>
      </c>
    </row>
    <row r="88" spans="1:3" ht="15.75" customHeight="1">
      <c r="A88">
        <v>7</v>
      </c>
      <c r="B88" s="54" t="s">
        <v>69</v>
      </c>
      <c r="C88" s="59">
        <v>16.718653319162605</v>
      </c>
    </row>
    <row r="89" spans="1:3" ht="15.75" customHeight="1">
      <c r="A89">
        <v>8</v>
      </c>
      <c r="B89" s="54" t="s">
        <v>69</v>
      </c>
      <c r="C89" s="59">
        <v>397.4675638077623</v>
      </c>
    </row>
    <row r="90" spans="1:3" ht="15.75" customHeight="1">
      <c r="A90">
        <v>9</v>
      </c>
      <c r="B90" s="54" t="s">
        <v>69</v>
      </c>
      <c r="C90" s="59">
        <v>2428.0116380540444</v>
      </c>
    </row>
    <row r="91" spans="1:3" ht="15.75" customHeight="1">
      <c r="A91">
        <v>10</v>
      </c>
      <c r="B91" s="54" t="s">
        <v>69</v>
      </c>
      <c r="C91" s="59">
        <v>11.3970365881345</v>
      </c>
    </row>
    <row r="92" spans="1:3" ht="15.75" customHeight="1">
      <c r="A92" s="61" t="s">
        <v>121</v>
      </c>
      <c r="B92" s="54" t="s">
        <v>68</v>
      </c>
      <c r="C92" s="59">
        <v>422639.8844965964</v>
      </c>
    </row>
    <row r="93" spans="1:3" ht="15.75" customHeight="1">
      <c r="A93" s="61" t="s">
        <v>122</v>
      </c>
      <c r="B93" s="54" t="s">
        <v>68</v>
      </c>
      <c r="C93" s="59">
        <v>397951.01911427046</v>
      </c>
    </row>
    <row r="94" spans="1:3" ht="15.75" customHeight="1">
      <c r="A94" s="61" t="s">
        <v>123</v>
      </c>
      <c r="B94" s="54" t="s">
        <v>68</v>
      </c>
      <c r="C94" s="59">
        <v>385684.14190038544</v>
      </c>
    </row>
    <row r="95" spans="1:3" ht="15.75" customHeight="1">
      <c r="A95" s="61" t="s">
        <v>124</v>
      </c>
      <c r="B95" s="54" t="s">
        <v>68</v>
      </c>
      <c r="C95" s="59">
        <v>136296.84000069843</v>
      </c>
    </row>
    <row r="96" spans="1:3" ht="15.75" customHeight="1">
      <c r="A96" s="61" t="s">
        <v>125</v>
      </c>
      <c r="B96" s="54" t="s">
        <v>68</v>
      </c>
      <c r="C96" s="59">
        <v>374707.4666997265</v>
      </c>
    </row>
    <row r="97" spans="1:3" ht="15.75" customHeight="1">
      <c r="A97" s="61" t="s">
        <v>126</v>
      </c>
      <c r="B97" s="54" t="s">
        <v>68</v>
      </c>
      <c r="C97" s="59">
        <v>71355.42366338424</v>
      </c>
    </row>
    <row r="98" spans="1:3" ht="15.75" customHeight="1">
      <c r="A98" s="61" t="s">
        <v>127</v>
      </c>
      <c r="B98" s="54" t="s">
        <v>68</v>
      </c>
      <c r="C98" s="59">
        <v>876.6699391216303</v>
      </c>
    </row>
    <row r="99" spans="1:3" ht="15.75" customHeight="1">
      <c r="A99" s="61" t="s">
        <v>128</v>
      </c>
      <c r="B99" s="54" t="s">
        <v>68</v>
      </c>
      <c r="C99" s="59">
        <v>372.0832138245383</v>
      </c>
    </row>
    <row r="100" spans="1:3" ht="15.75" customHeight="1">
      <c r="A100" s="61" t="s">
        <v>129</v>
      </c>
      <c r="B100" s="54" t="s">
        <v>68</v>
      </c>
      <c r="C100" s="59">
        <v>1847.923946252427</v>
      </c>
    </row>
    <row r="101" spans="1:3" ht="15.75" customHeight="1">
      <c r="A101" s="61" t="s">
        <v>130</v>
      </c>
      <c r="B101" s="54" t="s">
        <v>68</v>
      </c>
      <c r="C101" s="59">
        <v>0</v>
      </c>
    </row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5">
    <mergeCell ref="B4:B7"/>
    <mergeCell ref="B8:B11"/>
    <mergeCell ref="B12:B15"/>
    <mergeCell ref="B20:B23"/>
    <mergeCell ref="B16:B19"/>
  </mergeCells>
  <printOptions/>
  <pageMargins left="0.7" right="0.7" top="0.75" bottom="0.75" header="0" footer="0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2AA32-E8C4-4C3C-B65F-593AF5545257}">
  <sheetPr codeName="Sheet9">
    <tabColor rgb="FF007800"/>
  </sheetPr>
  <dimension ref="B1:J71"/>
  <sheetViews>
    <sheetView zoomScale="62" zoomScaleNormal="62" workbookViewId="0" topLeftCell="A10">
      <selection activeCell="R26" sqref="R26"/>
    </sheetView>
  </sheetViews>
  <sheetFormatPr defaultColWidth="9.00390625" defaultRowHeight="14.25"/>
  <cols>
    <col min="1" max="1" width="4.875" style="0" customWidth="1"/>
    <col min="2" max="2" width="9.00390625" style="0" customWidth="1"/>
    <col min="3" max="3" width="15.625" style="0" bestFit="1" customWidth="1"/>
    <col min="4" max="4" width="16.50390625" style="0" bestFit="1" customWidth="1"/>
    <col min="5" max="5" width="15.50390625" style="0" bestFit="1" customWidth="1"/>
    <col min="6" max="7" width="11.00390625" style="0" bestFit="1" customWidth="1"/>
    <col min="8" max="8" width="10.375" style="0" bestFit="1" customWidth="1"/>
    <col min="9" max="9" width="11.00390625" style="0" bestFit="1" customWidth="1"/>
    <col min="10" max="11" width="10.375" style="0" bestFit="1" customWidth="1"/>
    <col min="12" max="12" width="11.00390625" style="0" bestFit="1" customWidth="1"/>
    <col min="13" max="13" width="10.375" style="0" bestFit="1" customWidth="1"/>
  </cols>
  <sheetData>
    <row r="1" ht="14.25">
      <c r="B1" s="6" t="s">
        <v>212</v>
      </c>
    </row>
    <row r="2" ht="14.25">
      <c r="B2" t="s">
        <v>192</v>
      </c>
    </row>
    <row r="3" ht="14.25">
      <c r="B3" t="s">
        <v>193</v>
      </c>
    </row>
    <row r="4" ht="14.25">
      <c r="B4" t="s">
        <v>194</v>
      </c>
    </row>
    <row r="5" ht="14.25">
      <c r="B5" t="s">
        <v>195</v>
      </c>
    </row>
    <row r="6" ht="14.25">
      <c r="B6" t="s">
        <v>196</v>
      </c>
    </row>
    <row r="7" ht="14.25">
      <c r="B7" t="s">
        <v>197</v>
      </c>
    </row>
    <row r="8" ht="38.1" customHeight="1"/>
    <row r="10" ht="14.25">
      <c r="B10" s="6" t="s">
        <v>198</v>
      </c>
    </row>
    <row r="11" ht="15" thickBot="1"/>
    <row r="12" spans="2:9" ht="28.5" customHeight="1">
      <c r="B12" s="155" t="s">
        <v>83</v>
      </c>
      <c r="C12" s="156" t="s">
        <v>84</v>
      </c>
      <c r="D12" s="156" t="s">
        <v>85</v>
      </c>
      <c r="E12" s="156" t="s">
        <v>86</v>
      </c>
      <c r="F12" s="156" t="s">
        <v>87</v>
      </c>
      <c r="G12" s="156" t="s">
        <v>88</v>
      </c>
      <c r="H12" s="156" t="s">
        <v>89</v>
      </c>
      <c r="I12" s="156" t="s">
        <v>90</v>
      </c>
    </row>
    <row r="13" spans="2:9" ht="15" thickBot="1">
      <c r="B13" s="157" t="s">
        <v>61</v>
      </c>
      <c r="C13" s="158">
        <v>20</v>
      </c>
      <c r="D13" s="158">
        <v>0</v>
      </c>
      <c r="E13" s="158">
        <v>20</v>
      </c>
      <c r="F13" s="159">
        <v>0</v>
      </c>
      <c r="G13" s="159">
        <v>422639.8844965964</v>
      </c>
      <c r="H13" s="159">
        <v>103298.42808203107</v>
      </c>
      <c r="I13" s="159">
        <v>154608.88752431975</v>
      </c>
    </row>
    <row r="16" ht="14.25">
      <c r="B16" s="6" t="s">
        <v>199</v>
      </c>
    </row>
    <row r="17" ht="15" thickBot="1"/>
    <row r="18" spans="2:6" ht="14.25">
      <c r="B18" s="156" t="s">
        <v>83</v>
      </c>
      <c r="C18" s="156" t="s">
        <v>98</v>
      </c>
      <c r="D18" s="156" t="s">
        <v>99</v>
      </c>
      <c r="E18" s="156" t="s">
        <v>100</v>
      </c>
      <c r="F18" s="156" t="s">
        <v>101</v>
      </c>
    </row>
    <row r="19" spans="2:6" ht="14.25">
      <c r="B19" s="69" t="s">
        <v>150</v>
      </c>
      <c r="C19" s="65" t="s">
        <v>93</v>
      </c>
      <c r="D19" s="66">
        <v>4</v>
      </c>
      <c r="E19" s="66">
        <v>4</v>
      </c>
      <c r="F19" s="73">
        <v>20</v>
      </c>
    </row>
    <row r="20" spans="2:6" ht="14.25">
      <c r="B20" s="70" t="s">
        <v>92</v>
      </c>
      <c r="C20" s="62" t="s">
        <v>94</v>
      </c>
      <c r="D20" s="67">
        <v>4</v>
      </c>
      <c r="E20" s="67">
        <v>4</v>
      </c>
      <c r="F20" s="74">
        <v>20</v>
      </c>
    </row>
    <row r="21" spans="2:6" ht="14.25">
      <c r="B21" s="70" t="s">
        <v>92</v>
      </c>
      <c r="C21" s="62" t="s">
        <v>95</v>
      </c>
      <c r="D21" s="67">
        <v>4</v>
      </c>
      <c r="E21" s="67">
        <v>4</v>
      </c>
      <c r="F21" s="74">
        <v>20</v>
      </c>
    </row>
    <row r="22" spans="2:6" ht="14.25">
      <c r="B22" s="70" t="s">
        <v>92</v>
      </c>
      <c r="C22" s="62" t="s">
        <v>96</v>
      </c>
      <c r="D22" s="67">
        <v>4</v>
      </c>
      <c r="E22" s="67">
        <v>4</v>
      </c>
      <c r="F22" s="74">
        <v>20</v>
      </c>
    </row>
    <row r="23" spans="2:6" ht="15" thickBot="1">
      <c r="B23" s="71" t="s">
        <v>92</v>
      </c>
      <c r="C23" s="72" t="s">
        <v>97</v>
      </c>
      <c r="D23" s="68">
        <v>4</v>
      </c>
      <c r="E23" s="68">
        <v>4</v>
      </c>
      <c r="F23" s="75">
        <v>20</v>
      </c>
    </row>
    <row r="24" spans="2:6" ht="14.25">
      <c r="B24" s="160"/>
      <c r="C24" s="160"/>
      <c r="D24" s="160"/>
      <c r="E24" s="160"/>
      <c r="F24" s="160"/>
    </row>
    <row r="26" ht="14.25">
      <c r="E26" t="s">
        <v>109</v>
      </c>
    </row>
    <row r="29" ht="15">
      <c r="B29" s="154" t="s">
        <v>203</v>
      </c>
    </row>
    <row r="31" ht="14.25">
      <c r="B31" s="6" t="s">
        <v>204</v>
      </c>
    </row>
    <row r="32" ht="15" thickBot="1"/>
    <row r="33" spans="2:3" ht="14.25">
      <c r="B33" s="76" t="s">
        <v>205</v>
      </c>
      <c r="C33" s="77">
        <v>0.892658323285439</v>
      </c>
    </row>
    <row r="34" spans="2:3" ht="14.25">
      <c r="B34" s="62" t="s">
        <v>206</v>
      </c>
      <c r="C34" s="79">
        <v>0.030103947790796573</v>
      </c>
    </row>
    <row r="35" spans="2:3" ht="15" thickBot="1">
      <c r="B35" s="72" t="s">
        <v>104</v>
      </c>
      <c r="C35" s="80">
        <v>0.05</v>
      </c>
    </row>
    <row r="37" ht="14.25">
      <c r="B37" s="6" t="s">
        <v>105</v>
      </c>
    </row>
    <row r="38" ht="14.25">
      <c r="B38" s="6" t="s">
        <v>207</v>
      </c>
    </row>
    <row r="39" ht="14.25">
      <c r="B39" s="6" t="s">
        <v>208</v>
      </c>
    </row>
    <row r="40" spans="2:10" ht="14.25">
      <c r="B40" s="169" t="s">
        <v>108</v>
      </c>
      <c r="C40" s="169"/>
      <c r="D40" s="169"/>
      <c r="E40" s="169"/>
      <c r="F40" s="169"/>
      <c r="G40" s="169"/>
      <c r="H40" s="169"/>
      <c r="I40" s="169"/>
      <c r="J40" s="169"/>
    </row>
    <row r="41" spans="2:10" ht="14.25">
      <c r="B41" s="169"/>
      <c r="C41" s="169"/>
      <c r="D41" s="169"/>
      <c r="E41" s="169"/>
      <c r="F41" s="169"/>
      <c r="G41" s="169"/>
      <c r="H41" s="169"/>
      <c r="I41" s="169"/>
      <c r="J41" s="169"/>
    </row>
    <row r="44" ht="15">
      <c r="B44" s="154" t="s">
        <v>209</v>
      </c>
    </row>
    <row r="45" ht="15" thickBot="1"/>
    <row r="46" spans="2:6" ht="42.75">
      <c r="B46" s="155" t="s">
        <v>210</v>
      </c>
      <c r="C46" s="156" t="s">
        <v>211</v>
      </c>
      <c r="D46" s="156" t="s">
        <v>200</v>
      </c>
      <c r="E46" s="156" t="s">
        <v>201</v>
      </c>
      <c r="F46" s="156" t="s">
        <v>202</v>
      </c>
    </row>
    <row r="47" spans="2:6" ht="14.25">
      <c r="B47" s="65" t="s">
        <v>93</v>
      </c>
      <c r="C47" s="73">
        <v>227567.62478414946</v>
      </c>
      <c r="D47" s="73">
        <v>70131.27414032309</v>
      </c>
      <c r="E47" s="73">
        <v>78086.3524599995</v>
      </c>
      <c r="F47" s="73">
        <v>377048.8971082994</v>
      </c>
    </row>
    <row r="48" spans="2:6" ht="14.25">
      <c r="B48" s="62" t="s">
        <v>94</v>
      </c>
      <c r="C48" s="74">
        <v>415.73484251828563</v>
      </c>
      <c r="D48" s="74">
        <v>70131.27414032309</v>
      </c>
      <c r="E48" s="74">
        <v>-149065.53748163168</v>
      </c>
      <c r="F48" s="74">
        <v>149897.00716666825</v>
      </c>
    </row>
    <row r="49" spans="2:6" ht="14.25">
      <c r="B49" s="62" t="s">
        <v>95</v>
      </c>
      <c r="C49" s="74">
        <v>140393.52475593204</v>
      </c>
      <c r="D49" s="74">
        <v>70131.27414032309</v>
      </c>
      <c r="E49" s="74">
        <v>-9087.747568217921</v>
      </c>
      <c r="F49" s="74">
        <v>289874.797080082</v>
      </c>
    </row>
    <row r="50" spans="2:6" ht="14.25">
      <c r="B50" s="62" t="s">
        <v>96</v>
      </c>
      <c r="C50" s="74">
        <v>147043.42287233192</v>
      </c>
      <c r="D50" s="74">
        <v>70131.27414032309</v>
      </c>
      <c r="E50" s="74">
        <v>-2437.849451818038</v>
      </c>
      <c r="F50" s="74">
        <v>296524.6951964819</v>
      </c>
    </row>
    <row r="51" spans="2:6" ht="15" thickBot="1">
      <c r="B51" s="72" t="s">
        <v>97</v>
      </c>
      <c r="C51" s="75">
        <v>1071.8331552233285</v>
      </c>
      <c r="D51" s="75">
        <v>70131.27414032318</v>
      </c>
      <c r="E51" s="75">
        <v>-148409.4391689268</v>
      </c>
      <c r="F51" s="75">
        <v>150553.10547937348</v>
      </c>
    </row>
    <row r="71" ht="14.25">
      <c r="E71" t="s">
        <v>109</v>
      </c>
    </row>
    <row r="187" ht="14.25" customHeight="1"/>
  </sheetData>
  <mergeCells count="1">
    <mergeCell ref="B40:J41"/>
  </mergeCells>
  <printOptions/>
  <pageMargins left="0.7" right="0.7" top="0.75" bottom="0.75" header="0.3" footer="0.3"/>
  <pageSetup horizontalDpi="600" verticalDpi="600" orientation="portrait" r:id="rId2"/>
  <ignoredErrors>
    <ignoredError sqref="C19:C23 B47:B52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F4C9E-22A4-4EB4-9C5C-699E75DDC77B}">
  <sheetPr codeName="Sheet10">
    <tabColor rgb="FF007800"/>
  </sheetPr>
  <dimension ref="A1:H70"/>
  <sheetViews>
    <sheetView workbookViewId="0" topLeftCell="A1">
      <selection activeCell="E1" sqref="E1"/>
    </sheetView>
  </sheetViews>
  <sheetFormatPr defaultColWidth="9.00390625" defaultRowHeight="14.25"/>
  <sheetData>
    <row r="1" spans="1:8" ht="14.25">
      <c r="A1">
        <v>1</v>
      </c>
      <c r="C1">
        <f aca="true" t="shared" si="0" ref="C1:C32">-8670.34075514696+(A1-1)*4083.35493472647</f>
        <v>-8670.34075514696</v>
      </c>
      <c r="D1">
        <f aca="true" t="shared" si="1" ref="D1:D32">0+1*C1-298962.5446483*(1.05+(C1-103298.428082031)^2/159070517175.939)^0.5</f>
        <v>-326305.08466289786</v>
      </c>
      <c r="E1">
        <v>1</v>
      </c>
      <c r="G1">
        <f aca="true" t="shared" si="2" ref="G1:G32">332.587874014628+(E1-1)*3952.87770821688</f>
        <v>332.587874014628</v>
      </c>
      <c r="H1">
        <f aca="true" t="shared" si="3" ref="H1:H32">0+1*G1+298962.5446483*(1.05+(G1-103298.428082031)^2/159070517175.939)^0.5</f>
        <v>316251.1992125969</v>
      </c>
    </row>
    <row r="2" spans="1:8" ht="14.25">
      <c r="A2">
        <v>2</v>
      </c>
      <c r="C2">
        <f t="shared" si="0"/>
        <v>-4586.98582042049</v>
      </c>
      <c r="D2">
        <f t="shared" si="1"/>
        <v>-321426.7032591373</v>
      </c>
      <c r="E2">
        <v>2</v>
      </c>
      <c r="G2">
        <f t="shared" si="2"/>
        <v>4285.465582231508</v>
      </c>
      <c r="H2">
        <f t="shared" si="3"/>
        <v>319493.2781333758</v>
      </c>
    </row>
    <row r="3" spans="1:8" ht="14.25">
      <c r="A3">
        <v>3</v>
      </c>
      <c r="C3">
        <f t="shared" si="0"/>
        <v>-503.63088569402044</v>
      </c>
      <c r="D3">
        <f t="shared" si="1"/>
        <v>-316575.9642275821</v>
      </c>
      <c r="E3">
        <v>3</v>
      </c>
      <c r="G3">
        <f t="shared" si="2"/>
        <v>8238.343290448387</v>
      </c>
      <c r="H3">
        <f t="shared" si="3"/>
        <v>322761.66552676645</v>
      </c>
    </row>
    <row r="4" spans="1:8" ht="14.25">
      <c r="A4">
        <v>4</v>
      </c>
      <c r="C4">
        <f t="shared" si="0"/>
        <v>3579.7240490324493</v>
      </c>
      <c r="D4">
        <f t="shared" si="1"/>
        <v>-311753.0693771536</v>
      </c>
      <c r="E4">
        <v>4</v>
      </c>
      <c r="G4">
        <f t="shared" si="2"/>
        <v>12191.220998665267</v>
      </c>
      <c r="H4">
        <f t="shared" si="3"/>
        <v>326056.53351659636</v>
      </c>
    </row>
    <row r="5" spans="1:8" ht="14.25">
      <c r="A5">
        <v>5</v>
      </c>
      <c r="C5">
        <f t="shared" si="0"/>
        <v>7663.07898375892</v>
      </c>
      <c r="D5">
        <f t="shared" si="1"/>
        <v>-306958.2150571469</v>
      </c>
      <c r="E5">
        <v>5</v>
      </c>
      <c r="G5">
        <f t="shared" si="2"/>
        <v>16144.098706882147</v>
      </c>
      <c r="H5">
        <f t="shared" si="3"/>
        <v>329378.04898606363</v>
      </c>
    </row>
    <row r="6" spans="1:8" ht="14.25">
      <c r="A6">
        <v>6</v>
      </c>
      <c r="C6">
        <f t="shared" si="0"/>
        <v>11746.433918485389</v>
      </c>
      <c r="D6">
        <f t="shared" si="1"/>
        <v>-302191.59191818023</v>
      </c>
      <c r="E6">
        <v>6</v>
      </c>
      <c r="G6">
        <f t="shared" si="2"/>
        <v>20096.97641509903</v>
      </c>
      <c r="H6">
        <f t="shared" si="3"/>
        <v>332726.37338079914</v>
      </c>
    </row>
    <row r="7" spans="1:8" ht="14.25">
      <c r="A7">
        <v>7</v>
      </c>
      <c r="C7">
        <f t="shared" si="0"/>
        <v>15829.78885321186</v>
      </c>
      <c r="D7">
        <f t="shared" si="1"/>
        <v>-297453.3846762774</v>
      </c>
      <c r="E7">
        <v>7</v>
      </c>
      <c r="G7">
        <f t="shared" si="2"/>
        <v>24049.85412331591</v>
      </c>
      <c r="H7">
        <f t="shared" si="3"/>
        <v>336101.66251558944</v>
      </c>
    </row>
    <row r="8" spans="1:8" ht="14.25">
      <c r="A8">
        <v>8</v>
      </c>
      <c r="C8">
        <f t="shared" si="0"/>
        <v>19913.14378793833</v>
      </c>
      <c r="D8">
        <f t="shared" si="1"/>
        <v>-292743.7718807056</v>
      </c>
      <c r="E8">
        <v>8</v>
      </c>
      <c r="G8">
        <f t="shared" si="2"/>
        <v>28002.731831532787</v>
      </c>
      <c r="H8">
        <f t="shared" si="3"/>
        <v>339504.06638526067</v>
      </c>
    </row>
    <row r="9" spans="1:8" ht="14.25">
      <c r="A9">
        <v>9</v>
      </c>
      <c r="C9">
        <f t="shared" si="0"/>
        <v>23996.4987226648</v>
      </c>
      <c r="D9">
        <f t="shared" si="1"/>
        <v>-288062.92568619264</v>
      </c>
      <c r="E9">
        <v>9</v>
      </c>
      <c r="G9">
        <f t="shared" si="2"/>
        <v>31955.60953974967</v>
      </c>
      <c r="H9">
        <f t="shared" si="3"/>
        <v>342933.7289802227</v>
      </c>
    </row>
    <row r="10" spans="1:8" ht="14.25">
      <c r="A10">
        <v>10</v>
      </c>
      <c r="C10">
        <f t="shared" si="0"/>
        <v>28079.853657391268</v>
      </c>
      <c r="D10">
        <f t="shared" si="1"/>
        <v>-283411.01163015066</v>
      </c>
      <c r="E10">
        <v>10</v>
      </c>
      <c r="G10">
        <f t="shared" si="2"/>
        <v>35908.48724796655</v>
      </c>
      <c r="H10">
        <f t="shared" si="3"/>
        <v>346390.7881071735</v>
      </c>
    </row>
    <row r="11" spans="1:8" ht="14.25">
      <c r="A11">
        <v>11</v>
      </c>
      <c r="C11">
        <f t="shared" si="0"/>
        <v>32163.20859211774</v>
      </c>
      <c r="D11">
        <f t="shared" si="1"/>
        <v>-278788.188415537</v>
      </c>
      <c r="E11">
        <v>11</v>
      </c>
      <c r="G11">
        <f t="shared" si="2"/>
        <v>39861.36495618343</v>
      </c>
      <c r="H11">
        <f t="shared" si="3"/>
        <v>349875.3752154546</v>
      </c>
    </row>
    <row r="12" spans="1:8" ht="14.25">
      <c r="A12">
        <v>12</v>
      </c>
      <c r="C12">
        <f t="shared" si="0"/>
        <v>36246.56352684421</v>
      </c>
      <c r="D12">
        <f t="shared" si="1"/>
        <v>-274194.6076999746</v>
      </c>
      <c r="E12">
        <v>12</v>
      </c>
      <c r="G12">
        <f t="shared" si="2"/>
        <v>43814.242664400306</v>
      </c>
      <c r="H12">
        <f t="shared" si="3"/>
        <v>353387.6152295456</v>
      </c>
    </row>
    <row r="13" spans="1:8" ht="14.25">
      <c r="A13">
        <v>13</v>
      </c>
      <c r="C13">
        <f t="shared" si="0"/>
        <v>40329.918461570676</v>
      </c>
      <c r="D13">
        <f t="shared" si="1"/>
        <v>-269630.4138917521</v>
      </c>
      <c r="E13">
        <v>13</v>
      </c>
      <c r="G13">
        <f t="shared" si="2"/>
        <v>47767.12037261719</v>
      </c>
      <c r="H13">
        <f t="shared" si="3"/>
        <v>356927.62638817437</v>
      </c>
    </row>
    <row r="14" spans="1:8" ht="14.25">
      <c r="A14">
        <v>14</v>
      </c>
      <c r="C14">
        <f t="shared" si="0"/>
        <v>44413.273396297154</v>
      </c>
      <c r="D14">
        <f t="shared" si="1"/>
        <v>-265095.7439533139</v>
      </c>
      <c r="E14">
        <v>14</v>
      </c>
      <c r="G14">
        <f t="shared" si="2"/>
        <v>51719.99808083407</v>
      </c>
      <c r="H14">
        <f t="shared" si="3"/>
        <v>360495.52009050833</v>
      </c>
    </row>
    <row r="15" spans="1:8" ht="14.25">
      <c r="A15">
        <v>15</v>
      </c>
      <c r="C15">
        <f t="shared" si="0"/>
        <v>48496.62833102362</v>
      </c>
      <c r="D15">
        <f t="shared" si="1"/>
        <v>-260590.72721283854</v>
      </c>
      <c r="E15">
        <v>15</v>
      </c>
      <c r="G15">
        <f t="shared" si="2"/>
        <v>55672.875789050944</v>
      </c>
      <c r="H15">
        <f t="shared" si="3"/>
        <v>364091.40074987855</v>
      </c>
    </row>
    <row r="16" spans="1:8" ht="14.25">
      <c r="A16">
        <v>16</v>
      </c>
      <c r="C16">
        <f t="shared" si="0"/>
        <v>52579.983265750096</v>
      </c>
      <c r="D16">
        <f t="shared" si="1"/>
        <v>-256115.48518448503</v>
      </c>
      <c r="E16">
        <v>16</v>
      </c>
      <c r="G16">
        <f t="shared" si="2"/>
        <v>59625.753497267826</v>
      </c>
      <c r="H16">
        <f t="shared" si="3"/>
        <v>367715.3656554723</v>
      </c>
    </row>
    <row r="17" spans="1:8" ht="14.25">
      <c r="A17">
        <v>17</v>
      </c>
      <c r="C17">
        <f t="shared" si="0"/>
        <v>56663.33820047656</v>
      </c>
      <c r="D17">
        <f t="shared" si="1"/>
        <v>-251670.13139787695</v>
      </c>
      <c r="E17">
        <v>17</v>
      </c>
      <c r="G17">
        <f t="shared" si="2"/>
        <v>63578.63120548471</v>
      </c>
      <c r="H17">
        <f t="shared" si="3"/>
        <v>371367.50484241045</v>
      </c>
    </row>
    <row r="18" spans="1:8" ht="14.25">
      <c r="A18">
        <v>18</v>
      </c>
      <c r="C18">
        <f t="shared" si="0"/>
        <v>60746.69313520304</v>
      </c>
      <c r="D18">
        <f t="shared" si="1"/>
        <v>-247254.77123736095</v>
      </c>
      <c r="E18">
        <v>18</v>
      </c>
      <c r="G18">
        <f t="shared" si="2"/>
        <v>67531.50891370159</v>
      </c>
      <c r="H18">
        <f t="shared" si="3"/>
        <v>375047.900970607</v>
      </c>
    </row>
    <row r="19" spans="1:8" ht="14.25">
      <c r="A19">
        <v>19</v>
      </c>
      <c r="C19">
        <f t="shared" si="0"/>
        <v>64830.0480699295</v>
      </c>
      <c r="D19">
        <f t="shared" si="1"/>
        <v>-242869.5017915631</v>
      </c>
      <c r="E19">
        <v>19</v>
      </c>
      <c r="G19">
        <f t="shared" si="2"/>
        <v>71484.38662191847</v>
      </c>
      <c r="H19">
        <f t="shared" si="3"/>
        <v>378756.62921278394</v>
      </c>
    </row>
    <row r="20" spans="1:8" ht="14.25">
      <c r="A20">
        <v>20</v>
      </c>
      <c r="C20">
        <f t="shared" si="0"/>
        <v>68913.40300465598</v>
      </c>
      <c r="D20">
        <f t="shared" si="1"/>
        <v>-238514.411713731</v>
      </c>
      <c r="E20">
        <v>20</v>
      </c>
      <c r="G20">
        <f t="shared" si="2"/>
        <v>75437.26433013535</v>
      </c>
      <c r="H20">
        <f t="shared" si="3"/>
        <v>382493.75715198944</v>
      </c>
    </row>
    <row r="21" spans="1:8" ht="14.25">
      <c r="A21">
        <v>21</v>
      </c>
      <c r="C21">
        <f t="shared" si="0"/>
        <v>72996.75793938244</v>
      </c>
      <c r="D21">
        <f t="shared" si="1"/>
        <v>-234189.58109332412</v>
      </c>
      <c r="E21">
        <v>21</v>
      </c>
      <c r="G21">
        <f t="shared" si="2"/>
        <v>79390.14203835223</v>
      </c>
      <c r="H21">
        <f t="shared" si="3"/>
        <v>386259.344688943</v>
      </c>
    </row>
    <row r="22" spans="1:8" ht="14.25">
      <c r="A22">
        <v>22</v>
      </c>
      <c r="C22">
        <f t="shared" si="0"/>
        <v>77080.11287410892</v>
      </c>
      <c r="D22">
        <f t="shared" si="1"/>
        <v>-229895.08133927916</v>
      </c>
      <c r="E22">
        <v>22</v>
      </c>
      <c r="G22">
        <f t="shared" si="2"/>
        <v>83343.0197465691</v>
      </c>
      <c r="H22">
        <f t="shared" si="3"/>
        <v>390053.44395949953</v>
      </c>
    </row>
    <row r="23" spans="1:8" ht="14.25">
      <c r="A23">
        <v>23</v>
      </c>
      <c r="C23">
        <f t="shared" si="0"/>
        <v>81163.46780883538</v>
      </c>
      <c r="D23">
        <f t="shared" si="1"/>
        <v>-225630.97507534415</v>
      </c>
      <c r="E23">
        <v>23</v>
      </c>
      <c r="G23">
        <f t="shared" si="2"/>
        <v>87295.89745478598</v>
      </c>
      <c r="H23">
        <f t="shared" si="3"/>
        <v>393876.0992624965</v>
      </c>
    </row>
    <row r="24" spans="1:8" ht="14.25">
      <c r="A24">
        <v>24</v>
      </c>
      <c r="C24">
        <f t="shared" si="0"/>
        <v>85246.82274356186</v>
      </c>
      <c r="D24">
        <f t="shared" si="1"/>
        <v>-221397.31604783458</v>
      </c>
      <c r="E24">
        <v>24</v>
      </c>
      <c r="G24">
        <f t="shared" si="2"/>
        <v>91248.77516300287</v>
      </c>
      <c r="H24">
        <f t="shared" si="3"/>
        <v>397727.34699821554</v>
      </c>
    </row>
    <row r="25" spans="1:8" ht="14.25">
      <c r="A25">
        <v>25</v>
      </c>
      <c r="C25">
        <f t="shared" si="0"/>
        <v>89330.17767828832</v>
      </c>
      <c r="D25">
        <f t="shared" si="1"/>
        <v>-217194.14904612798</v>
      </c>
      <c r="E25">
        <v>25</v>
      </c>
      <c r="G25">
        <f t="shared" si="2"/>
        <v>95201.65287121975</v>
      </c>
      <c r="H25">
        <f t="shared" si="3"/>
        <v>401607.2156176573</v>
      </c>
    </row>
    <row r="26" spans="1:8" ht="14.25">
      <c r="A26">
        <v>26</v>
      </c>
      <c r="C26">
        <f t="shared" si="0"/>
        <v>93413.5326130148</v>
      </c>
      <c r="D26">
        <f t="shared" si="1"/>
        <v>-213021.5098361681</v>
      </c>
      <c r="E26">
        <v>26</v>
      </c>
      <c r="G26">
        <f t="shared" si="2"/>
        <v>99154.53057943663</v>
      </c>
      <c r="H26">
        <f t="shared" si="3"/>
        <v>405515.7255827937</v>
      </c>
    </row>
    <row r="27" spans="1:8" ht="14.25">
      <c r="A27">
        <v>27</v>
      </c>
      <c r="C27">
        <f t="shared" si="0"/>
        <v>97496.88754774127</v>
      </c>
      <c r="D27">
        <f t="shared" si="1"/>
        <v>-208879.42510721038</v>
      </c>
      <c r="E27">
        <v>27</v>
      </c>
      <c r="G27">
        <f t="shared" si="2"/>
        <v>103107.40828765351</v>
      </c>
      <c r="H27">
        <f t="shared" si="3"/>
        <v>409452.8893379266</v>
      </c>
    </row>
    <row r="28" spans="1:8" ht="14.25">
      <c r="A28">
        <v>28</v>
      </c>
      <c r="C28">
        <f t="shared" si="0"/>
        <v>101580.24248246774</v>
      </c>
      <c r="D28">
        <f t="shared" si="1"/>
        <v>-204767.91243199096</v>
      </c>
      <c r="E28">
        <v>28</v>
      </c>
      <c r="G28">
        <f t="shared" si="2"/>
        <v>107060.28599587039</v>
      </c>
      <c r="H28">
        <f t="shared" si="3"/>
        <v>413418.7112922474</v>
      </c>
    </row>
    <row r="29" spans="1:8" ht="14.25">
      <c r="A29">
        <v>29</v>
      </c>
      <c r="C29">
        <f t="shared" si="0"/>
        <v>105663.5974171942</v>
      </c>
      <c r="D29">
        <f t="shared" si="1"/>
        <v>-200686.98024045938</v>
      </c>
      <c r="E29">
        <v>29</v>
      </c>
      <c r="G29">
        <f t="shared" si="2"/>
        <v>111013.16370408726</v>
      </c>
      <c r="H29">
        <f t="shared" si="3"/>
        <v>417413.18781365344</v>
      </c>
    </row>
    <row r="30" spans="1:8" ht="14.25">
      <c r="A30">
        <v>30</v>
      </c>
      <c r="C30">
        <f t="shared" si="0"/>
        <v>109746.95235192069</v>
      </c>
      <c r="D30">
        <f t="shared" si="1"/>
        <v>-196636.6278071657</v>
      </c>
      <c r="E30">
        <v>30</v>
      </c>
      <c r="G30">
        <f t="shared" si="2"/>
        <v>114966.04141230414</v>
      </c>
      <c r="H30">
        <f t="shared" si="3"/>
        <v>421436.30723384203</v>
      </c>
    </row>
    <row r="31" spans="1:8" ht="14.25">
      <c r="A31">
        <v>31</v>
      </c>
      <c r="C31">
        <f t="shared" si="0"/>
        <v>113830.30728664715</v>
      </c>
      <c r="D31">
        <f t="shared" si="1"/>
        <v>-192616.8452523459</v>
      </c>
      <c r="E31">
        <v>31</v>
      </c>
      <c r="G31">
        <f t="shared" si="2"/>
        <v>118918.91912052102</v>
      </c>
      <c r="H31">
        <f t="shared" si="3"/>
        <v>425488.04986466444</v>
      </c>
    </row>
    <row r="32" spans="1:8" ht="14.25">
      <c r="A32">
        <v>32</v>
      </c>
      <c r="C32">
        <f t="shared" si="0"/>
        <v>117913.66222137363</v>
      </c>
      <c r="D32">
        <f t="shared" si="1"/>
        <v>-188627.61355670297</v>
      </c>
      <c r="E32">
        <v>32</v>
      </c>
      <c r="G32">
        <f t="shared" si="2"/>
        <v>122871.7968287379</v>
      </c>
      <c r="H32">
        <f t="shared" si="3"/>
        <v>429568.38802568906</v>
      </c>
    </row>
    <row r="33" spans="1:8" ht="14.25">
      <c r="A33">
        <v>33</v>
      </c>
      <c r="C33">
        <f aca="true" t="shared" si="4" ref="C33:C64">-8670.34075514696+(A33-1)*4083.35493472647</f>
        <v>121997.01715610009</v>
      </c>
      <c r="D33">
        <f aca="true" t="shared" si="5" ref="D33:D64">0+1*C33-298962.5446483*(1.05+(C33-103298.428082031)^2/159070517175.939)^0.5</f>
        <v>-184668.90458983032</v>
      </c>
      <c r="E33">
        <v>33</v>
      </c>
      <c r="G33">
        <f aca="true" t="shared" si="6" ref="G33:G64">332.587874014628+(E33-1)*3952.87770821688</f>
        <v>126824.67453695479</v>
      </c>
      <c r="H33">
        <f aca="true" t="shared" si="7" ref="H33:H64">0+1*G33+298962.5446483*(1.05+(G33-103298.428082031)^2/159070517175.939)^0.5</f>
        <v>433677.2860828796</v>
      </c>
    </row>
    <row r="34" spans="1:8" ht="14.25">
      <c r="A34">
        <v>34</v>
      </c>
      <c r="C34">
        <f t="shared" si="4"/>
        <v>126080.37209082657</v>
      </c>
      <c r="D34">
        <f t="shared" si="5"/>
        <v>-180740.68115217978</v>
      </c>
      <c r="E34">
        <v>34</v>
      </c>
      <c r="G34">
        <f t="shared" si="6"/>
        <v>130777.55224517167</v>
      </c>
      <c r="H34">
        <f t="shared" si="7"/>
        <v>437814.7004982666</v>
      </c>
    </row>
    <row r="35" spans="1:8" ht="14.25">
      <c r="A35">
        <v>35</v>
      </c>
      <c r="C35">
        <f t="shared" si="4"/>
        <v>130163.72702555303</v>
      </c>
      <c r="D35">
        <f t="shared" si="5"/>
        <v>-176842.89703042837</v>
      </c>
      <c r="E35">
        <v>35</v>
      </c>
      <c r="G35">
        <f t="shared" si="6"/>
        <v>134730.42995338855</v>
      </c>
      <c r="H35">
        <f t="shared" si="7"/>
        <v>441980.57989044907</v>
      </c>
    </row>
    <row r="36" spans="1:8" ht="14.25">
      <c r="A36">
        <v>36</v>
      </c>
      <c r="C36">
        <f t="shared" si="4"/>
        <v>134247.0819602795</v>
      </c>
      <c r="D36">
        <f t="shared" si="5"/>
        <v>-172975.49706605123</v>
      </c>
      <c r="E36">
        <v>36</v>
      </c>
      <c r="G36">
        <f t="shared" si="6"/>
        <v>138683.30766160542</v>
      </c>
      <c r="H36">
        <f t="shared" si="7"/>
        <v>446174.8651057305</v>
      </c>
    </row>
    <row r="37" spans="1:8" ht="14.25">
      <c r="A37">
        <v>37</v>
      </c>
      <c r="C37">
        <f t="shared" si="4"/>
        <v>138330.43689500596</v>
      </c>
      <c r="D37">
        <f t="shared" si="5"/>
        <v>-169138.41723686495</v>
      </c>
      <c r="E37">
        <v>37</v>
      </c>
      <c r="G37">
        <f t="shared" si="6"/>
        <v>142636.1853698223</v>
      </c>
      <c r="H37">
        <f t="shared" si="7"/>
        <v>450397.4892996626</v>
      </c>
    </row>
    <row r="38" spans="1:8" ht="14.25">
      <c r="A38">
        <v>38</v>
      </c>
      <c r="C38">
        <f t="shared" si="4"/>
        <v>142413.79182973245</v>
      </c>
      <c r="D38">
        <f t="shared" si="5"/>
        <v>-165331.58475126143</v>
      </c>
      <c r="E38">
        <v>38</v>
      </c>
      <c r="G38">
        <f t="shared" si="6"/>
        <v>146589.06307803918</v>
      </c>
      <c r="H38">
        <f t="shared" si="7"/>
        <v>454648.3780287347</v>
      </c>
    </row>
    <row r="39" spans="1:8" ht="14.25">
      <c r="A39">
        <v>39</v>
      </c>
      <c r="C39">
        <f t="shared" si="4"/>
        <v>146497.1467644589</v>
      </c>
      <c r="D39">
        <f t="shared" si="5"/>
        <v>-161554.91815481114</v>
      </c>
      <c r="E39">
        <v>39</v>
      </c>
      <c r="G39">
        <f t="shared" si="6"/>
        <v>150541.94078625608</v>
      </c>
      <c r="H39">
        <f t="shared" si="7"/>
        <v>458927.44935191877</v>
      </c>
    </row>
    <row r="40" spans="1:8" ht="14.25">
      <c r="A40">
        <v>40</v>
      </c>
      <c r="C40">
        <f t="shared" si="4"/>
        <v>150580.50169918538</v>
      </c>
      <c r="D40">
        <f t="shared" si="5"/>
        <v>-157808.32744887387</v>
      </c>
      <c r="E40">
        <v>40</v>
      </c>
      <c r="G40">
        <f t="shared" si="6"/>
        <v>154494.81849447294</v>
      </c>
      <c r="H40">
        <f t="shared" si="7"/>
        <v>463234.6139417515</v>
      </c>
    </row>
    <row r="41" spans="1:8" ht="14.25">
      <c r="A41">
        <v>41</v>
      </c>
      <c r="C41">
        <f t="shared" si="4"/>
        <v>154663.85663391184</v>
      </c>
      <c r="D41">
        <f t="shared" si="5"/>
        <v>-154091.71422082104</v>
      </c>
      <c r="E41">
        <v>41</v>
      </c>
      <c r="G41">
        <f t="shared" si="6"/>
        <v>158447.69620268984</v>
      </c>
      <c r="H41">
        <f t="shared" si="7"/>
        <v>467569.7752046057</v>
      </c>
    </row>
    <row r="42" spans="1:8" ht="14.25">
      <c r="A42">
        <v>42</v>
      </c>
      <c r="C42">
        <f t="shared" si="4"/>
        <v>158747.21156863833</v>
      </c>
      <c r="D42">
        <f t="shared" si="5"/>
        <v>-150404.97178543318</v>
      </c>
      <c r="E42">
        <v>42</v>
      </c>
      <c r="G42">
        <f t="shared" si="6"/>
        <v>162400.5739109067</v>
      </c>
      <c r="H42">
        <f t="shared" si="7"/>
        <v>471932.829409781</v>
      </c>
    </row>
    <row r="43" spans="1:8" ht="14.25">
      <c r="A43">
        <v>43</v>
      </c>
      <c r="C43">
        <f t="shared" si="4"/>
        <v>162830.5665033648</v>
      </c>
      <c r="D43">
        <f t="shared" si="5"/>
        <v>-146747.98533700933</v>
      </c>
      <c r="E43">
        <v>43</v>
      </c>
      <c r="G43">
        <f t="shared" si="6"/>
        <v>166353.45161912357</v>
      </c>
      <c r="H43">
        <f t="shared" si="7"/>
        <v>476323.66582701885</v>
      </c>
    </row>
    <row r="44" spans="1:8" ht="14.25">
      <c r="A44">
        <v>44</v>
      </c>
      <c r="C44">
        <f t="shared" si="4"/>
        <v>166913.92143809126</v>
      </c>
      <c r="D44">
        <f t="shared" si="5"/>
        <v>-143120.63211169193</v>
      </c>
      <c r="E44">
        <v>44</v>
      </c>
      <c r="G44">
        <f t="shared" si="6"/>
        <v>170306.32932734047</v>
      </c>
      <c r="H44">
        <f t="shared" si="7"/>
        <v>480742.1668720269</v>
      </c>
    </row>
    <row r="45" spans="1:8" ht="14.25">
      <c r="A45">
        <v>45</v>
      </c>
      <c r="C45">
        <f t="shared" si="4"/>
        <v>170997.27637281772</v>
      </c>
      <c r="D45">
        <f t="shared" si="5"/>
        <v>-139522.78155948376</v>
      </c>
      <c r="E45">
        <v>45</v>
      </c>
      <c r="G45">
        <f t="shared" si="6"/>
        <v>174259.20703555734</v>
      </c>
      <c r="H45">
        <f t="shared" si="7"/>
        <v>485188.20825957914</v>
      </c>
    </row>
    <row r="46" spans="1:8" ht="14.25">
      <c r="A46">
        <v>46</v>
      </c>
      <c r="C46">
        <f t="shared" si="4"/>
        <v>175080.63130754422</v>
      </c>
      <c r="D46">
        <f t="shared" si="5"/>
        <v>-135954.2955254125</v>
      </c>
      <c r="E46">
        <v>46</v>
      </c>
      <c r="G46">
        <f t="shared" si="6"/>
        <v>178212.08474377423</v>
      </c>
      <c r="H46">
        <f t="shared" si="7"/>
        <v>489661.65916374174</v>
      </c>
    </row>
    <row r="47" spans="1:8" ht="14.25">
      <c r="A47">
        <v>47</v>
      </c>
      <c r="C47">
        <f t="shared" si="4"/>
        <v>179163.98624227068</v>
      </c>
      <c r="D47">
        <f t="shared" si="5"/>
        <v>-132415.02843927353</v>
      </c>
      <c r="E47">
        <v>47</v>
      </c>
      <c r="G47">
        <f t="shared" si="6"/>
        <v>182164.9624519911</v>
      </c>
      <c r="H47">
        <f t="shared" si="7"/>
        <v>494162.38238475984</v>
      </c>
    </row>
    <row r="48" spans="1:8" ht="14.25">
      <c r="A48">
        <v>48</v>
      </c>
      <c r="C48">
        <f t="shared" si="4"/>
        <v>183247.34117699714</v>
      </c>
      <c r="D48">
        <f t="shared" si="5"/>
        <v>-128904.82751336685</v>
      </c>
      <c r="E48">
        <v>48</v>
      </c>
      <c r="G48">
        <f t="shared" si="6"/>
        <v>186117.840160208</v>
      </c>
      <c r="H48">
        <f t="shared" si="7"/>
        <v>498690.2345221291</v>
      </c>
    </row>
    <row r="49" spans="1:8" ht="14.25">
      <c r="A49">
        <v>49</v>
      </c>
      <c r="C49">
        <f t="shared" si="4"/>
        <v>187330.6961117236</v>
      </c>
      <c r="D49">
        <f t="shared" si="5"/>
        <v>-125423.53294762806</v>
      </c>
      <c r="E49">
        <v>49</v>
      </c>
      <c r="G49">
        <f t="shared" si="6"/>
        <v>190070.71786842486</v>
      </c>
      <c r="H49">
        <f t="shared" si="7"/>
        <v>503245.06615336763</v>
      </c>
    </row>
    <row r="50" spans="1:8" ht="14.25">
      <c r="A50">
        <v>50</v>
      </c>
      <c r="C50">
        <f t="shared" si="4"/>
        <v>191414.05104645007</v>
      </c>
      <c r="D50">
        <f t="shared" si="5"/>
        <v>-121970.9781415404</v>
      </c>
      <c r="E50">
        <v>50</v>
      </c>
      <c r="G50">
        <f t="shared" si="6"/>
        <v>194023.59557664173</v>
      </c>
      <c r="H50">
        <f t="shared" si="7"/>
        <v>507826.72201799386</v>
      </c>
    </row>
    <row r="51" spans="1:8" ht="14.25">
      <c r="A51">
        <v>51</v>
      </c>
      <c r="C51">
        <f t="shared" si="4"/>
        <v>195497.40598117656</v>
      </c>
      <c r="D51">
        <f t="shared" si="5"/>
        <v>-118546.98991221024</v>
      </c>
      <c r="E51">
        <v>51</v>
      </c>
      <c r="G51">
        <f t="shared" si="6"/>
        <v>197976.47328485863</v>
      </c>
      <c r="H51">
        <f t="shared" si="7"/>
        <v>512435.04120621487</v>
      </c>
    </row>
    <row r="52" spans="1:8" ht="14.25">
      <c r="A52">
        <v>52</v>
      </c>
      <c r="C52">
        <f t="shared" si="4"/>
        <v>199580.76091590303</v>
      </c>
      <c r="D52">
        <f t="shared" si="5"/>
        <v>-115151.38871797727</v>
      </c>
      <c r="E52">
        <v>52</v>
      </c>
      <c r="G52">
        <f t="shared" si="6"/>
        <v>201929.3509930755</v>
      </c>
      <c r="H52">
        <f t="shared" si="7"/>
        <v>517069.85735182266</v>
      </c>
    </row>
    <row r="53" spans="1:8" ht="14.25">
      <c r="A53">
        <v>53</v>
      </c>
      <c r="C53">
        <f t="shared" si="4"/>
        <v>203664.1158506295</v>
      </c>
      <c r="D53">
        <f t="shared" si="5"/>
        <v>-111783.98888693351</v>
      </c>
      <c r="E53">
        <v>53</v>
      </c>
      <c r="G53">
        <f t="shared" si="6"/>
        <v>205882.2287012924</v>
      </c>
      <c r="H53">
        <f t="shared" si="7"/>
        <v>521730.9988288003</v>
      </c>
    </row>
    <row r="54" spans="1:8" ht="14.25">
      <c r="A54">
        <v>54</v>
      </c>
      <c r="C54">
        <f t="shared" si="4"/>
        <v>207747.47078535595</v>
      </c>
      <c r="D54">
        <f t="shared" si="5"/>
        <v>-108444.59884972236</v>
      </c>
      <c r="E54">
        <v>54</v>
      </c>
      <c r="G54">
        <f t="shared" si="6"/>
        <v>209835.10640950926</v>
      </c>
      <c r="H54">
        <f t="shared" si="7"/>
        <v>526418.2889511366</v>
      </c>
    </row>
    <row r="55" spans="1:8" ht="14.25">
      <c r="A55">
        <v>55</v>
      </c>
      <c r="C55">
        <f t="shared" si="4"/>
        <v>211830.82572008244</v>
      </c>
      <c r="D55">
        <f t="shared" si="5"/>
        <v>-105133.02137599286</v>
      </c>
      <c r="E55">
        <v>55</v>
      </c>
      <c r="G55">
        <f t="shared" si="6"/>
        <v>213787.98411772616</v>
      </c>
      <c r="H55">
        <f t="shared" si="7"/>
        <v>531131.5461753577</v>
      </c>
    </row>
    <row r="56" spans="1:8" ht="14.25">
      <c r="A56">
        <v>56</v>
      </c>
      <c r="C56">
        <f t="shared" si="4"/>
        <v>215914.1806548089</v>
      </c>
      <c r="D56">
        <f t="shared" si="5"/>
        <v>-101849.05381389198</v>
      </c>
      <c r="E56">
        <v>56</v>
      </c>
      <c r="G56">
        <f t="shared" si="6"/>
        <v>217740.86182594302</v>
      </c>
      <c r="H56">
        <f t="shared" si="7"/>
        <v>535870.5843052812</v>
      </c>
    </row>
    <row r="57" spans="1:8" ht="14.25">
      <c r="A57">
        <v>57</v>
      </c>
      <c r="C57">
        <f t="shared" si="4"/>
        <v>219997.53558953537</v>
      </c>
      <c r="D57">
        <f t="shared" si="5"/>
        <v>-98592.48833198246</v>
      </c>
      <c r="E57">
        <v>57</v>
      </c>
      <c r="G57">
        <f t="shared" si="6"/>
        <v>221693.7395341599</v>
      </c>
      <c r="H57">
        <f t="shared" si="7"/>
        <v>540635.2126985162</v>
      </c>
    </row>
    <row r="58" spans="1:8" ht="14.25">
      <c r="A58">
        <v>58</v>
      </c>
      <c r="C58">
        <f t="shared" si="4"/>
        <v>224080.89052426183</v>
      </c>
      <c r="D58">
        <f t="shared" si="5"/>
        <v>-95363.11216298907</v>
      </c>
      <c r="E58">
        <v>58</v>
      </c>
      <c r="G58">
        <f t="shared" si="6"/>
        <v>225646.6172423768</v>
      </c>
      <c r="H58">
        <f t="shared" si="7"/>
        <v>545425.2364742345</v>
      </c>
    </row>
    <row r="59" spans="1:8" ht="14.25">
      <c r="A59">
        <v>59</v>
      </c>
      <c r="C59">
        <f t="shared" si="4"/>
        <v>228164.24545898833</v>
      </c>
      <c r="D59">
        <f t="shared" si="5"/>
        <v>-92160.707848786</v>
      </c>
      <c r="E59">
        <v>59</v>
      </c>
      <c r="G59">
        <f t="shared" si="6"/>
        <v>229599.49495059365</v>
      </c>
      <c r="H59">
        <f t="shared" si="7"/>
        <v>550240.4567217487</v>
      </c>
    </row>
    <row r="60" spans="1:8" ht="14.25">
      <c r="A60">
        <v>60</v>
      </c>
      <c r="C60">
        <f t="shared" si="4"/>
        <v>232247.6003937148</v>
      </c>
      <c r="D60">
        <f t="shared" si="5"/>
        <v>-88985.05348605436</v>
      </c>
      <c r="E60">
        <v>60</v>
      </c>
      <c r="G60">
        <f t="shared" si="6"/>
        <v>233552.37265881055</v>
      </c>
      <c r="H60">
        <f t="shared" si="7"/>
        <v>555080.6707094543</v>
      </c>
    </row>
    <row r="61" spans="1:8" ht="14.25">
      <c r="A61">
        <v>61</v>
      </c>
      <c r="C61">
        <f t="shared" si="4"/>
        <v>236330.95532844125</v>
      </c>
      <c r="D61">
        <f t="shared" si="5"/>
        <v>-85835.92297205646</v>
      </c>
      <c r="E61">
        <v>61</v>
      </c>
      <c r="G61">
        <f t="shared" si="6"/>
        <v>237505.25036702742</v>
      </c>
      <c r="H61">
        <f t="shared" si="7"/>
        <v>559945.6720936935</v>
      </c>
    </row>
    <row r="62" spans="1:8" ht="14.25">
      <c r="A62">
        <v>62</v>
      </c>
      <c r="C62">
        <f t="shared" si="4"/>
        <v>240414.31026316772</v>
      </c>
      <c r="D62">
        <f t="shared" si="5"/>
        <v>-82713.08624999109</v>
      </c>
      <c r="E62">
        <v>62</v>
      </c>
      <c r="G62">
        <f t="shared" si="6"/>
        <v>241458.1280752443</v>
      </c>
      <c r="H62">
        <f t="shared" si="7"/>
        <v>564835.2511271252</v>
      </c>
    </row>
    <row r="63" spans="1:8" ht="14.25">
      <c r="A63">
        <v>63</v>
      </c>
      <c r="C63">
        <f t="shared" si="4"/>
        <v>244497.6651978942</v>
      </c>
      <c r="D63">
        <f t="shared" si="5"/>
        <v>-79616.30955341604</v>
      </c>
      <c r="E63">
        <v>63</v>
      </c>
      <c r="G63">
        <f t="shared" si="6"/>
        <v>245411.00578346118</v>
      </c>
      <c r="H63">
        <f t="shared" si="7"/>
        <v>569749.1948661943</v>
      </c>
    </row>
    <row r="64" spans="1:8" ht="14.25">
      <c r="A64">
        <v>64</v>
      </c>
      <c r="C64">
        <f t="shared" si="4"/>
        <v>248581.02013262067</v>
      </c>
      <c r="D64">
        <f t="shared" si="5"/>
        <v>-76545.35564924384</v>
      </c>
      <c r="E64">
        <v>64</v>
      </c>
      <c r="G64">
        <f t="shared" si="6"/>
        <v>249363.88349167808</v>
      </c>
      <c r="H64">
        <f t="shared" si="7"/>
        <v>574687.2873773138</v>
      </c>
    </row>
    <row r="65" spans="1:8" ht="14.25">
      <c r="A65">
        <v>65</v>
      </c>
      <c r="C65">
        <f aca="true" t="shared" si="8" ref="C65:C70">-8670.34075514696+(A65-1)*4083.35493472647</f>
        <v>252664.37506734714</v>
      </c>
      <c r="D65">
        <f aca="true" t="shared" si="9" ref="D65:D70">0+1*C65-298962.5446483*(1.05+(C65-103298.428082031)^2/159070517175.939)^0.5</f>
        <v>-73499.98407884117</v>
      </c>
      <c r="E65">
        <v>65</v>
      </c>
      <c r="G65">
        <f aca="true" t="shared" si="10" ref="G65:G70">332.587874014628+(E65-1)*3952.87770821688</f>
        <v>253316.76119989494</v>
      </c>
      <c r="H65">
        <f aca="true" t="shared" si="11" ref="H65:H70">0+1*G65+298962.5446483*(1.05+(G65-103298.428082031)^2/159070517175.939)^0.5</f>
        <v>579649.3099413905</v>
      </c>
    </row>
    <row r="66" spans="1:8" ht="14.25">
      <c r="A66">
        <v>66</v>
      </c>
      <c r="C66">
        <f t="shared" si="8"/>
        <v>256747.7300020736</v>
      </c>
      <c r="D66">
        <f t="shared" si="9"/>
        <v>-70479.951396786</v>
      </c>
      <c r="E66">
        <v>66</v>
      </c>
      <c r="G66">
        <f t="shared" si="10"/>
        <v>257269.6389081118</v>
      </c>
      <c r="H66">
        <f t="shared" si="11"/>
        <v>584635.0412563427</v>
      </c>
    </row>
    <row r="67" spans="1:8" ht="14.25">
      <c r="A67">
        <v>67</v>
      </c>
      <c r="C67">
        <f t="shared" si="8"/>
        <v>260831.0849368001</v>
      </c>
      <c r="D67">
        <f t="shared" si="9"/>
        <v>-67485.01140686052</v>
      </c>
      <c r="E67">
        <v>67</v>
      </c>
      <c r="G67">
        <f t="shared" si="10"/>
        <v>261222.5166163287</v>
      </c>
      <c r="H67">
        <f t="shared" si="11"/>
        <v>589644.2576372786</v>
      </c>
    </row>
    <row r="68" spans="1:8" ht="14.25">
      <c r="A68">
        <v>68</v>
      </c>
      <c r="C68">
        <f t="shared" si="8"/>
        <v>264914.4398715265</v>
      </c>
      <c r="D68">
        <f t="shared" si="9"/>
        <v>-64514.91539488325</v>
      </c>
      <c r="E68">
        <v>68</v>
      </c>
      <c r="G68">
        <f t="shared" si="10"/>
        <v>265175.3943245456</v>
      </c>
      <c r="H68">
        <f t="shared" si="11"/>
        <v>594676.7332140242</v>
      </c>
    </row>
    <row r="69" spans="1:8" ht="14.25">
      <c r="A69">
        <v>69</v>
      </c>
      <c r="C69">
        <f t="shared" si="8"/>
        <v>268997.794806253</v>
      </c>
      <c r="D69">
        <f t="shared" si="9"/>
        <v>-61569.412358010886</v>
      </c>
      <c r="E69">
        <v>69</v>
      </c>
      <c r="G69">
        <f t="shared" si="10"/>
        <v>269128.27203276247</v>
      </c>
      <c r="H69">
        <f t="shared" si="11"/>
        <v>599732.240125707</v>
      </c>
    </row>
    <row r="70" spans="1:8" ht="14.25">
      <c r="A70">
        <v>70</v>
      </c>
      <c r="C70">
        <f t="shared" si="8"/>
        <v>273081.1497409795</v>
      </c>
      <c r="D70">
        <f t="shared" si="9"/>
        <v>-58648.2492301648</v>
      </c>
      <c r="E70">
        <v>70</v>
      </c>
      <c r="G70">
        <f t="shared" si="10"/>
        <v>273081.14974097937</v>
      </c>
      <c r="H70">
        <f t="shared" si="11"/>
        <v>604810.5487121237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Deanna Rose (dlgr1n20)</dc:creator>
  <cp:keywords/>
  <dc:description/>
  <cp:lastModifiedBy>ROSE</cp:lastModifiedBy>
  <dcterms:created xsi:type="dcterms:W3CDTF">2021-08-16T14:48:57Z</dcterms:created>
  <dcterms:modified xsi:type="dcterms:W3CDTF">2022-03-16T18:15:13Z</dcterms:modified>
  <cp:category/>
  <cp:version/>
  <cp:contentType/>
  <cp:contentStatus/>
</cp:coreProperties>
</file>