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X:\GEOCHEM\GAUResearch\Pawel Gaca\Andy Cundy - miroplastics\"/>
    </mc:Choice>
  </mc:AlternateContent>
  <bookViews>
    <workbookView xWindow="-37800" yWindow="0" windowWidth="34605" windowHeight="20055" activeTab="1"/>
  </bookViews>
  <sheets>
    <sheet name="Validation" sheetId="2" r:id="rId1"/>
    <sheet name="Calculations" sheetId="1" r:id="rId2"/>
    <sheet name="LOD calculation" sheetId="3" r:id="rId3"/>
  </sheets>
  <definedNames>
    <definedName name="_xlnm.Print_Area" localSheetId="1">Calculations!$A$1:$V$55</definedName>
    <definedName name="_xlnm.Print_Area" localSheetId="2">'LOD calculation'!$A$1:$J$82</definedName>
  </definedNames>
  <calcPr calcId="162913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8" i="1" l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10" i="1"/>
  <c r="E9" i="1"/>
  <c r="E64" i="3" l="1"/>
  <c r="E65" i="3"/>
  <c r="E66" i="3"/>
  <c r="E67" i="3"/>
  <c r="E63" i="3"/>
  <c r="J39" i="3"/>
  <c r="J40" i="3"/>
  <c r="J41" i="3"/>
  <c r="J42" i="3"/>
  <c r="J38" i="3"/>
  <c r="E39" i="3"/>
  <c r="E40" i="3"/>
  <c r="E41" i="3"/>
  <c r="E42" i="3"/>
  <c r="E38" i="3"/>
  <c r="E14" i="3"/>
  <c r="E15" i="3"/>
  <c r="E16" i="3"/>
  <c r="E17" i="3"/>
  <c r="J14" i="3"/>
  <c r="J15" i="3"/>
  <c r="J16" i="3"/>
  <c r="J17" i="3"/>
  <c r="J13" i="3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D3" i="3"/>
  <c r="A3" i="3"/>
  <c r="A1" i="3"/>
  <c r="D3" i="1"/>
  <c r="A3" i="1"/>
  <c r="A1" i="1"/>
  <c r="N34" i="1"/>
  <c r="K34" i="1"/>
  <c r="H34" i="1"/>
  <c r="E34" i="1"/>
  <c r="B34" i="1"/>
  <c r="R10" i="1"/>
  <c r="U10" i="1"/>
  <c r="R11" i="1"/>
  <c r="U11" i="1"/>
  <c r="R12" i="1"/>
  <c r="U12" i="1"/>
  <c r="R13" i="1"/>
  <c r="U13" i="1"/>
  <c r="R14" i="1"/>
  <c r="U14" i="1"/>
  <c r="R15" i="1"/>
  <c r="U15" i="1"/>
  <c r="R16" i="1"/>
  <c r="U16" i="1"/>
  <c r="R17" i="1"/>
  <c r="U17" i="1"/>
  <c r="R18" i="1"/>
  <c r="U18" i="1"/>
  <c r="R19" i="1"/>
  <c r="U19" i="1"/>
  <c r="R20" i="1"/>
  <c r="U20" i="1"/>
  <c r="R21" i="1"/>
  <c r="U21" i="1"/>
  <c r="R22" i="1"/>
  <c r="U22" i="1"/>
  <c r="R23" i="1"/>
  <c r="U23" i="1"/>
  <c r="R24" i="1"/>
  <c r="U24" i="1"/>
  <c r="R25" i="1"/>
  <c r="U25" i="1"/>
  <c r="R26" i="1"/>
  <c r="U26" i="1"/>
  <c r="R27" i="1"/>
  <c r="U27" i="1"/>
  <c r="R28" i="1"/>
  <c r="U28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F28" i="1"/>
  <c r="K55" i="1" s="1"/>
  <c r="F10" i="1"/>
  <c r="F11" i="1"/>
  <c r="H38" i="1" s="1"/>
  <c r="F12" i="1"/>
  <c r="F13" i="1"/>
  <c r="N40" i="1" s="1"/>
  <c r="F14" i="1"/>
  <c r="K41" i="1" s="1"/>
  <c r="F15" i="1"/>
  <c r="H42" i="1" s="1"/>
  <c r="F16" i="1"/>
  <c r="F17" i="1"/>
  <c r="F18" i="1"/>
  <c r="E45" i="1" s="1"/>
  <c r="F19" i="1"/>
  <c r="K46" i="1" s="1"/>
  <c r="F20" i="1"/>
  <c r="H47" i="1" s="1"/>
  <c r="F21" i="1"/>
  <c r="F22" i="1"/>
  <c r="N49" i="1" s="1"/>
  <c r="F23" i="1"/>
  <c r="H50" i="1" s="1"/>
  <c r="F24" i="1"/>
  <c r="F25" i="1"/>
  <c r="F26" i="1"/>
  <c r="N53" i="1" s="1"/>
  <c r="F27" i="1"/>
  <c r="N54" i="1" s="1"/>
  <c r="C67" i="3"/>
  <c r="H42" i="3"/>
  <c r="C42" i="3"/>
  <c r="H17" i="3"/>
  <c r="C17" i="3"/>
  <c r="C66" i="3"/>
  <c r="H41" i="3"/>
  <c r="C41" i="3"/>
  <c r="H16" i="3"/>
  <c r="C16" i="3"/>
  <c r="C65" i="3"/>
  <c r="H40" i="3"/>
  <c r="C40" i="3"/>
  <c r="H15" i="3"/>
  <c r="C15" i="3"/>
  <c r="C64" i="3"/>
  <c r="H39" i="3"/>
  <c r="C39" i="3"/>
  <c r="H14" i="3"/>
  <c r="C14" i="3"/>
  <c r="C63" i="3"/>
  <c r="B71" i="3" s="1"/>
  <c r="H38" i="3"/>
  <c r="C38" i="3"/>
  <c r="H13" i="3"/>
  <c r="E13" i="3"/>
  <c r="C13" i="3"/>
  <c r="B59" i="3"/>
  <c r="G34" i="3"/>
  <c r="B34" i="3"/>
  <c r="G9" i="3"/>
  <c r="B9" i="3"/>
  <c r="D82" i="3" l="1"/>
  <c r="P50" i="1" s="1"/>
  <c r="G45" i="3"/>
  <c r="G21" i="3"/>
  <c r="G19" i="3"/>
  <c r="G20" i="3"/>
  <c r="B20" i="3"/>
  <c r="I39" i="1"/>
  <c r="C55" i="1"/>
  <c r="F45" i="1"/>
  <c r="C53" i="1"/>
  <c r="C49" i="1"/>
  <c r="C45" i="1"/>
  <c r="C41" i="1"/>
  <c r="L41" i="1"/>
  <c r="I55" i="1"/>
  <c r="L53" i="1"/>
  <c r="L49" i="1"/>
  <c r="N50" i="1"/>
  <c r="N45" i="1"/>
  <c r="E41" i="1"/>
  <c r="C40" i="1"/>
  <c r="O46" i="1"/>
  <c r="O38" i="1"/>
  <c r="B49" i="1"/>
  <c r="B41" i="1"/>
  <c r="E50" i="1"/>
  <c r="C47" i="1"/>
  <c r="F54" i="1"/>
  <c r="F50" i="1"/>
  <c r="F46" i="1"/>
  <c r="F42" i="1"/>
  <c r="I53" i="1"/>
  <c r="I49" i="1"/>
  <c r="I45" i="1"/>
  <c r="I41" i="1"/>
  <c r="L54" i="1"/>
  <c r="L50" i="1"/>
  <c r="L46" i="1"/>
  <c r="L42" i="1"/>
  <c r="E54" i="1"/>
  <c r="H49" i="1"/>
  <c r="K42" i="1"/>
  <c r="C54" i="1"/>
  <c r="C50" i="1"/>
  <c r="C46" i="1"/>
  <c r="C42" i="1"/>
  <c r="C38" i="1"/>
  <c r="F53" i="1"/>
  <c r="F49" i="1"/>
  <c r="F41" i="1"/>
  <c r="I44" i="1"/>
  <c r="O53" i="1"/>
  <c r="O49" i="1"/>
  <c r="O45" i="1"/>
  <c r="O41" i="1"/>
  <c r="B53" i="1"/>
  <c r="B45" i="1"/>
  <c r="H53" i="1"/>
  <c r="N46" i="1"/>
  <c r="H52" i="1"/>
  <c r="N52" i="1"/>
  <c r="K52" i="1"/>
  <c r="B52" i="1"/>
  <c r="E52" i="1"/>
  <c r="E44" i="1"/>
  <c r="N44" i="1"/>
  <c r="K44" i="1"/>
  <c r="B44" i="1"/>
  <c r="H44" i="1"/>
  <c r="I51" i="1"/>
  <c r="E51" i="1"/>
  <c r="N51" i="1"/>
  <c r="B51" i="1"/>
  <c r="K51" i="1"/>
  <c r="H51" i="1"/>
  <c r="L43" i="1"/>
  <c r="H43" i="1"/>
  <c r="B43" i="1"/>
  <c r="E43" i="1"/>
  <c r="N43" i="1"/>
  <c r="K43" i="1"/>
  <c r="E39" i="1"/>
  <c r="N39" i="1"/>
  <c r="B39" i="1"/>
  <c r="H39" i="1"/>
  <c r="K39" i="1"/>
  <c r="C52" i="1"/>
  <c r="C48" i="1"/>
  <c r="C44" i="1"/>
  <c r="O44" i="1"/>
  <c r="H48" i="1"/>
  <c r="N48" i="1"/>
  <c r="K48" i="1"/>
  <c r="B48" i="1"/>
  <c r="E48" i="1"/>
  <c r="C51" i="1"/>
  <c r="C43" i="1"/>
  <c r="C39" i="1"/>
  <c r="F52" i="1"/>
  <c r="F48" i="1"/>
  <c r="F44" i="1"/>
  <c r="F40" i="1"/>
  <c r="I47" i="1"/>
  <c r="I43" i="1"/>
  <c r="L55" i="1"/>
  <c r="L51" i="1"/>
  <c r="L47" i="1"/>
  <c r="L45" i="1"/>
  <c r="L39" i="1"/>
  <c r="B54" i="1"/>
  <c r="B50" i="1"/>
  <c r="B46" i="1"/>
  <c r="B42" i="1"/>
  <c r="B38" i="1"/>
  <c r="K54" i="1"/>
  <c r="E53" i="1"/>
  <c r="K50" i="1"/>
  <c r="E49" i="1"/>
  <c r="E47" i="1"/>
  <c r="H46" i="1"/>
  <c r="N42" i="1"/>
  <c r="E42" i="1"/>
  <c r="H41" i="1"/>
  <c r="K40" i="1"/>
  <c r="E38" i="1"/>
  <c r="F38" i="1"/>
  <c r="L52" i="1"/>
  <c r="L48" i="1"/>
  <c r="L44" i="1"/>
  <c r="L40" i="1"/>
  <c r="L38" i="1"/>
  <c r="B40" i="1"/>
  <c r="N55" i="1"/>
  <c r="E55" i="1"/>
  <c r="K47" i="1"/>
  <c r="E40" i="1"/>
  <c r="K38" i="1"/>
  <c r="I52" i="1"/>
  <c r="I48" i="1"/>
  <c r="I40" i="1"/>
  <c r="O55" i="1"/>
  <c r="O51" i="1"/>
  <c r="O47" i="1"/>
  <c r="O43" i="1"/>
  <c r="O39" i="1"/>
  <c r="F55" i="1"/>
  <c r="F51" i="1"/>
  <c r="F47" i="1"/>
  <c r="F43" i="1"/>
  <c r="F39" i="1"/>
  <c r="I54" i="1"/>
  <c r="I50" i="1"/>
  <c r="I46" i="1"/>
  <c r="I42" i="1"/>
  <c r="I38" i="1"/>
  <c r="O54" i="1"/>
  <c r="O52" i="1"/>
  <c r="O50" i="1"/>
  <c r="O48" i="1"/>
  <c r="O40" i="1"/>
  <c r="B55" i="1"/>
  <c r="B47" i="1"/>
  <c r="H55" i="1"/>
  <c r="H54" i="1"/>
  <c r="K53" i="1"/>
  <c r="K49" i="1"/>
  <c r="N47" i="1"/>
  <c r="E46" i="1"/>
  <c r="H45" i="1"/>
  <c r="N41" i="1"/>
  <c r="H40" i="1"/>
  <c r="N38" i="1"/>
  <c r="K45" i="1"/>
  <c r="O42" i="1"/>
  <c r="B21" i="3"/>
  <c r="B19" i="3"/>
  <c r="P51" i="1"/>
  <c r="B69" i="3"/>
  <c r="B70" i="3"/>
  <c r="I57" i="3"/>
  <c r="M42" i="1" s="1"/>
  <c r="G44" i="3"/>
  <c r="G46" i="3"/>
  <c r="D57" i="3"/>
  <c r="J46" i="1" s="1"/>
  <c r="B45" i="3"/>
  <c r="B44" i="3"/>
  <c r="B46" i="3"/>
  <c r="I32" i="3"/>
  <c r="G49" i="1" s="1"/>
  <c r="D32" i="3"/>
  <c r="P55" i="1" l="1"/>
  <c r="P52" i="1"/>
  <c r="P44" i="1"/>
  <c r="P40" i="1"/>
  <c r="P42" i="1"/>
  <c r="P54" i="1"/>
  <c r="P49" i="1"/>
  <c r="P43" i="1"/>
  <c r="P45" i="1"/>
  <c r="P39" i="1"/>
  <c r="P38" i="1"/>
  <c r="P46" i="1"/>
  <c r="P48" i="1"/>
  <c r="P41" i="1"/>
  <c r="P53" i="1"/>
  <c r="P47" i="1"/>
  <c r="J51" i="1"/>
  <c r="J45" i="1"/>
  <c r="J43" i="1"/>
  <c r="J50" i="1"/>
  <c r="J42" i="1"/>
  <c r="D38" i="1"/>
  <c r="D43" i="1"/>
  <c r="D44" i="1"/>
  <c r="D47" i="1"/>
  <c r="D50" i="1"/>
  <c r="D53" i="1"/>
  <c r="D40" i="1"/>
  <c r="D42" i="1"/>
  <c r="D46" i="1"/>
  <c r="D49" i="1"/>
  <c r="D52" i="1"/>
  <c r="D54" i="1"/>
  <c r="D39" i="1"/>
  <c r="D41" i="1"/>
  <c r="D45" i="1"/>
  <c r="D48" i="1"/>
  <c r="D51" i="1"/>
  <c r="D55" i="1"/>
  <c r="M51" i="1"/>
  <c r="M38" i="1"/>
  <c r="M49" i="1"/>
  <c r="M55" i="1"/>
  <c r="M40" i="1"/>
  <c r="M54" i="1"/>
  <c r="M39" i="1"/>
  <c r="M52" i="1"/>
  <c r="M43" i="1"/>
  <c r="M41" i="1"/>
  <c r="M46" i="1"/>
  <c r="M44" i="1"/>
  <c r="M53" i="1"/>
  <c r="M45" i="1"/>
  <c r="M47" i="1"/>
  <c r="M50" i="1"/>
  <c r="M48" i="1"/>
  <c r="J49" i="1"/>
  <c r="J39" i="1"/>
  <c r="J53" i="1"/>
  <c r="J47" i="1"/>
  <c r="J41" i="1"/>
  <c r="J55" i="1"/>
  <c r="J38" i="1"/>
  <c r="J48" i="1"/>
  <c r="J54" i="1"/>
  <c r="J44" i="1"/>
  <c r="J52" i="1"/>
  <c r="J40" i="1"/>
  <c r="G38" i="1"/>
  <c r="G50" i="1"/>
  <c r="G48" i="1"/>
  <c r="G52" i="1"/>
  <c r="G53" i="1"/>
  <c r="G51" i="1"/>
  <c r="G45" i="1"/>
  <c r="G41" i="1"/>
  <c r="G44" i="1"/>
  <c r="G42" i="1"/>
  <c r="G40" i="1"/>
  <c r="G54" i="1"/>
  <c r="G39" i="1"/>
  <c r="G46" i="1"/>
  <c r="G47" i="1"/>
  <c r="G43" i="1"/>
  <c r="G55" i="1"/>
  <c r="F9" i="1"/>
  <c r="K35" i="1"/>
  <c r="H35" i="1"/>
  <c r="E35" i="1"/>
  <c r="B35" i="1"/>
  <c r="A37" i="1"/>
  <c r="A36" i="1"/>
  <c r="N35" i="1"/>
  <c r="U9" i="1"/>
  <c r="R9" i="1"/>
  <c r="O9" i="1"/>
  <c r="L9" i="1"/>
  <c r="I9" i="1"/>
  <c r="H37" i="1" l="1"/>
  <c r="B37" i="1"/>
  <c r="E37" i="1"/>
  <c r="F37" i="1"/>
  <c r="C37" i="1"/>
  <c r="G37" i="1"/>
  <c r="L37" i="1"/>
  <c r="I37" i="1"/>
  <c r="O37" i="1"/>
  <c r="K37" i="1"/>
  <c r="J37" i="1"/>
  <c r="P37" i="1"/>
  <c r="M37" i="1"/>
  <c r="N37" i="1"/>
  <c r="D37" i="1"/>
  <c r="H36" i="1"/>
  <c r="C36" i="1"/>
  <c r="E36" i="1"/>
  <c r="F36" i="1"/>
  <c r="O36" i="1"/>
  <c r="D36" i="1"/>
  <c r="L36" i="1"/>
  <c r="J36" i="1"/>
  <c r="G36" i="1"/>
  <c r="B36" i="1"/>
  <c r="I36" i="1"/>
  <c r="M36" i="1"/>
  <c r="K36" i="1"/>
  <c r="P36" i="1"/>
  <c r="N36" i="1"/>
</calcChain>
</file>

<file path=xl/sharedStrings.xml><?xml version="1.0" encoding="utf-8"?>
<sst xmlns="http://schemas.openxmlformats.org/spreadsheetml/2006/main" count="159" uniqueCount="72">
  <si>
    <t>Code</t>
  </si>
  <si>
    <t>Dilution factor</t>
  </si>
  <si>
    <t>Element</t>
  </si>
  <si>
    <t>1 RSD %</t>
  </si>
  <si>
    <r>
      <t xml:space="preserve"> +/- (2 </t>
    </r>
    <r>
      <rPr>
        <sz val="11"/>
        <color theme="1"/>
        <rFont val="Calibri"/>
        <family val="2"/>
      </rPr>
      <t>σ)</t>
    </r>
  </si>
  <si>
    <t>ICP-MS data</t>
  </si>
  <si>
    <t xml:space="preserve"> +/-</t>
  </si>
  <si>
    <t>LOD</t>
  </si>
  <si>
    <t>Calibrations and MDC determination</t>
  </si>
  <si>
    <t>STD 1</t>
  </si>
  <si>
    <t>STD 2</t>
  </si>
  <si>
    <t>STD 3</t>
  </si>
  <si>
    <t>STD 4</t>
  </si>
  <si>
    <t>cps</t>
  </si>
  <si>
    <t>ccps</t>
  </si>
  <si>
    <t>ppb</t>
  </si>
  <si>
    <t>slope=</t>
  </si>
  <si>
    <t>intercept=</t>
  </si>
  <si>
    <t>Corresponding concnetration (ppb)</t>
  </si>
  <si>
    <t>Final concentration in original sample [ppm]</t>
  </si>
  <si>
    <t>In-Re (g)</t>
  </si>
  <si>
    <t>Total dilution (g)</t>
  </si>
  <si>
    <t>Instr. BKG (cps)=</t>
  </si>
  <si>
    <t>SD (1sigma)=</t>
  </si>
  <si>
    <t>STD 5</t>
  </si>
  <si>
    <t>No of STDs</t>
  </si>
  <si>
    <t>Element 1</t>
  </si>
  <si>
    <t>Element 2</t>
  </si>
  <si>
    <t>Element 3</t>
  </si>
  <si>
    <t>Element 4</t>
  </si>
  <si>
    <t>Element 5</t>
  </si>
  <si>
    <t>Spreadsheet summary</t>
  </si>
  <si>
    <t>Document Reference Number</t>
  </si>
  <si>
    <t>Spreadsheet title</t>
  </si>
  <si>
    <t>Issue number</t>
  </si>
  <si>
    <t>Issue date</t>
  </si>
  <si>
    <t>Constructed by</t>
  </si>
  <si>
    <t>Updated by</t>
  </si>
  <si>
    <t>n/a</t>
  </si>
  <si>
    <t>Date validated</t>
  </si>
  <si>
    <t>Validated by</t>
  </si>
  <si>
    <t>GAU/SSH/068</t>
  </si>
  <si>
    <t>Elemental analysis by ICP-MS</t>
  </si>
  <si>
    <t>P. Gaca</t>
  </si>
  <si>
    <t>Issue:</t>
  </si>
  <si>
    <t>Correlation =</t>
  </si>
  <si>
    <t>(results entered are blank and drift corrected ppb)</t>
  </si>
  <si>
    <t>PLEASE NOTE: always use min 3 and max 5 calibration standards</t>
  </si>
  <si>
    <t>David Reading</t>
  </si>
  <si>
    <t>Dilution mass (3% HNO3) [g]</t>
  </si>
  <si>
    <t>original sample used for ICP-MS analysis (g)</t>
  </si>
  <si>
    <t>Final solution for ICP-MS analysis</t>
  </si>
  <si>
    <t>MD01</t>
  </si>
  <si>
    <t>MS01</t>
  </si>
  <si>
    <t>MD03</t>
  </si>
  <si>
    <t>MS03</t>
  </si>
  <si>
    <t>MD04</t>
  </si>
  <si>
    <t>MS04</t>
  </si>
  <si>
    <t>BLK 1</t>
  </si>
  <si>
    <t>BLK 2</t>
  </si>
  <si>
    <t>BLK 3</t>
  </si>
  <si>
    <t>MD01 Rinse</t>
  </si>
  <si>
    <t>MS01 Rinse</t>
  </si>
  <si>
    <t>MD03 Rinse</t>
  </si>
  <si>
    <t>MS03 Rinse</t>
  </si>
  <si>
    <t>MD04 Rinse</t>
  </si>
  <si>
    <t>MS04 Rinse</t>
  </si>
  <si>
    <t>Ni</t>
  </si>
  <si>
    <t>Pb</t>
  </si>
  <si>
    <t>Zn</t>
  </si>
  <si>
    <t>Ni-BLK corrected</t>
  </si>
  <si>
    <t>Zn-BLK corrected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</si>
</sst>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000"/>
    <numFmt numFmtId="165" formatCode="0.0000000"/>
    <numFmt numFmtId="166" formatCode="0.0000"/>
    <numFmt numFmtId="167" formatCode="0.00000"/>
    <numFmt numFmtId="168" formatCode="0.0"/>
    <numFmt numFmtId="169" formatCode="0.00000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6" xfId="0" applyBorder="1"/>
    <xf numFmtId="164" fontId="0" fillId="0" borderId="11" xfId="0" applyNumberFormat="1" applyBorder="1"/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3" xfId="0" applyBorder="1"/>
    <xf numFmtId="0" fontId="0" fillId="0" borderId="14" xfId="0" applyBorder="1"/>
    <xf numFmtId="0" fontId="0" fillId="0" borderId="16" xfId="0" applyBorder="1"/>
    <xf numFmtId="0" fontId="0" fillId="0" borderId="0" xfId="0" applyBorder="1"/>
    <xf numFmtId="0" fontId="0" fillId="0" borderId="17" xfId="0" applyBorder="1"/>
    <xf numFmtId="165" fontId="0" fillId="0" borderId="0" xfId="0" applyNumberForma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3" fillId="0" borderId="14" xfId="0" applyFont="1" applyBorder="1" applyAlignment="1">
      <alignment horizontal="center"/>
    </xf>
    <xf numFmtId="0" fontId="3" fillId="0" borderId="14" xfId="0" applyFont="1" applyBorder="1"/>
    <xf numFmtId="0" fontId="0" fillId="0" borderId="21" xfId="0" applyBorder="1"/>
    <xf numFmtId="0" fontId="0" fillId="0" borderId="8" xfId="0" applyBorder="1"/>
    <xf numFmtId="0" fontId="0" fillId="0" borderId="9" xfId="0" applyBorder="1"/>
    <xf numFmtId="0" fontId="0" fillId="0" borderId="11" xfId="0" applyBorder="1"/>
    <xf numFmtId="0" fontId="0" fillId="0" borderId="12" xfId="0" applyBorder="1"/>
    <xf numFmtId="0" fontId="0" fillId="0" borderId="22" xfId="0" applyBorder="1"/>
    <xf numFmtId="0" fontId="0" fillId="0" borderId="25" xfId="0" applyBorder="1"/>
    <xf numFmtId="0" fontId="0" fillId="0" borderId="23" xfId="0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66" fontId="0" fillId="0" borderId="11" xfId="0" applyNumberFormat="1" applyBorder="1"/>
    <xf numFmtId="1" fontId="0" fillId="0" borderId="5" xfId="0" applyNumberFormat="1" applyBorder="1"/>
    <xf numFmtId="1" fontId="0" fillId="0" borderId="1" xfId="0" applyNumberFormat="1" applyBorder="1"/>
    <xf numFmtId="1" fontId="0" fillId="0" borderId="6" xfId="0" applyNumberFormat="1" applyBorder="1"/>
    <xf numFmtId="1" fontId="0" fillId="0" borderId="10" xfId="0" applyNumberFormat="1" applyBorder="1"/>
    <xf numFmtId="1" fontId="0" fillId="0" borderId="11" xfId="0" applyNumberFormat="1" applyBorder="1"/>
    <xf numFmtId="1" fontId="0" fillId="0" borderId="28" xfId="0" applyNumberFormat="1" applyBorder="1"/>
    <xf numFmtId="1" fontId="0" fillId="0" borderId="12" xfId="0" applyNumberFormat="1" applyBorder="1"/>
    <xf numFmtId="2" fontId="0" fillId="0" borderId="6" xfId="0" applyNumberFormat="1" applyBorder="1"/>
    <xf numFmtId="0" fontId="0" fillId="0" borderId="17" xfId="0" applyFill="1" applyBorder="1"/>
    <xf numFmtId="0" fontId="1" fillId="0" borderId="3" xfId="0" applyFont="1" applyBorder="1"/>
    <xf numFmtId="0" fontId="1" fillId="0" borderId="2" xfId="0" applyFont="1" applyBorder="1"/>
    <xf numFmtId="0" fontId="1" fillId="0" borderId="26" xfId="0" applyFont="1" applyBorder="1"/>
    <xf numFmtId="2" fontId="0" fillId="0" borderId="4" xfId="0" applyNumberFormat="1" applyBorder="1"/>
    <xf numFmtId="2" fontId="0" fillId="0" borderId="9" xfId="0" applyNumberFormat="1" applyBorder="1"/>
    <xf numFmtId="0" fontId="6" fillId="0" borderId="0" xfId="0" applyFont="1"/>
    <xf numFmtId="0" fontId="7" fillId="0" borderId="0" xfId="0" applyFont="1"/>
    <xf numFmtId="14" fontId="0" fillId="0" borderId="0" xfId="0" applyNumberFormat="1"/>
    <xf numFmtId="0" fontId="8" fillId="0" borderId="0" xfId="0" applyFont="1"/>
    <xf numFmtId="14" fontId="8" fillId="0" borderId="0" xfId="0" applyNumberFormat="1" applyFont="1"/>
    <xf numFmtId="0" fontId="1" fillId="3" borderId="13" xfId="0" applyFont="1" applyFill="1" applyBorder="1"/>
    <xf numFmtId="0" fontId="0" fillId="3" borderId="14" xfId="0" applyFill="1" applyBorder="1"/>
    <xf numFmtId="0" fontId="0" fillId="3" borderId="15" xfId="0" applyFill="1" applyBorder="1"/>
    <xf numFmtId="0" fontId="1" fillId="3" borderId="16" xfId="0" applyFont="1" applyFill="1" applyBorder="1"/>
    <xf numFmtId="0" fontId="0" fillId="3" borderId="0" xfId="0" applyFill="1" applyBorder="1"/>
    <xf numFmtId="0" fontId="0" fillId="3" borderId="17" xfId="0" applyFill="1" applyBorder="1"/>
    <xf numFmtId="0" fontId="1" fillId="3" borderId="18" xfId="0" applyFont="1" applyFill="1" applyBorder="1"/>
    <xf numFmtId="0" fontId="0" fillId="3" borderId="19" xfId="0" applyFill="1" applyBorder="1"/>
    <xf numFmtId="0" fontId="1" fillId="3" borderId="19" xfId="0" applyFont="1" applyFill="1" applyBorder="1" applyAlignment="1">
      <alignment horizontal="right"/>
    </xf>
    <xf numFmtId="0" fontId="1" fillId="3" borderId="20" xfId="0" applyFont="1" applyFill="1" applyBorder="1"/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0" fillId="4" borderId="12" xfId="0" applyFill="1" applyBorder="1"/>
    <xf numFmtId="0" fontId="0" fillId="4" borderId="24" xfId="0" applyFill="1" applyBorder="1"/>
    <xf numFmtId="0" fontId="0" fillId="2" borderId="7" xfId="0" applyFill="1" applyBorder="1" applyAlignment="1" applyProtection="1">
      <alignment horizontal="center" vertical="center" wrapText="1"/>
      <protection locked="0"/>
    </xf>
    <xf numFmtId="0" fontId="0" fillId="2" borderId="8" xfId="0" applyFill="1" applyBorder="1" applyAlignment="1" applyProtection="1">
      <alignment horizontal="center" vertical="center" wrapText="1"/>
      <protection locked="0"/>
    </xf>
    <xf numFmtId="0" fontId="0" fillId="2" borderId="10" xfId="0" applyFill="1" applyBorder="1" applyProtection="1">
      <protection locked="0"/>
    </xf>
    <xf numFmtId="0" fontId="0" fillId="2" borderId="11" xfId="0" applyFill="1" applyBorder="1" applyProtection="1">
      <protection locked="0"/>
    </xf>
    <xf numFmtId="0" fontId="3" fillId="2" borderId="27" xfId="0" applyFont="1" applyFill="1" applyBorder="1" applyAlignment="1" applyProtection="1">
      <alignment horizontal="center" vertical="center" wrapText="1"/>
      <protection locked="0"/>
    </xf>
    <xf numFmtId="0" fontId="0" fillId="2" borderId="28" xfId="0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0" fontId="3" fillId="2" borderId="8" xfId="0" applyFont="1" applyFill="1" applyBorder="1" applyAlignment="1" applyProtection="1">
      <alignment horizontal="center" vertical="center" wrapText="1"/>
      <protection locked="0"/>
    </xf>
    <xf numFmtId="0" fontId="0" fillId="2" borderId="29" xfId="0" applyFill="1" applyBorder="1" applyProtection="1">
      <protection locked="0"/>
    </xf>
    <xf numFmtId="0" fontId="0" fillId="2" borderId="2" xfId="0" applyFill="1" applyBorder="1" applyProtection="1">
      <protection locked="0"/>
    </xf>
    <xf numFmtId="0" fontId="0" fillId="2" borderId="5" xfId="0" applyFill="1" applyBorder="1" applyProtection="1">
      <protection locked="0"/>
    </xf>
    <xf numFmtId="0" fontId="0" fillId="2" borderId="7" xfId="0" applyFill="1" applyBorder="1" applyProtection="1">
      <protection locked="0"/>
    </xf>
    <xf numFmtId="0" fontId="0" fillId="2" borderId="3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8" xfId="0" applyFill="1" applyBorder="1" applyProtection="1">
      <protection locked="0"/>
    </xf>
    <xf numFmtId="0" fontId="0" fillId="0" borderId="30" xfId="0" applyBorder="1"/>
    <xf numFmtId="0" fontId="0" fillId="2" borderId="31" xfId="0" applyFill="1" applyBorder="1" applyAlignment="1" applyProtection="1">
      <alignment horizontal="center" vertical="center" wrapText="1"/>
      <protection locked="0"/>
    </xf>
    <xf numFmtId="167" fontId="0" fillId="2" borderId="32" xfId="0" applyNumberFormat="1" applyFill="1" applyBorder="1" applyProtection="1">
      <protection locked="0"/>
    </xf>
    <xf numFmtId="167" fontId="0" fillId="2" borderId="33" xfId="0" applyNumberFormat="1" applyFill="1" applyBorder="1" applyProtection="1">
      <protection locked="0"/>
    </xf>
    <xf numFmtId="0" fontId="0" fillId="0" borderId="26" xfId="0" applyBorder="1"/>
    <xf numFmtId="0" fontId="0" fillId="4" borderId="27" xfId="0" applyFill="1" applyBorder="1" applyAlignment="1">
      <alignment horizontal="center" vertical="center" wrapText="1"/>
    </xf>
    <xf numFmtId="166" fontId="0" fillId="4" borderId="28" xfId="0" applyNumberFormat="1" applyFill="1" applyBorder="1"/>
    <xf numFmtId="166" fontId="0" fillId="4" borderId="34" xfId="0" applyNumberFormat="1" applyFill="1" applyBorder="1"/>
    <xf numFmtId="0" fontId="0" fillId="2" borderId="12" xfId="0" applyFill="1" applyBorder="1" applyProtection="1">
      <protection locked="0"/>
    </xf>
    <xf numFmtId="0" fontId="0" fillId="2" borderId="35" xfId="0" applyFill="1" applyBorder="1" applyProtection="1">
      <protection locked="0"/>
    </xf>
    <xf numFmtId="0" fontId="0" fillId="2" borderId="24" xfId="0" applyFill="1" applyBorder="1" applyProtection="1">
      <protection locked="0"/>
    </xf>
    <xf numFmtId="0" fontId="0" fillId="2" borderId="36" xfId="0" applyFill="1" applyBorder="1" applyAlignment="1" applyProtection="1">
      <alignment horizontal="center" vertical="center" wrapText="1"/>
      <protection locked="0"/>
    </xf>
    <xf numFmtId="0" fontId="0" fillId="2" borderId="37" xfId="0" applyFill="1" applyBorder="1" applyAlignment="1" applyProtection="1">
      <alignment horizontal="center" vertical="center" wrapText="1"/>
      <protection locked="0"/>
    </xf>
    <xf numFmtId="166" fontId="0" fillId="2" borderId="32" xfId="0" applyNumberFormat="1" applyFill="1" applyBorder="1" applyProtection="1">
      <protection locked="0"/>
    </xf>
    <xf numFmtId="168" fontId="0" fillId="0" borderId="2" xfId="0" applyNumberFormat="1" applyBorder="1"/>
    <xf numFmtId="168" fontId="0" fillId="0" borderId="3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5" xfId="0" applyNumberFormat="1" applyBorder="1"/>
    <xf numFmtId="2" fontId="0" fillId="0" borderId="1" xfId="0" applyNumberFormat="1" applyBorder="1"/>
    <xf numFmtId="164" fontId="0" fillId="0" borderId="3" xfId="0" applyNumberFormat="1" applyBorder="1"/>
    <xf numFmtId="164" fontId="0" fillId="0" borderId="5" xfId="0" applyNumberFormat="1" applyBorder="1"/>
    <xf numFmtId="164" fontId="0" fillId="0" borderId="1" xfId="0" applyNumberFormat="1" applyBorder="1"/>
    <xf numFmtId="166" fontId="0" fillId="0" borderId="5" xfId="0" applyNumberFormat="1" applyBorder="1"/>
    <xf numFmtId="166" fontId="0" fillId="0" borderId="1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164" fontId="0" fillId="0" borderId="10" xfId="0" applyNumberFormat="1" applyBorder="1"/>
    <xf numFmtId="169" fontId="0" fillId="0" borderId="4" xfId="0" applyNumberFormat="1" applyBorder="1"/>
    <xf numFmtId="167" fontId="0" fillId="0" borderId="4" xfId="0" applyNumberFormat="1" applyBorder="1"/>
    <xf numFmtId="166" fontId="0" fillId="0" borderId="6" xfId="0" applyNumberFormat="1" applyBorder="1"/>
    <xf numFmtId="167" fontId="0" fillId="0" borderId="6" xfId="0" applyNumberFormat="1" applyBorder="1"/>
    <xf numFmtId="169" fontId="0" fillId="0" borderId="6" xfId="0" applyNumberFormat="1" applyBorder="1"/>
    <xf numFmtId="166" fontId="0" fillId="0" borderId="12" xfId="0" applyNumberFormat="1" applyBorder="1"/>
    <xf numFmtId="167" fontId="0" fillId="0" borderId="12" xfId="0" applyNumberFormat="1" applyBorder="1"/>
    <xf numFmtId="168" fontId="0" fillId="0" borderId="10" xfId="0" applyNumberFormat="1" applyBorder="1"/>
    <xf numFmtId="168" fontId="0" fillId="0" borderId="11" xfId="0" applyNumberFormat="1" applyBorder="1"/>
    <xf numFmtId="164" fontId="0" fillId="0" borderId="2" xfId="0" applyNumberFormat="1" applyBorder="1"/>
    <xf numFmtId="168" fontId="0" fillId="0" borderId="12" xfId="0" applyNumberFormat="1" applyBorder="1"/>
    <xf numFmtId="2" fontId="0" fillId="0" borderId="26" xfId="0" applyNumberFormat="1" applyBorder="1"/>
    <xf numFmtId="2" fontId="0" fillId="0" borderId="28" xfId="0" applyNumberFormat="1" applyBorder="1"/>
    <xf numFmtId="168" fontId="0" fillId="0" borderId="28" xfId="0" applyNumberFormat="1" applyBorder="1"/>
    <xf numFmtId="0" fontId="1" fillId="0" borderId="13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168" fontId="0" fillId="0" borderId="5" xfId="0" applyNumberFormat="1" applyBorder="1"/>
    <xf numFmtId="168" fontId="0" fillId="0" borderId="1" xfId="0" applyNumberFormat="1" applyBorder="1"/>
    <xf numFmtId="164" fontId="0" fillId="0" borderId="6" xfId="0" applyNumberFormat="1" applyBorder="1"/>
    <xf numFmtId="164" fontId="0" fillId="0" borderId="12" xfId="0" applyNumberFormat="1" applyBorder="1"/>
    <xf numFmtId="2" fontId="0" fillId="0" borderId="1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calculation'!$C$13:$C$17</c:f>
              <c:numCache>
                <c:formatCode>General</c:formatCode>
                <c:ptCount val="5"/>
                <c:pt idx="0">
                  <c:v>16127.859999999999</c:v>
                </c:pt>
                <c:pt idx="1">
                  <c:v>157991.46</c:v>
                </c:pt>
                <c:pt idx="2">
                  <c:v>316060.15000000002</c:v>
                </c:pt>
                <c:pt idx="3">
                  <c:v>804298.89</c:v>
                </c:pt>
                <c:pt idx="4">
                  <c:v>1631604.9</c:v>
                </c:pt>
              </c:numCache>
            </c:numRef>
          </c:xVal>
          <c:yVal>
            <c:numRef>
              <c:f>'LOD calculation'!$D$13:$D$17</c:f>
              <c:numCache>
                <c:formatCode>General</c:formatCode>
                <c:ptCount val="5"/>
                <c:pt idx="0">
                  <c:v>1.0124738947652561</c:v>
                </c:pt>
                <c:pt idx="1">
                  <c:v>10.011090886630631</c:v>
                </c:pt>
                <c:pt idx="2">
                  <c:v>19.99088427280493</c:v>
                </c:pt>
                <c:pt idx="3">
                  <c:v>50.873324251483041</c:v>
                </c:pt>
                <c:pt idx="4">
                  <c:v>101.82160118010569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AF-4B70-9717-839E1EA567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810880"/>
        <c:axId val="264811440"/>
      </c:scatterChart>
      <c:valAx>
        <c:axId val="264810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4811440"/>
        <c:crosses val="autoZero"/>
        <c:crossBetween val="midCat"/>
      </c:valAx>
      <c:valAx>
        <c:axId val="26481144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4810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calculation'!$H$13:$H$17</c:f>
              <c:numCache>
                <c:formatCode>General</c:formatCode>
                <c:ptCount val="5"/>
                <c:pt idx="0">
                  <c:v>620226.66</c:v>
                </c:pt>
                <c:pt idx="1">
                  <c:v>1238586.3600000001</c:v>
                </c:pt>
                <c:pt idx="2">
                  <c:v>3191583.7</c:v>
                </c:pt>
                <c:pt idx="3">
                  <c:v>6289800.8899999997</c:v>
                </c:pt>
                <c:pt idx="4">
                  <c:v>60829944.829999998</c:v>
                </c:pt>
              </c:numCache>
            </c:numRef>
          </c:xVal>
          <c:yVal>
            <c:numRef>
              <c:f>'LOD calculation'!$I$13:$I$17</c:f>
              <c:numCache>
                <c:formatCode>General</c:formatCode>
                <c:ptCount val="5"/>
                <c:pt idx="0">
                  <c:v>9.8933133467879166</c:v>
                </c:pt>
                <c:pt idx="1">
                  <c:v>19.755697399007225</c:v>
                </c:pt>
                <c:pt idx="2">
                  <c:v>50.274814554406767</c:v>
                </c:pt>
                <c:pt idx="3">
                  <c:v>100.6236999897515</c:v>
                </c:pt>
                <c:pt idx="4">
                  <c:v>1000.6899598433445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01-4100-B5D6-D810E20BAA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4813680"/>
        <c:axId val="262850848"/>
      </c:scatterChart>
      <c:valAx>
        <c:axId val="264813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2850848"/>
        <c:crosses val="autoZero"/>
        <c:crossBetween val="midCat"/>
      </c:valAx>
      <c:valAx>
        <c:axId val="2628508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48136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calculation'!$C$38:$C$42</c:f>
              <c:numCache>
                <c:formatCode>General</c:formatCode>
                <c:ptCount val="5"/>
                <c:pt idx="0">
                  <c:v>61402.820000000007</c:v>
                </c:pt>
                <c:pt idx="1">
                  <c:v>133391.56</c:v>
                </c:pt>
                <c:pt idx="2">
                  <c:v>352599.03999999998</c:v>
                </c:pt>
                <c:pt idx="3">
                  <c:v>708819.29</c:v>
                </c:pt>
                <c:pt idx="4">
                  <c:v>7010091.4699999997</c:v>
                </c:pt>
              </c:numCache>
            </c:numRef>
          </c:xVal>
          <c:yVal>
            <c:numRef>
              <c:f>'LOD calculation'!$D$38:$D$42</c:f>
              <c:numCache>
                <c:formatCode>General</c:formatCode>
                <c:ptCount val="5"/>
                <c:pt idx="0">
                  <c:v>10.020905681617522</c:v>
                </c:pt>
                <c:pt idx="1">
                  <c:v>20.010483178954733</c:v>
                </c:pt>
                <c:pt idx="2">
                  <c:v>50.923200059572721</c:v>
                </c:pt>
                <c:pt idx="3">
                  <c:v>101.92142627930184</c:v>
                </c:pt>
                <c:pt idx="4">
                  <c:v>1013.5956835318001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CB-467E-96DC-C3EEC01630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2853088"/>
        <c:axId val="262853648"/>
      </c:scatterChart>
      <c:valAx>
        <c:axId val="262853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62853648"/>
        <c:crosses val="autoZero"/>
        <c:crossBetween val="midCat"/>
      </c:valAx>
      <c:valAx>
        <c:axId val="26285364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262853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calculation'!$H$38:$H$42</c:f>
              <c:numCache>
                <c:formatCode>General</c:formatCode>
                <c:ptCount val="5"/>
                <c:pt idx="0">
                  <c:v>16127.859999999999</c:v>
                </c:pt>
                <c:pt idx="1">
                  <c:v>157991.46</c:v>
                </c:pt>
                <c:pt idx="2">
                  <c:v>316060.15000000002</c:v>
                </c:pt>
                <c:pt idx="3">
                  <c:v>804298.89</c:v>
                </c:pt>
                <c:pt idx="4">
                  <c:v>1631604.9</c:v>
                </c:pt>
              </c:numCache>
            </c:numRef>
          </c:xVal>
          <c:yVal>
            <c:numRef>
              <c:f>'LOD calculation'!$I$38:$I$42</c:f>
              <c:numCache>
                <c:formatCode>General</c:formatCode>
                <c:ptCount val="5"/>
                <c:pt idx="0">
                  <c:v>1.0124738947652561</c:v>
                </c:pt>
                <c:pt idx="1">
                  <c:v>10.011090886630631</c:v>
                </c:pt>
                <c:pt idx="2">
                  <c:v>19.99088427280493</c:v>
                </c:pt>
                <c:pt idx="3">
                  <c:v>50.873324251483041</c:v>
                </c:pt>
                <c:pt idx="4">
                  <c:v>101.82160118010569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90-4FC6-B8A9-D7AEDD152B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583760"/>
        <c:axId val="34584320"/>
      </c:scatterChart>
      <c:valAx>
        <c:axId val="345837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4584320"/>
        <c:crosses val="autoZero"/>
        <c:crossBetween val="midCat"/>
      </c:valAx>
      <c:valAx>
        <c:axId val="345843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345837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scatterChart>
        <c:scatterStyle val="lineMarker"/>
        <c:varyColors val="0"/>
        <c:ser>
          <c:idx val="0"/>
          <c:order val="0"/>
          <c:tx>
            <c:strRef>
              <c:f>'LOD calculation'!$D$12</c:f>
              <c:strCache>
                <c:ptCount val="1"/>
                <c:pt idx="0">
                  <c:v>ppb</c:v>
                </c:pt>
              </c:strCache>
            </c:strRef>
          </c:tx>
          <c:spPr>
            <a:ln w="28575">
              <a:noFill/>
            </a:ln>
          </c:spPr>
          <c:trendline>
            <c:trendlineType val="linear"/>
            <c:dispRSqr val="0"/>
            <c:dispEq val="0"/>
          </c:trendline>
          <c:xVal>
            <c:numRef>
              <c:f>'LOD calculation'!$C$63:$C$67</c:f>
              <c:numCache>
                <c:formatCode>General</c:formatCode>
                <c:ptCount val="5"/>
                <c:pt idx="0">
                  <c:v>61402.820000000007</c:v>
                </c:pt>
                <c:pt idx="1">
                  <c:v>133391.56</c:v>
                </c:pt>
                <c:pt idx="2">
                  <c:v>352599.03999999998</c:v>
                </c:pt>
                <c:pt idx="3">
                  <c:v>708819.29</c:v>
                </c:pt>
                <c:pt idx="4">
                  <c:v>7010091.4699999997</c:v>
                </c:pt>
              </c:numCache>
            </c:numRef>
          </c:xVal>
          <c:yVal>
            <c:numRef>
              <c:f>'LOD calculation'!$D$63:$D$67</c:f>
              <c:numCache>
                <c:formatCode>General</c:formatCode>
                <c:ptCount val="5"/>
                <c:pt idx="0">
                  <c:v>10.020905681617522</c:v>
                </c:pt>
                <c:pt idx="1">
                  <c:v>20.010483178954733</c:v>
                </c:pt>
                <c:pt idx="2">
                  <c:v>50.923200059572721</c:v>
                </c:pt>
                <c:pt idx="3">
                  <c:v>101.92142627930184</c:v>
                </c:pt>
                <c:pt idx="4">
                  <c:v>1013.5956835318001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C90-4098-93E9-EEC573C2D3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23984"/>
        <c:axId val="1524544"/>
      </c:scatterChart>
      <c:valAx>
        <c:axId val="15239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524544"/>
        <c:crosses val="autoZero"/>
        <c:crossBetween val="midCat"/>
      </c:valAx>
      <c:valAx>
        <c:axId val="1524544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crossAx val="1523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21</xdr:row>
      <xdr:rowOff>152399</xdr:rowOff>
    </xdr:from>
    <xdr:to>
      <xdr:col>4</xdr:col>
      <xdr:colOff>0</xdr:colOff>
      <xdr:row>29</xdr:row>
      <xdr:rowOff>185736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390525</xdr:colOff>
      <xdr:row>21</xdr:row>
      <xdr:rowOff>171450</xdr:rowOff>
    </xdr:from>
    <xdr:to>
      <xdr:col>9</xdr:col>
      <xdr:colOff>9525</xdr:colOff>
      <xdr:row>30</xdr:row>
      <xdr:rowOff>14287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104775</xdr:colOff>
      <xdr:row>46</xdr:row>
      <xdr:rowOff>152400</xdr:rowOff>
    </xdr:from>
    <xdr:to>
      <xdr:col>3</xdr:col>
      <xdr:colOff>581026</xdr:colOff>
      <xdr:row>54</xdr:row>
      <xdr:rowOff>185737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104776</xdr:colOff>
      <xdr:row>46</xdr:row>
      <xdr:rowOff>152400</xdr:rowOff>
    </xdr:from>
    <xdr:to>
      <xdr:col>9</xdr:col>
      <xdr:colOff>1</xdr:colOff>
      <xdr:row>54</xdr:row>
      <xdr:rowOff>185737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114300</xdr:colOff>
      <xdr:row>71</xdr:row>
      <xdr:rowOff>152400</xdr:rowOff>
    </xdr:from>
    <xdr:to>
      <xdr:col>3</xdr:col>
      <xdr:colOff>542925</xdr:colOff>
      <xdr:row>79</xdr:row>
      <xdr:rowOff>185737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M25" sqref="M25"/>
    </sheetView>
  </sheetViews>
  <sheetFormatPr defaultColWidth="8.85546875" defaultRowHeight="15" x14ac:dyDescent="0.25"/>
  <cols>
    <col min="1" max="1" width="32" bestFit="1" customWidth="1"/>
    <col min="3" max="3" width="13" customWidth="1"/>
  </cols>
  <sheetData>
    <row r="1" spans="1:3" ht="18" x14ac:dyDescent="0.25">
      <c r="A1" s="47" t="s">
        <v>31</v>
      </c>
    </row>
    <row r="4" spans="1:3" x14ac:dyDescent="0.25">
      <c r="A4" s="48" t="s">
        <v>32</v>
      </c>
      <c r="C4" t="s">
        <v>41</v>
      </c>
    </row>
    <row r="6" spans="1:3" x14ac:dyDescent="0.25">
      <c r="A6" s="48" t="s">
        <v>33</v>
      </c>
      <c r="C6" t="s">
        <v>42</v>
      </c>
    </row>
    <row r="7" spans="1:3" x14ac:dyDescent="0.25">
      <c r="A7" s="48"/>
    </row>
    <row r="8" spans="1:3" x14ac:dyDescent="0.25">
      <c r="A8" s="48" t="s">
        <v>34</v>
      </c>
      <c r="C8">
        <v>1</v>
      </c>
    </row>
    <row r="9" spans="1:3" x14ac:dyDescent="0.25">
      <c r="A9" s="48"/>
    </row>
    <row r="10" spans="1:3" x14ac:dyDescent="0.25">
      <c r="A10" s="48" t="s">
        <v>35</v>
      </c>
      <c r="C10" s="49"/>
    </row>
    <row r="11" spans="1:3" x14ac:dyDescent="0.25">
      <c r="A11" s="48"/>
    </row>
    <row r="12" spans="1:3" x14ac:dyDescent="0.25">
      <c r="A12" s="48" t="s">
        <v>36</v>
      </c>
      <c r="C12" s="50" t="s">
        <v>43</v>
      </c>
    </row>
    <row r="13" spans="1:3" x14ac:dyDescent="0.25">
      <c r="A13" s="48"/>
    </row>
    <row r="14" spans="1:3" x14ac:dyDescent="0.25">
      <c r="A14" s="48" t="s">
        <v>37</v>
      </c>
      <c r="C14" s="50" t="s">
        <v>38</v>
      </c>
    </row>
    <row r="15" spans="1:3" x14ac:dyDescent="0.25">
      <c r="A15" s="48"/>
    </row>
    <row r="16" spans="1:3" x14ac:dyDescent="0.25">
      <c r="A16" s="48" t="s">
        <v>39</v>
      </c>
      <c r="C16" s="49">
        <v>43501</v>
      </c>
    </row>
    <row r="17" spans="1:3" x14ac:dyDescent="0.25">
      <c r="A17" s="48"/>
    </row>
    <row r="18" spans="1:3" x14ac:dyDescent="0.25">
      <c r="A18" s="48" t="s">
        <v>40</v>
      </c>
      <c r="C18" s="51" t="s">
        <v>48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55"/>
  <sheetViews>
    <sheetView tabSelected="1" topLeftCell="A34" zoomScale="125" zoomScaleNormal="125" zoomScalePageLayoutView="125" workbookViewId="0">
      <selection activeCell="M37" sqref="M37"/>
    </sheetView>
  </sheetViews>
  <sheetFormatPr defaultColWidth="8.85546875" defaultRowHeight="15" x14ac:dyDescent="0.25"/>
  <cols>
    <col min="1" max="1" width="17.28515625" customWidth="1"/>
    <col min="2" max="2" width="14.7109375" customWidth="1"/>
    <col min="3" max="3" width="18.140625" bestFit="1" customWidth="1"/>
    <col min="4" max="4" width="19.42578125" customWidth="1"/>
    <col min="5" max="5" width="15" customWidth="1"/>
    <col min="6" max="7" width="15.5703125" customWidth="1"/>
    <col min="8" max="8" width="14" customWidth="1"/>
    <col min="9" max="9" width="13.85546875" customWidth="1"/>
    <col min="10" max="10" width="13.42578125" customWidth="1"/>
    <col min="11" max="11" width="14.85546875" customWidth="1"/>
    <col min="12" max="12" width="10.42578125" customWidth="1"/>
    <col min="13" max="13" width="16.7109375" customWidth="1"/>
    <col min="14" max="14" width="10" customWidth="1"/>
    <col min="15" max="15" width="13" customWidth="1"/>
    <col min="16" max="16" width="16.5703125" customWidth="1"/>
    <col min="17" max="17" width="10.42578125" customWidth="1"/>
    <col min="18" max="18" width="14.28515625" customWidth="1"/>
    <col min="19" max="19" width="14.42578125" customWidth="1"/>
    <col min="20" max="20" width="9.140625" customWidth="1"/>
    <col min="21" max="21" width="16.28515625" customWidth="1"/>
    <col min="22" max="22" width="11.140625" customWidth="1"/>
    <col min="23" max="23" width="14.42578125" customWidth="1"/>
    <col min="24" max="24" width="14.28515625" customWidth="1"/>
    <col min="25" max="25" width="14.85546875" customWidth="1"/>
    <col min="27" max="27" width="12.7109375" customWidth="1"/>
  </cols>
  <sheetData>
    <row r="1" spans="1:21" x14ac:dyDescent="0.25">
      <c r="A1" s="52" t="str">
        <f>Validation!C4</f>
        <v>GAU/SSH/068</v>
      </c>
      <c r="B1" s="53"/>
      <c r="C1" s="53"/>
      <c r="D1" s="54"/>
    </row>
    <row r="2" spans="1:21" x14ac:dyDescent="0.25">
      <c r="A2" s="55"/>
      <c r="B2" s="56"/>
      <c r="C2" s="56"/>
      <c r="D2" s="57"/>
    </row>
    <row r="3" spans="1:21" ht="15.75" thickBot="1" x14ac:dyDescent="0.3">
      <c r="A3" s="58" t="str">
        <f>Validation!C6</f>
        <v>Elemental analysis by ICP-MS</v>
      </c>
      <c r="B3" s="59"/>
      <c r="C3" s="60" t="s">
        <v>44</v>
      </c>
      <c r="D3" s="61">
        <f>Validation!C8</f>
        <v>1</v>
      </c>
    </row>
    <row r="5" spans="1:21" x14ac:dyDescent="0.25">
      <c r="A5" s="2" t="s">
        <v>5</v>
      </c>
      <c r="B5" t="s">
        <v>46</v>
      </c>
    </row>
    <row r="6" spans="1:21" ht="15.75" thickBot="1" x14ac:dyDescent="0.3"/>
    <row r="7" spans="1:21" ht="15.75" thickBot="1" x14ac:dyDescent="0.3">
      <c r="A7" s="4"/>
      <c r="B7" s="82"/>
      <c r="C7" s="124" t="s">
        <v>51</v>
      </c>
      <c r="D7" s="125"/>
      <c r="E7" s="86"/>
      <c r="F7" s="6"/>
      <c r="G7" s="44" t="s">
        <v>26</v>
      </c>
      <c r="H7" s="5"/>
      <c r="I7" s="5"/>
      <c r="J7" s="42" t="s">
        <v>27</v>
      </c>
      <c r="K7" s="5"/>
      <c r="L7" s="5"/>
      <c r="M7" s="42" t="s">
        <v>28</v>
      </c>
      <c r="N7" s="5"/>
      <c r="O7" s="5"/>
      <c r="P7" s="42" t="s">
        <v>29</v>
      </c>
      <c r="Q7" s="5"/>
      <c r="R7" s="5"/>
      <c r="S7" s="42" t="s">
        <v>30</v>
      </c>
      <c r="T7" s="5"/>
      <c r="U7" s="6"/>
    </row>
    <row r="8" spans="1:21" s="1" customFormat="1" ht="81" customHeight="1" thickBot="1" x14ac:dyDescent="0.3">
      <c r="A8" s="67" t="s">
        <v>0</v>
      </c>
      <c r="B8" s="83" t="s">
        <v>50</v>
      </c>
      <c r="C8" s="93" t="s">
        <v>49</v>
      </c>
      <c r="D8" s="94" t="s">
        <v>20</v>
      </c>
      <c r="E8" s="87" t="s">
        <v>21</v>
      </c>
      <c r="F8" s="64" t="s">
        <v>1</v>
      </c>
      <c r="G8" s="71" t="s">
        <v>67</v>
      </c>
      <c r="H8" s="68" t="s">
        <v>3</v>
      </c>
      <c r="I8" s="9" t="s">
        <v>4</v>
      </c>
      <c r="J8" s="74" t="s">
        <v>68</v>
      </c>
      <c r="K8" s="68" t="s">
        <v>3</v>
      </c>
      <c r="L8" s="9" t="s">
        <v>4</v>
      </c>
      <c r="M8" s="74" t="s">
        <v>69</v>
      </c>
      <c r="N8" s="68" t="s">
        <v>3</v>
      </c>
      <c r="O8" s="9" t="s">
        <v>4</v>
      </c>
      <c r="P8" s="74" t="s">
        <v>70</v>
      </c>
      <c r="Q8" s="68" t="s">
        <v>3</v>
      </c>
      <c r="R8" s="9" t="s">
        <v>4</v>
      </c>
      <c r="S8" s="74" t="s">
        <v>71</v>
      </c>
      <c r="T8" s="68" t="s">
        <v>3</v>
      </c>
      <c r="U8" s="10" t="s">
        <v>4</v>
      </c>
    </row>
    <row r="9" spans="1:21" x14ac:dyDescent="0.25">
      <c r="A9" s="69" t="s">
        <v>52</v>
      </c>
      <c r="B9" s="95">
        <v>0.63790000000000002</v>
      </c>
      <c r="C9" s="69">
        <v>20.195599999999999</v>
      </c>
      <c r="D9" s="90">
        <v>0</v>
      </c>
      <c r="E9" s="88">
        <f>+C9+D9</f>
        <v>20.195599999999999</v>
      </c>
      <c r="F9" s="65">
        <f t="shared" ref="F9:F28" si="0">E9/B9</f>
        <v>31.659507759836963</v>
      </c>
      <c r="G9" s="72">
        <v>18.070430000000002</v>
      </c>
      <c r="H9" s="73">
        <v>0.9</v>
      </c>
      <c r="I9" s="32">
        <f>2*G9*H9/100</f>
        <v>0.32526774000000003</v>
      </c>
      <c r="J9" s="70">
        <v>353.81718000000001</v>
      </c>
      <c r="K9" s="70">
        <v>0.5</v>
      </c>
      <c r="L9" s="8">
        <f>2*J9*K9/100</f>
        <v>3.5381718000000002</v>
      </c>
      <c r="M9" s="70">
        <v>334.93331999999998</v>
      </c>
      <c r="N9" s="70">
        <v>0.4</v>
      </c>
      <c r="O9" s="32">
        <f>2*M9*N9/100</f>
        <v>2.6794665600000003</v>
      </c>
      <c r="P9" s="70">
        <v>7.2610900000000012</v>
      </c>
      <c r="Q9" s="70">
        <v>0.9</v>
      </c>
      <c r="R9" s="25">
        <f>2*P9*Q9/100</f>
        <v>0.13069962000000002</v>
      </c>
      <c r="S9" s="70">
        <v>270.15616333333332</v>
      </c>
      <c r="T9" s="70">
        <v>0.4</v>
      </c>
      <c r="U9" s="26">
        <f>2*S9*T9/100</f>
        <v>2.1612493066666669</v>
      </c>
    </row>
    <row r="10" spans="1:21" x14ac:dyDescent="0.25">
      <c r="A10" s="69" t="s">
        <v>53</v>
      </c>
      <c r="B10" s="95">
        <v>0.29139999999999999</v>
      </c>
      <c r="C10" s="69">
        <v>20.187000000000001</v>
      </c>
      <c r="D10" s="90">
        <v>0</v>
      </c>
      <c r="E10" s="88">
        <f>+C10+D10</f>
        <v>20.187000000000001</v>
      </c>
      <c r="F10" s="65">
        <f t="shared" si="0"/>
        <v>69.275909402882647</v>
      </c>
      <c r="G10" s="72">
        <v>13.280150000000001</v>
      </c>
      <c r="H10" s="73">
        <v>0.5</v>
      </c>
      <c r="I10" s="32">
        <f t="shared" ref="I10:I28" si="1">2*G10*H10/100</f>
        <v>0.13280150000000002</v>
      </c>
      <c r="J10" s="70">
        <v>40.372639999999997</v>
      </c>
      <c r="K10" s="70">
        <v>0.8</v>
      </c>
      <c r="L10" s="8">
        <f t="shared" ref="L10:L28" si="2">2*J10*K10/100</f>
        <v>0.64596223999999991</v>
      </c>
      <c r="M10" s="70">
        <v>164.66631000000001</v>
      </c>
      <c r="N10" s="70">
        <v>0.6</v>
      </c>
      <c r="O10" s="32">
        <f t="shared" ref="O10:O28" si="3">2*M10*N10/100</f>
        <v>1.97599572</v>
      </c>
      <c r="P10" s="70">
        <v>2.4708100000000002</v>
      </c>
      <c r="Q10" s="70">
        <v>0.5</v>
      </c>
      <c r="R10" s="25">
        <f t="shared" ref="R10:R28" si="4">2*P10*Q10/100</f>
        <v>2.47081E-2</v>
      </c>
      <c r="S10" s="70">
        <v>99.88915333333334</v>
      </c>
      <c r="T10" s="70">
        <v>0.6</v>
      </c>
      <c r="U10" s="26">
        <f t="shared" ref="U10:U28" si="5">2*S10*T10/100</f>
        <v>1.19866984</v>
      </c>
    </row>
    <row r="11" spans="1:21" x14ac:dyDescent="0.25">
      <c r="A11" s="69" t="s">
        <v>61</v>
      </c>
      <c r="B11" s="95">
        <v>5.2199999999999136E-2</v>
      </c>
      <c r="C11" s="69">
        <v>19.9603</v>
      </c>
      <c r="D11" s="90">
        <v>5.0799999999999998E-2</v>
      </c>
      <c r="E11" s="88">
        <f t="shared" ref="E11:E27" si="6">+C11+D11</f>
        <v>20.011099999999999</v>
      </c>
      <c r="F11" s="65">
        <f t="shared" si="0"/>
        <v>383.35440613027453</v>
      </c>
      <c r="G11" s="72">
        <v>1.5679700000000001</v>
      </c>
      <c r="H11" s="73">
        <v>2.5</v>
      </c>
      <c r="I11" s="32">
        <f t="shared" si="1"/>
        <v>7.8398499999999996E-2</v>
      </c>
      <c r="J11" s="70">
        <v>13.073370000000001</v>
      </c>
      <c r="K11" s="70">
        <v>0.6</v>
      </c>
      <c r="L11" s="8">
        <f t="shared" si="2"/>
        <v>0.15688044000000001</v>
      </c>
      <c r="M11" s="70">
        <v>100.91068</v>
      </c>
      <c r="N11" s="70">
        <v>1</v>
      </c>
      <c r="O11" s="32">
        <f t="shared" si="3"/>
        <v>2.0182136000000002</v>
      </c>
      <c r="P11" s="70"/>
      <c r="Q11" s="70"/>
      <c r="R11" s="25">
        <f t="shared" si="4"/>
        <v>0</v>
      </c>
      <c r="S11" s="70"/>
      <c r="T11" s="70"/>
      <c r="U11" s="26">
        <f t="shared" si="5"/>
        <v>0</v>
      </c>
    </row>
    <row r="12" spans="1:21" x14ac:dyDescent="0.25">
      <c r="A12" s="69" t="s">
        <v>62</v>
      </c>
      <c r="B12" s="95">
        <v>2.0999999999986585E-3</v>
      </c>
      <c r="C12" s="69">
        <v>19.9679</v>
      </c>
      <c r="D12" s="90">
        <v>5.1299999999999998E-2</v>
      </c>
      <c r="E12" s="88">
        <f t="shared" si="6"/>
        <v>20.019200000000001</v>
      </c>
      <c r="F12" s="65">
        <f t="shared" si="0"/>
        <v>9532.9523809584716</v>
      </c>
      <c r="G12" s="72">
        <v>2.40158</v>
      </c>
      <c r="H12" s="73">
        <v>0.9</v>
      </c>
      <c r="I12" s="32">
        <f t="shared" si="1"/>
        <v>4.322844E-2</v>
      </c>
      <c r="J12" s="70">
        <v>8.19557</v>
      </c>
      <c r="K12" s="70">
        <v>0.6</v>
      </c>
      <c r="L12" s="8">
        <f t="shared" si="2"/>
        <v>9.8346839999999991E-2</v>
      </c>
      <c r="M12" s="70">
        <v>140.26963000000001</v>
      </c>
      <c r="N12" s="70">
        <v>0.4</v>
      </c>
      <c r="O12" s="32">
        <f t="shared" si="3"/>
        <v>1.1221570400000003</v>
      </c>
      <c r="P12" s="70"/>
      <c r="Q12" s="70"/>
      <c r="R12" s="25">
        <f t="shared" si="4"/>
        <v>0</v>
      </c>
      <c r="S12" s="70"/>
      <c r="T12" s="70"/>
      <c r="U12" s="26">
        <f t="shared" si="5"/>
        <v>0</v>
      </c>
    </row>
    <row r="13" spans="1:21" x14ac:dyDescent="0.25">
      <c r="A13" s="69"/>
      <c r="B13" s="95"/>
      <c r="C13" s="69"/>
      <c r="D13" s="90"/>
      <c r="E13" s="88">
        <f t="shared" si="6"/>
        <v>0</v>
      </c>
      <c r="F13" s="65" t="e">
        <f t="shared" si="0"/>
        <v>#DIV/0!</v>
      </c>
      <c r="G13" s="72"/>
      <c r="H13" s="73"/>
      <c r="I13" s="32">
        <f t="shared" si="1"/>
        <v>0</v>
      </c>
      <c r="J13" s="70"/>
      <c r="K13" s="70"/>
      <c r="L13" s="8">
        <f t="shared" si="2"/>
        <v>0</v>
      </c>
      <c r="M13" s="70"/>
      <c r="N13" s="70"/>
      <c r="O13" s="32">
        <f t="shared" si="3"/>
        <v>0</v>
      </c>
      <c r="P13" s="70"/>
      <c r="Q13" s="70"/>
      <c r="R13" s="25">
        <f t="shared" si="4"/>
        <v>0</v>
      </c>
      <c r="S13" s="70"/>
      <c r="T13" s="70"/>
      <c r="U13" s="26">
        <f t="shared" si="5"/>
        <v>0</v>
      </c>
    </row>
    <row r="14" spans="1:21" x14ac:dyDescent="0.25">
      <c r="A14" s="69" t="s">
        <v>54</v>
      </c>
      <c r="B14" s="95">
        <v>0.70699999999999996</v>
      </c>
      <c r="C14" s="69">
        <v>20.249300000000002</v>
      </c>
      <c r="D14" s="90">
        <v>0</v>
      </c>
      <c r="E14" s="88">
        <f t="shared" si="6"/>
        <v>20.249300000000002</v>
      </c>
      <c r="F14" s="65">
        <f t="shared" si="0"/>
        <v>28.641159830268744</v>
      </c>
      <c r="G14" s="72">
        <v>14.13123</v>
      </c>
      <c r="H14" s="73">
        <v>1.5</v>
      </c>
      <c r="I14" s="32">
        <f t="shared" si="1"/>
        <v>0.42393690000000001</v>
      </c>
      <c r="J14" s="70">
        <v>42.287149999999997</v>
      </c>
      <c r="K14" s="70">
        <v>0.7</v>
      </c>
      <c r="L14" s="8">
        <f t="shared" si="2"/>
        <v>0.59202009999999994</v>
      </c>
      <c r="M14" s="70">
        <v>204.98954000000001</v>
      </c>
      <c r="N14" s="70">
        <v>0.5</v>
      </c>
      <c r="O14" s="32">
        <f t="shared" si="3"/>
        <v>2.0498954</v>
      </c>
      <c r="P14" s="70">
        <v>3.3218899999999998</v>
      </c>
      <c r="Q14" s="70">
        <v>1.5</v>
      </c>
      <c r="R14" s="25">
        <f t="shared" si="4"/>
        <v>9.9656699999999987E-2</v>
      </c>
      <c r="S14" s="70">
        <v>140.21238333333332</v>
      </c>
      <c r="T14" s="70">
        <v>0.5</v>
      </c>
      <c r="U14" s="26">
        <f t="shared" si="5"/>
        <v>1.4021238333333332</v>
      </c>
    </row>
    <row r="15" spans="1:21" x14ac:dyDescent="0.25">
      <c r="A15" s="69" t="s">
        <v>55</v>
      </c>
      <c r="B15" s="95">
        <v>0.41020000000000001</v>
      </c>
      <c r="C15" s="69">
        <v>20.200099999999999</v>
      </c>
      <c r="D15" s="90">
        <v>0</v>
      </c>
      <c r="E15" s="88">
        <f t="shared" si="6"/>
        <v>20.200099999999999</v>
      </c>
      <c r="F15" s="65">
        <f t="shared" si="0"/>
        <v>49.244514870794731</v>
      </c>
      <c r="G15" s="72">
        <v>14.772180000000001</v>
      </c>
      <c r="H15" s="73">
        <v>0.7</v>
      </c>
      <c r="I15" s="32">
        <f t="shared" si="1"/>
        <v>0.20681052</v>
      </c>
      <c r="J15" s="70">
        <v>97.051010000000005</v>
      </c>
      <c r="K15" s="70">
        <v>0.7</v>
      </c>
      <c r="L15" s="8">
        <f t="shared" si="2"/>
        <v>1.3587141399999998</v>
      </c>
      <c r="M15" s="70">
        <v>235.35657</v>
      </c>
      <c r="N15" s="70">
        <v>0.6</v>
      </c>
      <c r="O15" s="32">
        <f t="shared" si="3"/>
        <v>2.8242788399999998</v>
      </c>
      <c r="P15" s="70">
        <v>3.9628399999999999</v>
      </c>
      <c r="Q15" s="70">
        <v>0.7</v>
      </c>
      <c r="R15" s="25">
        <f t="shared" si="4"/>
        <v>5.5479759999999996E-2</v>
      </c>
      <c r="S15" s="70">
        <v>170.57941333333332</v>
      </c>
      <c r="T15" s="70">
        <v>0.6</v>
      </c>
      <c r="U15" s="26">
        <f t="shared" si="5"/>
        <v>2.04695296</v>
      </c>
    </row>
    <row r="16" spans="1:21" x14ac:dyDescent="0.25">
      <c r="A16" s="69" t="s">
        <v>63</v>
      </c>
      <c r="B16" s="95">
        <v>7.2699999999999321E-2</v>
      </c>
      <c r="C16" s="69">
        <v>19.970199999999998</v>
      </c>
      <c r="D16" s="90">
        <v>5.0999999999999997E-2</v>
      </c>
      <c r="E16" s="88">
        <f t="shared" si="6"/>
        <v>20.021199999999997</v>
      </c>
      <c r="F16" s="65">
        <f t="shared" si="0"/>
        <v>275.39477303989247</v>
      </c>
      <c r="G16" s="72">
        <v>3.27488</v>
      </c>
      <c r="H16" s="73">
        <v>2.1</v>
      </c>
      <c r="I16" s="32">
        <f t="shared" si="1"/>
        <v>0.13754496000000002</v>
      </c>
      <c r="J16" s="70">
        <v>9.1483500000000006</v>
      </c>
      <c r="K16" s="70">
        <v>0.2</v>
      </c>
      <c r="L16" s="8">
        <f t="shared" si="2"/>
        <v>3.6593400000000005E-2</v>
      </c>
      <c r="M16" s="70">
        <v>111.27795999999999</v>
      </c>
      <c r="N16" s="70">
        <v>0.4</v>
      </c>
      <c r="O16" s="32">
        <f>2*M16*N16/100</f>
        <v>0.89022367999999996</v>
      </c>
      <c r="P16" s="70"/>
      <c r="Q16" s="70"/>
      <c r="R16" s="25">
        <f t="shared" si="4"/>
        <v>0</v>
      </c>
      <c r="S16" s="70"/>
      <c r="T16" s="70"/>
      <c r="U16" s="26">
        <f t="shared" si="5"/>
        <v>0</v>
      </c>
    </row>
    <row r="17" spans="1:21" x14ac:dyDescent="0.25">
      <c r="A17" s="69" t="s">
        <v>64</v>
      </c>
      <c r="B17" s="95">
        <v>1.300000000000523E-3</v>
      </c>
      <c r="C17" s="69">
        <v>19.953399999999998</v>
      </c>
      <c r="D17" s="90">
        <v>5.0700000000000002E-2</v>
      </c>
      <c r="E17" s="88">
        <f t="shared" si="6"/>
        <v>20.004099999999998</v>
      </c>
      <c r="F17" s="65">
        <f t="shared" si="0"/>
        <v>15387.769230763039</v>
      </c>
      <c r="G17" s="72">
        <v>1.5121100000000001</v>
      </c>
      <c r="H17" s="73">
        <v>1.4</v>
      </c>
      <c r="I17" s="32">
        <f t="shared" si="1"/>
        <v>4.2339079999999994E-2</v>
      </c>
      <c r="J17" s="70">
        <v>5.2618600000000004</v>
      </c>
      <c r="K17" s="70">
        <v>0.8</v>
      </c>
      <c r="L17" s="8">
        <f t="shared" si="2"/>
        <v>8.4189760000000002E-2</v>
      </c>
      <c r="M17" s="70">
        <v>104.44841</v>
      </c>
      <c r="N17" s="70">
        <v>0.6</v>
      </c>
      <c r="O17" s="32">
        <f>2*M17*N17/100</f>
        <v>1.2533809199999999</v>
      </c>
      <c r="P17" s="70"/>
      <c r="Q17" s="70"/>
      <c r="R17" s="25">
        <f t="shared" si="4"/>
        <v>0</v>
      </c>
      <c r="S17" s="70"/>
      <c r="T17" s="70"/>
      <c r="U17" s="26">
        <f t="shared" si="5"/>
        <v>0</v>
      </c>
    </row>
    <row r="18" spans="1:21" x14ac:dyDescent="0.25">
      <c r="A18" s="69"/>
      <c r="B18" s="95"/>
      <c r="C18" s="69"/>
      <c r="D18" s="90"/>
      <c r="E18" s="88">
        <f t="shared" si="6"/>
        <v>0</v>
      </c>
      <c r="F18" s="65" t="e">
        <f t="shared" si="0"/>
        <v>#DIV/0!</v>
      </c>
      <c r="G18" s="72"/>
      <c r="H18" s="73"/>
      <c r="I18" s="32">
        <f t="shared" si="1"/>
        <v>0</v>
      </c>
      <c r="J18" s="70"/>
      <c r="K18" s="70"/>
      <c r="L18" s="8">
        <f t="shared" si="2"/>
        <v>0</v>
      </c>
      <c r="M18" s="70"/>
      <c r="N18" s="70"/>
      <c r="O18" s="32">
        <f t="shared" si="3"/>
        <v>0</v>
      </c>
      <c r="P18" s="70"/>
      <c r="Q18" s="70"/>
      <c r="R18" s="25">
        <f t="shared" si="4"/>
        <v>0</v>
      </c>
      <c r="S18" s="70"/>
      <c r="T18" s="70"/>
      <c r="U18" s="26">
        <f t="shared" si="5"/>
        <v>0</v>
      </c>
    </row>
    <row r="19" spans="1:21" x14ac:dyDescent="0.25">
      <c r="A19" s="69" t="s">
        <v>56</v>
      </c>
      <c r="B19" s="95">
        <v>0.53569999999999995</v>
      </c>
      <c r="C19" s="69">
        <v>20.3216</v>
      </c>
      <c r="D19" s="90">
        <v>0</v>
      </c>
      <c r="E19" s="88">
        <f t="shared" si="6"/>
        <v>20.3216</v>
      </c>
      <c r="F19" s="65">
        <f t="shared" si="0"/>
        <v>37.934664924397985</v>
      </c>
      <c r="G19" s="72">
        <v>15.459390000000001</v>
      </c>
      <c r="H19" s="73">
        <v>0.7</v>
      </c>
      <c r="I19" s="32">
        <f t="shared" si="1"/>
        <v>0.21643146000000002</v>
      </c>
      <c r="J19" s="70">
        <v>36.828510000000001</v>
      </c>
      <c r="K19" s="70">
        <v>0.3</v>
      </c>
      <c r="L19" s="8">
        <f t="shared" si="2"/>
        <v>0.22097106</v>
      </c>
      <c r="M19" s="70">
        <v>143.46485000000001</v>
      </c>
      <c r="N19" s="70">
        <v>0.8</v>
      </c>
      <c r="O19" s="32">
        <f t="shared" si="3"/>
        <v>2.2954376000000001</v>
      </c>
      <c r="P19" s="70">
        <v>4.6500500000000002</v>
      </c>
      <c r="Q19" s="70">
        <v>0.7</v>
      </c>
      <c r="R19" s="25">
        <f t="shared" si="4"/>
        <v>6.5100699999999997E-2</v>
      </c>
      <c r="S19" s="70">
        <v>78.687693333333343</v>
      </c>
      <c r="T19" s="70">
        <v>0.8</v>
      </c>
      <c r="U19" s="26">
        <f t="shared" si="5"/>
        <v>1.2590030933333336</v>
      </c>
    </row>
    <row r="20" spans="1:21" x14ac:dyDescent="0.25">
      <c r="A20" s="69" t="s">
        <v>57</v>
      </c>
      <c r="B20" s="95">
        <v>0.4138</v>
      </c>
      <c r="C20" s="69">
        <v>20.194199999999999</v>
      </c>
      <c r="D20" s="90">
        <v>0</v>
      </c>
      <c r="E20" s="88">
        <f t="shared" si="6"/>
        <v>20.194199999999999</v>
      </c>
      <c r="F20" s="65">
        <f t="shared" si="0"/>
        <v>48.801836636056059</v>
      </c>
      <c r="G20" s="72">
        <v>15.70678</v>
      </c>
      <c r="H20" s="73">
        <v>1.2</v>
      </c>
      <c r="I20" s="32">
        <f t="shared" si="1"/>
        <v>0.37696272000000003</v>
      </c>
      <c r="J20" s="70">
        <v>38.80735</v>
      </c>
      <c r="K20" s="70">
        <v>1</v>
      </c>
      <c r="L20" s="8">
        <f t="shared" si="2"/>
        <v>0.77614700000000003</v>
      </c>
      <c r="M20" s="70">
        <v>203.88781</v>
      </c>
      <c r="N20" s="70">
        <v>0.6</v>
      </c>
      <c r="O20" s="32">
        <f t="shared" si="3"/>
        <v>2.44665372</v>
      </c>
      <c r="P20" s="70">
        <v>4.8974399999999996</v>
      </c>
      <c r="Q20" s="70">
        <v>1.2</v>
      </c>
      <c r="R20" s="25">
        <f t="shared" si="4"/>
        <v>0.11753855999999999</v>
      </c>
      <c r="S20" s="70">
        <v>139.11065333333335</v>
      </c>
      <c r="T20" s="70">
        <v>0.6</v>
      </c>
      <c r="U20" s="26">
        <f t="shared" si="5"/>
        <v>1.66932784</v>
      </c>
    </row>
    <row r="21" spans="1:21" x14ac:dyDescent="0.25">
      <c r="A21" s="69" t="s">
        <v>65</v>
      </c>
      <c r="B21" s="95">
        <v>4.1599999999998971E-2</v>
      </c>
      <c r="C21" s="69">
        <v>19.907</v>
      </c>
      <c r="D21" s="90">
        <v>5.1200000000000002E-2</v>
      </c>
      <c r="E21" s="88">
        <f t="shared" si="6"/>
        <v>19.958200000000001</v>
      </c>
      <c r="F21" s="65">
        <f t="shared" si="0"/>
        <v>479.76442307693497</v>
      </c>
      <c r="G21" s="72">
        <v>2.2231000000000001</v>
      </c>
      <c r="H21" s="73">
        <v>2.6</v>
      </c>
      <c r="I21" s="32">
        <f t="shared" si="1"/>
        <v>0.11560120000000002</v>
      </c>
      <c r="J21" s="70">
        <v>8.6493800000000007</v>
      </c>
      <c r="K21" s="70">
        <v>0.5</v>
      </c>
      <c r="L21" s="8">
        <f t="shared" si="2"/>
        <v>8.649380000000001E-2</v>
      </c>
      <c r="M21" s="70">
        <v>94.048910000000006</v>
      </c>
      <c r="N21" s="70">
        <v>0.3</v>
      </c>
      <c r="O21" s="32">
        <f t="shared" si="3"/>
        <v>0.56429346000000002</v>
      </c>
      <c r="P21" s="70"/>
      <c r="Q21" s="70"/>
      <c r="R21" s="25">
        <f t="shared" si="4"/>
        <v>0</v>
      </c>
      <c r="S21" s="70"/>
      <c r="T21" s="70"/>
      <c r="U21" s="26">
        <f t="shared" si="5"/>
        <v>0</v>
      </c>
    </row>
    <row r="22" spans="1:21" x14ac:dyDescent="0.25">
      <c r="A22" s="69" t="s">
        <v>66</v>
      </c>
      <c r="B22" s="95">
        <v>1.6600000000000392E-2</v>
      </c>
      <c r="C22" s="69">
        <v>19.957799999999999</v>
      </c>
      <c r="D22" s="90">
        <v>5.0799999999999998E-2</v>
      </c>
      <c r="E22" s="88">
        <f t="shared" si="6"/>
        <v>20.008599999999998</v>
      </c>
      <c r="F22" s="65">
        <f t="shared" si="0"/>
        <v>1205.3373493975616</v>
      </c>
      <c r="G22" s="72">
        <v>2.3882599999999998</v>
      </c>
      <c r="H22" s="73">
        <v>2</v>
      </c>
      <c r="I22" s="32">
        <f t="shared" si="1"/>
        <v>9.5530399999999988E-2</v>
      </c>
      <c r="J22" s="70">
        <v>6.8479799999999997</v>
      </c>
      <c r="K22" s="70">
        <v>0.7</v>
      </c>
      <c r="L22" s="8">
        <f t="shared" si="2"/>
        <v>9.5871719999999994E-2</v>
      </c>
      <c r="M22" s="70">
        <v>116.19016000000001</v>
      </c>
      <c r="N22" s="70">
        <v>0.4</v>
      </c>
      <c r="O22" s="32">
        <f t="shared" si="3"/>
        <v>0.92952128000000012</v>
      </c>
      <c r="P22" s="70"/>
      <c r="Q22" s="70"/>
      <c r="R22" s="25">
        <f t="shared" si="4"/>
        <v>0</v>
      </c>
      <c r="S22" s="70"/>
      <c r="T22" s="70"/>
      <c r="U22" s="26">
        <f t="shared" si="5"/>
        <v>0</v>
      </c>
    </row>
    <row r="23" spans="1:21" x14ac:dyDescent="0.25">
      <c r="A23" s="69"/>
      <c r="B23" s="84"/>
      <c r="C23" s="69"/>
      <c r="D23" s="90"/>
      <c r="E23" s="88">
        <f t="shared" si="6"/>
        <v>0</v>
      </c>
      <c r="F23" s="65" t="e">
        <f t="shared" si="0"/>
        <v>#DIV/0!</v>
      </c>
      <c r="G23" s="72"/>
      <c r="H23" s="73"/>
      <c r="I23" s="32">
        <f t="shared" si="1"/>
        <v>0</v>
      </c>
      <c r="J23" s="70"/>
      <c r="K23" s="70"/>
      <c r="L23" s="8">
        <f t="shared" si="2"/>
        <v>0</v>
      </c>
      <c r="M23" s="70"/>
      <c r="N23" s="70"/>
      <c r="O23" s="32">
        <f t="shared" si="3"/>
        <v>0</v>
      </c>
      <c r="P23" s="70"/>
      <c r="Q23" s="70"/>
      <c r="R23" s="25">
        <f t="shared" si="4"/>
        <v>0</v>
      </c>
      <c r="S23" s="70"/>
      <c r="T23" s="70"/>
      <c r="U23" s="26">
        <f t="shared" si="5"/>
        <v>0</v>
      </c>
    </row>
    <row r="24" spans="1:21" x14ac:dyDescent="0.25">
      <c r="A24" s="69" t="s">
        <v>58</v>
      </c>
      <c r="B24" s="84">
        <v>1</v>
      </c>
      <c r="C24" s="69">
        <v>20.172599999999999</v>
      </c>
      <c r="D24" s="90">
        <v>0</v>
      </c>
      <c r="E24" s="88">
        <f t="shared" si="6"/>
        <v>20.172599999999999</v>
      </c>
      <c r="F24" s="65">
        <f t="shared" si="0"/>
        <v>20.172599999999999</v>
      </c>
      <c r="G24" s="72">
        <v>10.913880000000001</v>
      </c>
      <c r="H24" s="73">
        <v>1.4</v>
      </c>
      <c r="I24" s="32">
        <f t="shared" si="1"/>
        <v>0.30558864000000002</v>
      </c>
      <c r="J24" s="70">
        <v>0.71626999999999996</v>
      </c>
      <c r="K24" s="70">
        <v>1</v>
      </c>
      <c r="L24" s="8">
        <f t="shared" si="2"/>
        <v>1.4325399999999999E-2</v>
      </c>
      <c r="M24" s="70">
        <v>58.986899999999999</v>
      </c>
      <c r="N24" s="70">
        <v>1.9</v>
      </c>
      <c r="O24" s="32">
        <f t="shared" si="3"/>
        <v>2.2415021999999998</v>
      </c>
      <c r="P24" s="70"/>
      <c r="Q24" s="70"/>
      <c r="R24" s="25">
        <f t="shared" si="4"/>
        <v>0</v>
      </c>
      <c r="S24" s="70"/>
      <c r="T24" s="70"/>
      <c r="U24" s="26">
        <f t="shared" si="5"/>
        <v>0</v>
      </c>
    </row>
    <row r="25" spans="1:21" x14ac:dyDescent="0.25">
      <c r="A25" s="69" t="s">
        <v>59</v>
      </c>
      <c r="B25" s="84">
        <v>1</v>
      </c>
      <c r="C25" s="69">
        <v>20.189900000000002</v>
      </c>
      <c r="D25" s="90">
        <v>0</v>
      </c>
      <c r="E25" s="88">
        <f t="shared" si="6"/>
        <v>20.189900000000002</v>
      </c>
      <c r="F25" s="65">
        <f t="shared" si="0"/>
        <v>20.189900000000002</v>
      </c>
      <c r="G25" s="72">
        <v>10.774380000000001</v>
      </c>
      <c r="H25" s="73">
        <v>1.3</v>
      </c>
      <c r="I25" s="32">
        <f t="shared" si="1"/>
        <v>0.28013388</v>
      </c>
      <c r="J25" s="70">
        <v>0.44134000000000001</v>
      </c>
      <c r="K25" s="70">
        <v>1.9</v>
      </c>
      <c r="L25" s="8">
        <f t="shared" si="2"/>
        <v>1.6770920000000002E-2</v>
      </c>
      <c r="M25" s="70">
        <v>58.418080000000003</v>
      </c>
      <c r="N25" s="70">
        <v>0.3</v>
      </c>
      <c r="O25" s="32">
        <f t="shared" si="3"/>
        <v>0.35050848000000001</v>
      </c>
      <c r="P25" s="70"/>
      <c r="Q25" s="70"/>
      <c r="R25" s="25">
        <f t="shared" si="4"/>
        <v>0</v>
      </c>
      <c r="S25" s="70"/>
      <c r="T25" s="70"/>
      <c r="U25" s="26">
        <f t="shared" si="5"/>
        <v>0</v>
      </c>
    </row>
    <row r="26" spans="1:21" x14ac:dyDescent="0.25">
      <c r="A26" s="69" t="s">
        <v>60</v>
      </c>
      <c r="B26" s="84">
        <v>1</v>
      </c>
      <c r="C26" s="69">
        <v>20.168399999999998</v>
      </c>
      <c r="D26" s="90">
        <v>0</v>
      </c>
      <c r="E26" s="88">
        <f t="shared" si="6"/>
        <v>20.168399999999998</v>
      </c>
      <c r="F26" s="65">
        <f t="shared" si="0"/>
        <v>20.168399999999998</v>
      </c>
      <c r="G26" s="72">
        <v>10.73976</v>
      </c>
      <c r="H26" s="73">
        <v>1</v>
      </c>
      <c r="I26" s="32">
        <f t="shared" si="1"/>
        <v>0.21479520000000002</v>
      </c>
      <c r="J26" s="70">
        <v>0.74817</v>
      </c>
      <c r="K26" s="70">
        <v>1.4</v>
      </c>
      <c r="L26" s="8">
        <f t="shared" si="2"/>
        <v>2.0948759999999997E-2</v>
      </c>
      <c r="M26" s="70">
        <v>76.926490000000001</v>
      </c>
      <c r="N26" s="70">
        <v>0.2</v>
      </c>
      <c r="O26" s="32">
        <f t="shared" si="3"/>
        <v>0.30770596</v>
      </c>
      <c r="P26" s="70"/>
      <c r="Q26" s="70"/>
      <c r="R26" s="25">
        <f t="shared" si="4"/>
        <v>0</v>
      </c>
      <c r="S26" s="70"/>
      <c r="T26" s="70"/>
      <c r="U26" s="26">
        <f t="shared" si="5"/>
        <v>0</v>
      </c>
    </row>
    <row r="27" spans="1:21" x14ac:dyDescent="0.25">
      <c r="A27" s="69"/>
      <c r="B27" s="84"/>
      <c r="C27" s="69"/>
      <c r="D27" s="90"/>
      <c r="E27" s="88">
        <f t="shared" si="6"/>
        <v>0</v>
      </c>
      <c r="F27" s="65" t="e">
        <f t="shared" si="0"/>
        <v>#DIV/0!</v>
      </c>
      <c r="G27" s="72"/>
      <c r="H27" s="73"/>
      <c r="I27" s="32">
        <f t="shared" si="1"/>
        <v>0</v>
      </c>
      <c r="J27" s="70"/>
      <c r="K27" s="70"/>
      <c r="L27" s="8">
        <f t="shared" si="2"/>
        <v>0</v>
      </c>
      <c r="M27" s="70"/>
      <c r="N27" s="70"/>
      <c r="O27" s="32">
        <f t="shared" si="3"/>
        <v>0</v>
      </c>
      <c r="P27" s="70"/>
      <c r="Q27" s="70"/>
      <c r="R27" s="25">
        <f t="shared" si="4"/>
        <v>0</v>
      </c>
      <c r="S27" s="70"/>
      <c r="T27" s="70"/>
      <c r="U27" s="26">
        <f t="shared" si="5"/>
        <v>0</v>
      </c>
    </row>
    <row r="28" spans="1:21" ht="15.75" thickBot="1" x14ac:dyDescent="0.3">
      <c r="A28" s="69"/>
      <c r="B28" s="85"/>
      <c r="C28" s="91"/>
      <c r="D28" s="92"/>
      <c r="E28" s="89">
        <f>+C28+D28</f>
        <v>0</v>
      </c>
      <c r="F28" s="66" t="e">
        <f t="shared" si="0"/>
        <v>#DIV/0!</v>
      </c>
      <c r="G28" s="72"/>
      <c r="H28" s="73"/>
      <c r="I28" s="32">
        <f t="shared" si="1"/>
        <v>0</v>
      </c>
      <c r="J28" s="70"/>
      <c r="K28" s="70"/>
      <c r="L28" s="8">
        <f t="shared" si="2"/>
        <v>0</v>
      </c>
      <c r="M28" s="70"/>
      <c r="N28" s="70"/>
      <c r="O28" s="32">
        <f t="shared" si="3"/>
        <v>0</v>
      </c>
      <c r="P28" s="70"/>
      <c r="Q28" s="70"/>
      <c r="R28" s="25">
        <f t="shared" si="4"/>
        <v>0</v>
      </c>
      <c r="S28" s="70"/>
      <c r="T28" s="70"/>
      <c r="U28" s="26">
        <f t="shared" si="5"/>
        <v>0</v>
      </c>
    </row>
    <row r="32" spans="1:21" x14ac:dyDescent="0.25">
      <c r="A32" s="2" t="s">
        <v>19</v>
      </c>
    </row>
    <row r="33" spans="1:16" ht="15.75" thickBot="1" x14ac:dyDescent="0.3"/>
    <row r="34" spans="1:16" x14ac:dyDescent="0.25">
      <c r="A34" s="28"/>
      <c r="B34" s="43" t="str">
        <f>G7</f>
        <v>Element 1</v>
      </c>
      <c r="C34" s="5"/>
      <c r="D34" s="6"/>
      <c r="E34" s="43" t="str">
        <f>J7</f>
        <v>Element 2</v>
      </c>
      <c r="F34" s="5"/>
      <c r="G34" s="6"/>
      <c r="H34" s="43" t="str">
        <f>M7</f>
        <v>Element 3</v>
      </c>
      <c r="I34" s="5"/>
      <c r="J34" s="6"/>
      <c r="K34" s="43" t="str">
        <f>P7</f>
        <v>Element 4</v>
      </c>
      <c r="L34" s="5"/>
      <c r="M34" s="6"/>
      <c r="N34" s="44" t="str">
        <f>S7</f>
        <v>Element 5</v>
      </c>
      <c r="O34" s="5"/>
      <c r="P34" s="6"/>
    </row>
    <row r="35" spans="1:16" s="1" customFormat="1" ht="48.75" customHeight="1" thickBot="1" x14ac:dyDescent="0.3">
      <c r="A35" s="29" t="s">
        <v>0</v>
      </c>
      <c r="B35" s="31" t="str">
        <f>G8</f>
        <v>Ni</v>
      </c>
      <c r="C35" s="62" t="s">
        <v>6</v>
      </c>
      <c r="D35" s="63" t="s">
        <v>7</v>
      </c>
      <c r="E35" s="31" t="str">
        <f>J8</f>
        <v>Pb</v>
      </c>
      <c r="F35" s="62" t="s">
        <v>6</v>
      </c>
      <c r="G35" s="63" t="s">
        <v>7</v>
      </c>
      <c r="H35" s="31" t="str">
        <f>M8</f>
        <v>Zn</v>
      </c>
      <c r="I35" s="62" t="s">
        <v>6</v>
      </c>
      <c r="J35" s="63" t="s">
        <v>7</v>
      </c>
      <c r="K35" s="31" t="str">
        <f>P8</f>
        <v>Ni-BLK corrected</v>
      </c>
      <c r="L35" s="62" t="s">
        <v>6</v>
      </c>
      <c r="M35" s="63" t="s">
        <v>7</v>
      </c>
      <c r="N35" s="30" t="str">
        <f>'LOD calculation'!B59</f>
        <v>Zn-BLK corrected</v>
      </c>
      <c r="O35" s="62" t="s">
        <v>6</v>
      </c>
      <c r="P35" s="63" t="s">
        <v>7</v>
      </c>
    </row>
    <row r="36" spans="1:16" x14ac:dyDescent="0.25">
      <c r="A36" s="22" t="str">
        <f>A9</f>
        <v>MD01</v>
      </c>
      <c r="B36" s="98">
        <f t="shared" ref="B36:B55" si="7">G9*$F9/1000</f>
        <v>0.57210091880859071</v>
      </c>
      <c r="C36" s="99">
        <f t="shared" ref="C36:C55" si="8">I9*$F9/1000</f>
        <v>1.0297816538554633E-2</v>
      </c>
      <c r="D36" s="111">
        <f>'LOD calculation'!$D$32*$F9/1000</f>
        <v>8.4981413128879663E-5</v>
      </c>
      <c r="E36" s="96">
        <f t="shared" ref="E36:E55" si="9">J9*F9/1000</f>
        <v>11.201677755773632</v>
      </c>
      <c r="F36" s="97">
        <f t="shared" ref="F36:F55" si="10">L9*F9/1000</f>
        <v>0.11201677755773631</v>
      </c>
      <c r="G36" s="110">
        <f>'LOD calculation'!$I$32*F9/1000</f>
        <v>6.2385477671716553E-6</v>
      </c>
      <c r="H36" s="98">
        <f t="shared" ref="H36:H55" si="11">(M9*F9)/1000</f>
        <v>10.603824043567956</v>
      </c>
      <c r="I36" s="99">
        <f t="shared" ref="I36:I55" si="12">O9*F9/1000</f>
        <v>8.4830592348543662E-2</v>
      </c>
      <c r="J36" s="111">
        <f>'LOD calculation'!$D$57*F9/1000</f>
        <v>3.9679095456427496E-5</v>
      </c>
      <c r="K36" s="119">
        <f t="shared" ref="K36:K55" si="13">P9*F9/1000</f>
        <v>0.22988253519987462</v>
      </c>
      <c r="L36" s="102">
        <f t="shared" ref="L36:L55" si="14">R9*F9/1000</f>
        <v>4.1378856335977428E-3</v>
      </c>
      <c r="M36" s="111">
        <f>'LOD calculation'!$I$57*F9/1000</f>
        <v>8.4981413128879663E-5</v>
      </c>
      <c r="N36" s="121">
        <f t="shared" ref="N36:N55" si="15">S9*F9/1000</f>
        <v>8.5530111494194472</v>
      </c>
      <c r="O36" s="99">
        <f t="shared" ref="O36:O55" si="16">U9*F9/1000</f>
        <v>6.8424089195355586E-2</v>
      </c>
      <c r="P36" s="111">
        <f>'LOD calculation'!$D$82*F9/1000</f>
        <v>3.9679095456427496E-5</v>
      </c>
    </row>
    <row r="37" spans="1:16" x14ac:dyDescent="0.25">
      <c r="A37" s="27" t="str">
        <f>A10</f>
        <v>MS01</v>
      </c>
      <c r="B37" s="103">
        <f t="shared" si="7"/>
        <v>0.91999446825669207</v>
      </c>
      <c r="C37" s="104">
        <f t="shared" si="8"/>
        <v>9.1999446825669212E-3</v>
      </c>
      <c r="D37" s="112">
        <f>'LOD calculation'!$D$32*$F10/1000</f>
        <v>1.8595250189940181E-4</v>
      </c>
      <c r="E37" s="100">
        <f t="shared" si="9"/>
        <v>2.7968513509951958</v>
      </c>
      <c r="F37" s="101">
        <f t="shared" si="10"/>
        <v>4.4749621615923135E-2</v>
      </c>
      <c r="G37" s="113">
        <f>'LOD calculation'!$I$32*F10/1000</f>
        <v>1.3650909331963821E-5</v>
      </c>
      <c r="H37" s="117">
        <f t="shared" si="11"/>
        <v>11.407408373266989</v>
      </c>
      <c r="I37" s="118">
        <f t="shared" si="12"/>
        <v>0.13688890047920388</v>
      </c>
      <c r="J37" s="116">
        <f>'LOD calculation'!$D$57*F10/1000</f>
        <v>8.6824010116636093E-5</v>
      </c>
      <c r="K37" s="109">
        <f t="shared" si="13"/>
        <v>0.17116760971173647</v>
      </c>
      <c r="L37" s="8">
        <f t="shared" si="14"/>
        <v>1.7116760971173648E-3</v>
      </c>
      <c r="M37" s="115">
        <f>'LOD calculation'!$I$57*F10/1000</f>
        <v>1.8595250189940181E-4</v>
      </c>
      <c r="N37" s="122">
        <f t="shared" si="15"/>
        <v>6.9199119366506538</v>
      </c>
      <c r="O37" s="108">
        <f t="shared" si="16"/>
        <v>8.303894323980783E-2</v>
      </c>
      <c r="P37" s="116">
        <f>'LOD calculation'!$D$82*F10/1000</f>
        <v>8.6824010116636093E-5</v>
      </c>
    </row>
    <row r="38" spans="1:16" x14ac:dyDescent="0.25">
      <c r="A38" s="27" t="str">
        <f t="shared" ref="A38:A55" si="17">A11</f>
        <v>MD01 Rinse</v>
      </c>
      <c r="B38" s="100">
        <f t="shared" si="7"/>
        <v>0.60108820818008657</v>
      </c>
      <c r="C38" s="101">
        <f t="shared" si="8"/>
        <v>3.0054410409004327E-2</v>
      </c>
      <c r="D38" s="128">
        <f>'LOD calculation'!$D$32*$F11/1000</f>
        <v>1.0290115503141651E-3</v>
      </c>
      <c r="E38" s="100">
        <f t="shared" si="9"/>
        <v>5.0117339924713473</v>
      </c>
      <c r="F38" s="101">
        <f t="shared" si="10"/>
        <v>6.0140807909656167E-2</v>
      </c>
      <c r="G38" s="113">
        <f>'LOD calculation'!$I$32*F11/1000</f>
        <v>7.5540491423349779E-5</v>
      </c>
      <c r="H38" s="117">
        <f t="shared" si="11"/>
        <v>38.684553803602171</v>
      </c>
      <c r="I38" s="118">
        <f t="shared" si="12"/>
        <v>0.77369107607204357</v>
      </c>
      <c r="J38" s="115">
        <f>'LOD calculation'!$D$57*F11/1000</f>
        <v>4.804609152446143E-4</v>
      </c>
      <c r="K38" s="36">
        <f t="shared" si="13"/>
        <v>0</v>
      </c>
      <c r="L38" s="37">
        <f t="shared" si="14"/>
        <v>0</v>
      </c>
      <c r="M38" s="39">
        <f>'LOD calculation'!$I$57*F11/1000</f>
        <v>1.0290115503141651E-3</v>
      </c>
      <c r="N38" s="38">
        <f t="shared" si="15"/>
        <v>0</v>
      </c>
      <c r="O38" s="37">
        <f t="shared" si="16"/>
        <v>0</v>
      </c>
      <c r="P38" s="39">
        <f>'LOD calculation'!$D$82*F11/1000</f>
        <v>4.804609152446143E-4</v>
      </c>
    </row>
    <row r="39" spans="1:16" x14ac:dyDescent="0.25">
      <c r="A39" s="27" t="str">
        <f t="shared" si="17"/>
        <v>MS01 Rinse</v>
      </c>
      <c r="B39" s="126">
        <f t="shared" si="7"/>
        <v>22.894147779062248</v>
      </c>
      <c r="C39" s="127">
        <f t="shared" si="8"/>
        <v>0.4120946600231204</v>
      </c>
      <c r="D39" s="40">
        <f>'LOD calculation'!$D$32*$F12/1000</f>
        <v>2.5588640567933481E-2</v>
      </c>
      <c r="E39" s="126">
        <f t="shared" si="9"/>
        <v>78.127978544811825</v>
      </c>
      <c r="F39" s="127">
        <f t="shared" si="10"/>
        <v>0.93753574253774175</v>
      </c>
      <c r="G39" s="128">
        <f>'LOD calculation'!$I$32*F12/1000</f>
        <v>1.8784808418982331E-3</v>
      </c>
      <c r="H39" s="36">
        <f t="shared" si="11"/>
        <v>1337.1837032846638</v>
      </c>
      <c r="I39" s="37">
        <f t="shared" si="12"/>
        <v>10.697469626277314</v>
      </c>
      <c r="J39" s="130">
        <f>'LOD calculation'!$D$57*F12/1000</f>
        <v>1.1947719793214399E-2</v>
      </c>
      <c r="K39" s="36">
        <f t="shared" si="13"/>
        <v>0</v>
      </c>
      <c r="L39" s="37">
        <f t="shared" si="14"/>
        <v>0</v>
      </c>
      <c r="M39" s="39">
        <f>'LOD calculation'!$I$57*F12/1000</f>
        <v>2.5588640567933481E-2</v>
      </c>
      <c r="N39" s="38">
        <f t="shared" si="15"/>
        <v>0</v>
      </c>
      <c r="O39" s="37">
        <f t="shared" si="16"/>
        <v>0</v>
      </c>
      <c r="P39" s="39">
        <f>'LOD calculation'!$D$82*F12/1000</f>
        <v>1.1947719793214399E-2</v>
      </c>
    </row>
    <row r="40" spans="1:16" x14ac:dyDescent="0.25">
      <c r="A40" s="27">
        <f t="shared" si="17"/>
        <v>0</v>
      </c>
      <c r="B40" s="33" t="e">
        <f t="shared" si="7"/>
        <v>#DIV/0!</v>
      </c>
      <c r="C40" s="34" t="e">
        <f t="shared" si="8"/>
        <v>#DIV/0!</v>
      </c>
      <c r="D40" s="35" t="e">
        <f>'LOD calculation'!$D$32*$F13/1000</f>
        <v>#DIV/0!</v>
      </c>
      <c r="E40" s="33" t="e">
        <f t="shared" si="9"/>
        <v>#DIV/0!</v>
      </c>
      <c r="F40" s="34" t="e">
        <f t="shared" si="10"/>
        <v>#DIV/0!</v>
      </c>
      <c r="G40" s="35" t="e">
        <f>'LOD calculation'!$I$32*F13/1000</f>
        <v>#DIV/0!</v>
      </c>
      <c r="H40" s="36" t="e">
        <f t="shared" si="11"/>
        <v>#DIV/0!</v>
      </c>
      <c r="I40" s="37" t="e">
        <f t="shared" si="12"/>
        <v>#DIV/0!</v>
      </c>
      <c r="J40" s="39" t="e">
        <f>'LOD calculation'!$D$57*F13/1000</f>
        <v>#DIV/0!</v>
      </c>
      <c r="K40" s="36" t="e">
        <f t="shared" si="13"/>
        <v>#DIV/0!</v>
      </c>
      <c r="L40" s="37" t="e">
        <f t="shared" si="14"/>
        <v>#DIV/0!</v>
      </c>
      <c r="M40" s="39" t="e">
        <f>'LOD calculation'!$I$57*F13/1000</f>
        <v>#DIV/0!</v>
      </c>
      <c r="N40" s="38" t="e">
        <f t="shared" si="15"/>
        <v>#DIV/0!</v>
      </c>
      <c r="O40" s="37" t="e">
        <f t="shared" si="16"/>
        <v>#DIV/0!</v>
      </c>
      <c r="P40" s="39" t="e">
        <f>'LOD calculation'!$D$82*F13/1000</f>
        <v>#DIV/0!</v>
      </c>
    </row>
    <row r="41" spans="1:16" x14ac:dyDescent="0.25">
      <c r="A41" s="27" t="str">
        <f t="shared" si="17"/>
        <v>MD03</v>
      </c>
      <c r="B41" s="100">
        <f t="shared" si="7"/>
        <v>0.40473481702828862</v>
      </c>
      <c r="C41" s="101">
        <f t="shared" si="8"/>
        <v>1.2142044510848658E-2</v>
      </c>
      <c r="D41" s="113">
        <f>'LOD calculation'!$D$32*$F14/1000</f>
        <v>7.6879471863237699E-5</v>
      </c>
      <c r="E41" s="100">
        <f t="shared" si="9"/>
        <v>1.2111530219165487</v>
      </c>
      <c r="F41" s="101">
        <f t="shared" si="10"/>
        <v>1.6956142306831682E-2</v>
      </c>
      <c r="G41" s="114">
        <f>'LOD calculation'!$I$32*F14/1000</f>
        <v>5.6437783260484185E-6</v>
      </c>
      <c r="H41" s="107">
        <f t="shared" si="11"/>
        <v>5.8711381786732684</v>
      </c>
      <c r="I41" s="108">
        <f t="shared" si="12"/>
        <v>5.8711381786732679E-2</v>
      </c>
      <c r="J41" s="116">
        <f>'LOD calculation'!$D$57*F14/1000</f>
        <v>3.5896177650927656E-5</v>
      </c>
      <c r="K41" s="109">
        <f t="shared" si="13"/>
        <v>9.5142782428571437E-2</v>
      </c>
      <c r="L41" s="8">
        <f t="shared" si="14"/>
        <v>2.8542834728571428E-3</v>
      </c>
      <c r="M41" s="116">
        <f>'LOD calculation'!$I$57*F14/1000</f>
        <v>7.6879471863237699E-5</v>
      </c>
      <c r="N41" s="122">
        <f t="shared" si="15"/>
        <v>4.0158452812329095</v>
      </c>
      <c r="O41" s="108">
        <f t="shared" si="16"/>
        <v>4.0158452812329097E-2</v>
      </c>
      <c r="P41" s="116">
        <f>'LOD calculation'!$D$82*F14/1000</f>
        <v>3.5896177650927656E-5</v>
      </c>
    </row>
    <row r="42" spans="1:16" x14ac:dyDescent="0.25">
      <c r="A42" s="27" t="str">
        <f t="shared" si="17"/>
        <v>MS03</v>
      </c>
      <c r="B42" s="100">
        <f t="shared" si="7"/>
        <v>0.72744883768405655</v>
      </c>
      <c r="C42" s="101">
        <f t="shared" si="8"/>
        <v>1.0184283727576791E-2</v>
      </c>
      <c r="D42" s="112">
        <f>'LOD calculation'!$D$32*$F15/1000</f>
        <v>1.3218362377305059E-4</v>
      </c>
      <c r="E42" s="100">
        <f t="shared" si="9"/>
        <v>4.7792299051706486</v>
      </c>
      <c r="F42" s="101">
        <f t="shared" si="10"/>
        <v>6.6909218672389054E-2</v>
      </c>
      <c r="G42" s="113">
        <f>'LOD calculation'!$I$32*F15/1000</f>
        <v>9.7036966153459198E-6</v>
      </c>
      <c r="H42" s="117">
        <f t="shared" si="11"/>
        <v>11.590020111304241</v>
      </c>
      <c r="I42" s="118">
        <f t="shared" si="12"/>
        <v>0.13908024133565089</v>
      </c>
      <c r="J42" s="116">
        <f>'LOD calculation'!$D$57*F15/1000</f>
        <v>6.1718515053557795E-5</v>
      </c>
      <c r="K42" s="109">
        <f t="shared" si="13"/>
        <v>0.1951481333105802</v>
      </c>
      <c r="L42" s="8">
        <f t="shared" si="14"/>
        <v>2.7320738663481224E-3</v>
      </c>
      <c r="M42" s="115">
        <f>'LOD calculation'!$I$57*F15/1000</f>
        <v>1.3218362377305059E-4</v>
      </c>
      <c r="N42" s="123">
        <f t="shared" si="15"/>
        <v>8.4001004565447737</v>
      </c>
      <c r="O42" s="118">
        <f t="shared" si="16"/>
        <v>0.1008012054785373</v>
      </c>
      <c r="P42" s="116">
        <f>'LOD calculation'!$D$82*F15/1000</f>
        <v>6.1718515053557795E-5</v>
      </c>
    </row>
    <row r="43" spans="1:16" x14ac:dyDescent="0.25">
      <c r="A43" s="27" t="str">
        <f t="shared" si="17"/>
        <v>MD03 Rinse</v>
      </c>
      <c r="B43" s="100">
        <f t="shared" si="7"/>
        <v>0.90188483433288313</v>
      </c>
      <c r="C43" s="101">
        <f t="shared" si="8"/>
        <v>3.7879163041981093E-2</v>
      </c>
      <c r="D43" s="113">
        <f>'LOD calculation'!$D$32*$F16/1000</f>
        <v>7.3922302136758414E-4</v>
      </c>
      <c r="E43" s="100">
        <f t="shared" si="9"/>
        <v>2.5194077719395005</v>
      </c>
      <c r="F43" s="101">
        <f t="shared" si="10"/>
        <v>1.0077631087758002E-2</v>
      </c>
      <c r="G43" s="113">
        <f>'LOD calculation'!$I$32*F16/1000</f>
        <v>5.4266903309794645E-5</v>
      </c>
      <c r="H43" s="117">
        <f>(M16*F16)/1000</f>
        <v>30.645368538542233</v>
      </c>
      <c r="I43" s="118">
        <f t="shared" si="12"/>
        <v>0.24516294830833785</v>
      </c>
      <c r="J43" s="115">
        <f>'LOD calculation'!$D$57*F16/1000</f>
        <v>3.4515430784787894E-4</v>
      </c>
      <c r="K43" s="36">
        <f t="shared" si="13"/>
        <v>0</v>
      </c>
      <c r="L43" s="37">
        <f t="shared" si="14"/>
        <v>0</v>
      </c>
      <c r="M43" s="39">
        <f>'LOD calculation'!$I$57*F16/1000</f>
        <v>7.3922302136758414E-4</v>
      </c>
      <c r="N43" s="38">
        <f t="shared" si="15"/>
        <v>0</v>
      </c>
      <c r="O43" s="37">
        <f t="shared" si="16"/>
        <v>0</v>
      </c>
      <c r="P43" s="39">
        <f>'LOD calculation'!$D$82*F16/1000</f>
        <v>3.4515430784787894E-4</v>
      </c>
    </row>
    <row r="44" spans="1:16" x14ac:dyDescent="0.25">
      <c r="A44" s="27" t="str">
        <f t="shared" si="17"/>
        <v>MS03 Rinse</v>
      </c>
      <c r="B44" s="126">
        <f t="shared" si="7"/>
        <v>23.267999731529102</v>
      </c>
      <c r="C44" s="127">
        <f t="shared" si="8"/>
        <v>0.65150399248281465</v>
      </c>
      <c r="D44" s="112">
        <f>'LOD calculation'!$D$32*$F17/1000</f>
        <v>4.1304317933529074E-2</v>
      </c>
      <c r="E44" s="33">
        <f t="shared" si="9"/>
        <v>80.96828740458281</v>
      </c>
      <c r="F44" s="34">
        <f t="shared" si="10"/>
        <v>1.295492598473325</v>
      </c>
      <c r="G44" s="128">
        <f>'LOD calculation'!$I$32*F17/1000</f>
        <v>3.0321802254332903E-3</v>
      </c>
      <c r="H44" s="36">
        <f>(M17*F17)/1000</f>
        <v>1607.2280296001225</v>
      </c>
      <c r="I44" s="37">
        <f t="shared" si="12"/>
        <v>19.286736355201469</v>
      </c>
      <c r="J44" s="130">
        <f>'LOD calculation'!$D$57*F17/1000</f>
        <v>1.9285605095335466E-2</v>
      </c>
      <c r="K44" s="36">
        <f t="shared" si="13"/>
        <v>0</v>
      </c>
      <c r="L44" s="37">
        <f t="shared" si="14"/>
        <v>0</v>
      </c>
      <c r="M44" s="39">
        <f>'LOD calculation'!$I$57*F17/1000</f>
        <v>4.1304317933529074E-2</v>
      </c>
      <c r="N44" s="38">
        <f t="shared" si="15"/>
        <v>0</v>
      </c>
      <c r="O44" s="37">
        <f t="shared" si="16"/>
        <v>0</v>
      </c>
      <c r="P44" s="39">
        <f>'LOD calculation'!$D$82*F17/1000</f>
        <v>1.9285605095335466E-2</v>
      </c>
    </row>
    <row r="45" spans="1:16" x14ac:dyDescent="0.25">
      <c r="A45" s="27">
        <f t="shared" si="17"/>
        <v>0</v>
      </c>
      <c r="B45" s="33" t="e">
        <f t="shared" si="7"/>
        <v>#DIV/0!</v>
      </c>
      <c r="C45" s="34" t="e">
        <f t="shared" si="8"/>
        <v>#DIV/0!</v>
      </c>
      <c r="D45" s="35" t="e">
        <f>'LOD calculation'!$D$32*$F18/1000</f>
        <v>#DIV/0!</v>
      </c>
      <c r="E45" s="33" t="e">
        <f t="shared" si="9"/>
        <v>#DIV/0!</v>
      </c>
      <c r="F45" s="34" t="e">
        <f t="shared" si="10"/>
        <v>#DIV/0!</v>
      </c>
      <c r="G45" s="35" t="e">
        <f>'LOD calculation'!$I$32*F18/1000</f>
        <v>#DIV/0!</v>
      </c>
      <c r="H45" s="36" t="e">
        <f t="shared" si="11"/>
        <v>#DIV/0!</v>
      </c>
      <c r="I45" s="37" t="e">
        <f t="shared" si="12"/>
        <v>#DIV/0!</v>
      </c>
      <c r="J45" s="39" t="e">
        <f>'LOD calculation'!$D$57*F18/1000</f>
        <v>#DIV/0!</v>
      </c>
      <c r="K45" s="36" t="e">
        <f t="shared" si="13"/>
        <v>#DIV/0!</v>
      </c>
      <c r="L45" s="37" t="e">
        <f t="shared" si="14"/>
        <v>#DIV/0!</v>
      </c>
      <c r="M45" s="39" t="e">
        <f>'LOD calculation'!$I$57*F18/1000</f>
        <v>#DIV/0!</v>
      </c>
      <c r="N45" s="38" t="e">
        <f t="shared" si="15"/>
        <v>#DIV/0!</v>
      </c>
      <c r="O45" s="37" t="e">
        <f t="shared" si="16"/>
        <v>#DIV/0!</v>
      </c>
      <c r="P45" s="39" t="e">
        <f>'LOD calculation'!$D$82*F18/1000</f>
        <v>#DIV/0!</v>
      </c>
    </row>
    <row r="46" spans="1:16" x14ac:dyDescent="0.25">
      <c r="A46" s="27" t="str">
        <f t="shared" si="17"/>
        <v>MD04</v>
      </c>
      <c r="B46" s="103">
        <f t="shared" si="7"/>
        <v>0.586446779585589</v>
      </c>
      <c r="C46" s="104">
        <f t="shared" si="8"/>
        <v>8.2102549141982468E-3</v>
      </c>
      <c r="D46" s="112">
        <f>'LOD calculation'!$D$32*$F19/1000</f>
        <v>1.0182538074503807E-4</v>
      </c>
      <c r="E46" s="100">
        <f t="shared" si="9"/>
        <v>1.3970771865148406</v>
      </c>
      <c r="F46" s="101">
        <f t="shared" si="10"/>
        <v>8.3824631190890422E-3</v>
      </c>
      <c r="G46" s="114">
        <f>'LOD calculation'!$I$32*F19/1000</f>
        <v>7.4750757642141769E-6</v>
      </c>
      <c r="H46" s="107">
        <f t="shared" si="11"/>
        <v>5.4422910131790188</v>
      </c>
      <c r="I46" s="108">
        <f t="shared" si="12"/>
        <v>8.7076656210864301E-2</v>
      </c>
      <c r="J46" s="116">
        <f>'LOD calculation'!$D$57*F19/1000</f>
        <v>4.7543796386887692E-5</v>
      </c>
      <c r="K46" s="109">
        <f t="shared" si="13"/>
        <v>0.17639808863169684</v>
      </c>
      <c r="L46" s="8">
        <f t="shared" si="14"/>
        <v>2.4695732408437556E-3</v>
      </c>
      <c r="M46" s="115">
        <f>'LOD calculation'!$I$57*F19/1000</f>
        <v>1.0182538074503807E-4</v>
      </c>
      <c r="N46" s="122">
        <f t="shared" si="15"/>
        <v>2.9849912802737855</v>
      </c>
      <c r="O46" s="108">
        <f t="shared" si="16"/>
        <v>4.7759860484380572E-2</v>
      </c>
      <c r="P46" s="116">
        <f>'LOD calculation'!$D$82*F19/1000</f>
        <v>4.7543796386887692E-5</v>
      </c>
    </row>
    <row r="47" spans="1:16" x14ac:dyDescent="0.25">
      <c r="A47" s="27" t="str">
        <f t="shared" si="17"/>
        <v>MS04</v>
      </c>
      <c r="B47" s="100">
        <f t="shared" si="7"/>
        <v>0.76651971163847255</v>
      </c>
      <c r="C47" s="101">
        <f t="shared" si="8"/>
        <v>1.8396473079323343E-2</v>
      </c>
      <c r="D47" s="112">
        <f>'LOD calculation'!$D$32*$F20/1000</f>
        <v>1.309953733986334E-4</v>
      </c>
      <c r="E47" s="100">
        <f t="shared" si="9"/>
        <v>1.8938699549782501</v>
      </c>
      <c r="F47" s="101">
        <f t="shared" si="10"/>
        <v>3.7877399099565001E-2</v>
      </c>
      <c r="G47" s="113">
        <f>'LOD calculation'!$I$32*F20/1000</f>
        <v>9.6164662852392755E-6</v>
      </c>
      <c r="H47" s="117">
        <f t="shared" si="11"/>
        <v>9.9500995957032377</v>
      </c>
      <c r="I47" s="118">
        <f t="shared" si="12"/>
        <v>0.11940119514843885</v>
      </c>
      <c r="J47" s="116">
        <f>'LOD calculation'!$D$57*F20/1000</f>
        <v>6.1163703144733313E-5</v>
      </c>
      <c r="K47" s="109">
        <f t="shared" si="13"/>
        <v>0.23900406681488637</v>
      </c>
      <c r="L47" s="8">
        <f t="shared" si="14"/>
        <v>5.7360976035572726E-3</v>
      </c>
      <c r="M47" s="115">
        <f>'LOD calculation'!$I$57*F20/1000</f>
        <v>1.309953733986334E-4</v>
      </c>
      <c r="N47" s="122">
        <f t="shared" si="15"/>
        <v>6.7888553783083614</v>
      </c>
      <c r="O47" s="108">
        <f t="shared" si="16"/>
        <v>8.1466264539700337E-2</v>
      </c>
      <c r="P47" s="116">
        <f>'LOD calculation'!$D$82*F20/1000</f>
        <v>6.1163703144733313E-5</v>
      </c>
    </row>
    <row r="48" spans="1:16" x14ac:dyDescent="0.25">
      <c r="A48" s="27" t="str">
        <f t="shared" si="17"/>
        <v>MD04 Rinse</v>
      </c>
      <c r="B48" s="100">
        <f t="shared" si="7"/>
        <v>1.0665642889423341</v>
      </c>
      <c r="C48" s="101">
        <f t="shared" si="8"/>
        <v>5.5461343025001386E-2</v>
      </c>
      <c r="D48" s="112">
        <f>'LOD calculation'!$D$32*$F21/1000</f>
        <v>1.287798248517354E-3</v>
      </c>
      <c r="E48" s="100">
        <f t="shared" si="9"/>
        <v>4.1496648056731802</v>
      </c>
      <c r="F48" s="101">
        <f t="shared" si="10"/>
        <v>4.1496648056731797E-2</v>
      </c>
      <c r="G48" s="113">
        <f>'LOD calculation'!$I$32*F21/1000</f>
        <v>9.4538212440306837E-5</v>
      </c>
      <c r="H48" s="117">
        <f t="shared" si="11"/>
        <v>45.121321047164585</v>
      </c>
      <c r="I48" s="118">
        <f t="shared" si="12"/>
        <v>0.27072792628298747</v>
      </c>
      <c r="J48" s="115">
        <f>'LOD calculation'!$D$57*F21/1000</f>
        <v>6.0129230322454022E-4</v>
      </c>
      <c r="K48" s="117">
        <f t="shared" si="13"/>
        <v>0</v>
      </c>
      <c r="L48" s="118">
        <f t="shared" si="14"/>
        <v>0</v>
      </c>
      <c r="M48" s="120">
        <f>'LOD calculation'!$I$57*F21/1000</f>
        <v>1.287798248517354E-3</v>
      </c>
      <c r="N48" s="38">
        <f t="shared" si="15"/>
        <v>0</v>
      </c>
      <c r="O48" s="37">
        <f t="shared" si="16"/>
        <v>0</v>
      </c>
      <c r="P48" s="39">
        <f>'LOD calculation'!$D$82*F21/1000</f>
        <v>6.0129230322454022E-4</v>
      </c>
    </row>
    <row r="49" spans="1:16" x14ac:dyDescent="0.25">
      <c r="A49" s="27" t="str">
        <f t="shared" si="17"/>
        <v>MS04 Rinse</v>
      </c>
      <c r="B49" s="126">
        <f t="shared" si="7"/>
        <v>2.8786589780722203</v>
      </c>
      <c r="C49" s="127">
        <f t="shared" si="8"/>
        <v>0.11514635912288881</v>
      </c>
      <c r="D49" s="112">
        <f>'LOD calculation'!$D$32*$F22/1000</f>
        <v>3.2354031536386231E-3</v>
      </c>
      <c r="E49" s="126">
        <f t="shared" si="9"/>
        <v>8.254126061927515</v>
      </c>
      <c r="F49" s="127">
        <f t="shared" si="10"/>
        <v>0.1155577648669852</v>
      </c>
      <c r="G49" s="112">
        <f>'LOD calculation'!$I$32*F22/1000</f>
        <v>2.3751331469884743E-4</v>
      </c>
      <c r="H49" s="36">
        <f t="shared" si="11"/>
        <v>140.0483394804786</v>
      </c>
      <c r="I49" s="37">
        <f t="shared" si="12"/>
        <v>1.1203867158438288</v>
      </c>
      <c r="J49" s="129">
        <f>'LOD calculation'!$D$57*F22/1000</f>
        <v>1.5106582233289101E-3</v>
      </c>
      <c r="K49" s="117">
        <f t="shared" si="13"/>
        <v>0</v>
      </c>
      <c r="L49" s="118">
        <f t="shared" si="14"/>
        <v>0</v>
      </c>
      <c r="M49" s="120">
        <f>'LOD calculation'!$I$57*F22/1000</f>
        <v>3.2354031536386231E-3</v>
      </c>
      <c r="N49" s="38">
        <f t="shared" si="15"/>
        <v>0</v>
      </c>
      <c r="O49" s="37">
        <f t="shared" si="16"/>
        <v>0</v>
      </c>
      <c r="P49" s="39">
        <f>'LOD calculation'!$D$82*F22/1000</f>
        <v>1.5106582233289101E-3</v>
      </c>
    </row>
    <row r="50" spans="1:16" x14ac:dyDescent="0.25">
      <c r="A50" s="27">
        <f t="shared" si="17"/>
        <v>0</v>
      </c>
      <c r="B50" s="33" t="e">
        <f t="shared" si="7"/>
        <v>#DIV/0!</v>
      </c>
      <c r="C50" s="34" t="e">
        <f t="shared" si="8"/>
        <v>#DIV/0!</v>
      </c>
      <c r="D50" s="35" t="e">
        <f>'LOD calculation'!$D$32*$F23/1000</f>
        <v>#DIV/0!</v>
      </c>
      <c r="E50" s="33" t="e">
        <f t="shared" si="9"/>
        <v>#DIV/0!</v>
      </c>
      <c r="F50" s="34" t="e">
        <f t="shared" si="10"/>
        <v>#DIV/0!</v>
      </c>
      <c r="G50" s="35" t="e">
        <f>'LOD calculation'!$I$32*F23/1000</f>
        <v>#DIV/0!</v>
      </c>
      <c r="H50" s="36" t="e">
        <f t="shared" si="11"/>
        <v>#DIV/0!</v>
      </c>
      <c r="I50" s="37" t="e">
        <f t="shared" si="12"/>
        <v>#DIV/0!</v>
      </c>
      <c r="J50" s="39" t="e">
        <f>'LOD calculation'!$D$57*F23/1000</f>
        <v>#DIV/0!</v>
      </c>
      <c r="K50" s="36" t="e">
        <f t="shared" si="13"/>
        <v>#DIV/0!</v>
      </c>
      <c r="L50" s="37" t="e">
        <f t="shared" si="14"/>
        <v>#DIV/0!</v>
      </c>
      <c r="M50" s="39" t="e">
        <f>'LOD calculation'!$I$57*F23/1000</f>
        <v>#DIV/0!</v>
      </c>
      <c r="N50" s="38" t="e">
        <f t="shared" si="15"/>
        <v>#DIV/0!</v>
      </c>
      <c r="O50" s="37" t="e">
        <f t="shared" si="16"/>
        <v>#DIV/0!</v>
      </c>
      <c r="P50" s="39" t="e">
        <f>'LOD calculation'!$D$82*F23/1000</f>
        <v>#DIV/0!</v>
      </c>
    </row>
    <row r="51" spans="1:16" x14ac:dyDescent="0.25">
      <c r="A51" s="27" t="str">
        <f t="shared" si="17"/>
        <v>BLK 1</v>
      </c>
      <c r="B51" s="103">
        <f t="shared" si="7"/>
        <v>0.220161335688</v>
      </c>
      <c r="C51" s="104">
        <f t="shared" si="8"/>
        <v>6.1645173992640008E-3</v>
      </c>
      <c r="D51" s="113">
        <f>'LOD calculation'!$D$32*$F24/1000</f>
        <v>5.4147906135748021E-5</v>
      </c>
      <c r="E51" s="105">
        <f t="shared" si="9"/>
        <v>1.4449028201999999E-2</v>
      </c>
      <c r="F51" s="106">
        <f t="shared" si="10"/>
        <v>2.8898056403999997E-4</v>
      </c>
      <c r="G51" s="114">
        <f>'LOD calculation'!$I$32*F24/1000</f>
        <v>3.9750374403387432E-6</v>
      </c>
      <c r="H51" s="107">
        <f t="shared" si="11"/>
        <v>1.1899191389399999</v>
      </c>
      <c r="I51" s="108">
        <f t="shared" si="12"/>
        <v>4.5216927279719994E-2</v>
      </c>
      <c r="J51" s="116">
        <f>'LOD calculation'!$D$57*F24/1000</f>
        <v>2.5282468921381969E-5</v>
      </c>
      <c r="K51" s="36">
        <f t="shared" si="13"/>
        <v>0</v>
      </c>
      <c r="L51" s="37">
        <f t="shared" si="14"/>
        <v>0</v>
      </c>
      <c r="M51" s="39">
        <f>'LOD calculation'!$I$57*F24/1000</f>
        <v>5.4147906135748021E-5</v>
      </c>
      <c r="N51" s="38">
        <f t="shared" si="15"/>
        <v>0</v>
      </c>
      <c r="O51" s="37">
        <f t="shared" si="16"/>
        <v>0</v>
      </c>
      <c r="P51" s="39">
        <f>'LOD calculation'!$D$82*F24/1000</f>
        <v>2.5282468921381969E-5</v>
      </c>
    </row>
    <row r="52" spans="1:16" x14ac:dyDescent="0.25">
      <c r="A52" s="27" t="str">
        <f t="shared" si="17"/>
        <v>BLK 2</v>
      </c>
      <c r="B52" s="103">
        <f t="shared" si="7"/>
        <v>0.21753365476200004</v>
      </c>
      <c r="C52" s="104">
        <f t="shared" si="8"/>
        <v>5.6558750238120004E-3</v>
      </c>
      <c r="D52" s="113">
        <f>'LOD calculation'!$D$32*$F25/1000</f>
        <v>5.4194343321641193E-5</v>
      </c>
      <c r="E52" s="105">
        <f t="shared" si="9"/>
        <v>8.9106104660000018E-3</v>
      </c>
      <c r="F52" s="106">
        <f t="shared" si="10"/>
        <v>3.3860319770800007E-4</v>
      </c>
      <c r="G52" s="114">
        <f>'LOD calculation'!$I$32*F25/1000</f>
        <v>3.9784464281597421E-6</v>
      </c>
      <c r="H52" s="109">
        <f t="shared" si="11"/>
        <v>1.1794551933920001</v>
      </c>
      <c r="I52" s="8">
        <f t="shared" si="12"/>
        <v>7.0767311603520009E-3</v>
      </c>
      <c r="J52" s="116">
        <f>'LOD calculation'!$D$57*F25/1000</f>
        <v>2.5304151139456978E-5</v>
      </c>
      <c r="K52" s="36">
        <f t="shared" si="13"/>
        <v>0</v>
      </c>
      <c r="L52" s="37">
        <f t="shared" si="14"/>
        <v>0</v>
      </c>
      <c r="M52" s="39">
        <f>'LOD calculation'!$I$57*F25/1000</f>
        <v>5.4194343321641193E-5</v>
      </c>
      <c r="N52" s="38">
        <f t="shared" si="15"/>
        <v>0</v>
      </c>
      <c r="O52" s="37">
        <f t="shared" si="16"/>
        <v>0</v>
      </c>
      <c r="P52" s="39">
        <f>'LOD calculation'!$D$82*F25/1000</f>
        <v>2.5304151139456978E-5</v>
      </c>
    </row>
    <row r="53" spans="1:16" x14ac:dyDescent="0.25">
      <c r="A53" s="27" t="str">
        <f t="shared" si="17"/>
        <v>BLK 3</v>
      </c>
      <c r="B53" s="103">
        <f t="shared" si="7"/>
        <v>0.21660377558400001</v>
      </c>
      <c r="C53" s="104">
        <f t="shared" si="8"/>
        <v>4.3320755116799999E-3</v>
      </c>
      <c r="D53" s="113">
        <f>'LOD calculation'!$D$32*$F26/1000</f>
        <v>5.4136632368074535E-5</v>
      </c>
      <c r="E53" s="105">
        <f t="shared" si="9"/>
        <v>1.5089391827999999E-2</v>
      </c>
      <c r="F53" s="106">
        <f t="shared" si="10"/>
        <v>4.2250297118399987E-4</v>
      </c>
      <c r="G53" s="114">
        <f>'LOD calculation'!$I$32*F26/1000</f>
        <v>3.9742098247983862E-6</v>
      </c>
      <c r="H53" s="109">
        <f t="shared" si="11"/>
        <v>1.551484220916</v>
      </c>
      <c r="I53" s="8">
        <f t="shared" si="12"/>
        <v>6.2059368836639992E-3</v>
      </c>
      <c r="J53" s="116">
        <f>'LOD calculation'!$D$57*F26/1000</f>
        <v>2.5277205030288614E-5</v>
      </c>
      <c r="K53" s="36">
        <f t="shared" si="13"/>
        <v>0</v>
      </c>
      <c r="L53" s="37">
        <f t="shared" si="14"/>
        <v>0</v>
      </c>
      <c r="M53" s="39">
        <f>'LOD calculation'!$I$57*F26/1000</f>
        <v>5.4136632368074535E-5</v>
      </c>
      <c r="N53" s="38">
        <f t="shared" si="15"/>
        <v>0</v>
      </c>
      <c r="O53" s="37">
        <f t="shared" si="16"/>
        <v>0</v>
      </c>
      <c r="P53" s="39">
        <f>'LOD calculation'!$D$82*F26/1000</f>
        <v>2.5277205030288614E-5</v>
      </c>
    </row>
    <row r="54" spans="1:16" x14ac:dyDescent="0.25">
      <c r="A54" s="27">
        <f t="shared" si="17"/>
        <v>0</v>
      </c>
      <c r="B54" s="33" t="e">
        <f t="shared" si="7"/>
        <v>#DIV/0!</v>
      </c>
      <c r="C54" s="34" t="e">
        <f t="shared" si="8"/>
        <v>#DIV/0!</v>
      </c>
      <c r="D54" s="35" t="e">
        <f>'LOD calculation'!$D$32*$F27/1000</f>
        <v>#DIV/0!</v>
      </c>
      <c r="E54" s="33" t="e">
        <f t="shared" si="9"/>
        <v>#DIV/0!</v>
      </c>
      <c r="F54" s="34" t="e">
        <f t="shared" si="10"/>
        <v>#DIV/0!</v>
      </c>
      <c r="G54" s="35" t="e">
        <f>'LOD calculation'!$I$32*F27/1000</f>
        <v>#DIV/0!</v>
      </c>
      <c r="H54" s="36" t="e">
        <f t="shared" si="11"/>
        <v>#DIV/0!</v>
      </c>
      <c r="I54" s="37" t="e">
        <f t="shared" si="12"/>
        <v>#DIV/0!</v>
      </c>
      <c r="J54" s="39" t="e">
        <f>'LOD calculation'!$D$57*F27/1000</f>
        <v>#DIV/0!</v>
      </c>
      <c r="K54" s="36" t="e">
        <f t="shared" si="13"/>
        <v>#DIV/0!</v>
      </c>
      <c r="L54" s="37" t="e">
        <f t="shared" si="14"/>
        <v>#DIV/0!</v>
      </c>
      <c r="M54" s="39" t="e">
        <f>'LOD calculation'!$I$57*F27/1000</f>
        <v>#DIV/0!</v>
      </c>
      <c r="N54" s="38" t="e">
        <f t="shared" si="15"/>
        <v>#DIV/0!</v>
      </c>
      <c r="O54" s="37" t="e">
        <f t="shared" si="16"/>
        <v>#DIV/0!</v>
      </c>
      <c r="P54" s="39" t="e">
        <f>'LOD calculation'!$D$82*F27/1000</f>
        <v>#DIV/0!</v>
      </c>
    </row>
    <row r="55" spans="1:16" x14ac:dyDescent="0.25">
      <c r="A55" s="27">
        <f t="shared" si="17"/>
        <v>0</v>
      </c>
      <c r="B55" s="33" t="e">
        <f t="shared" si="7"/>
        <v>#DIV/0!</v>
      </c>
      <c r="C55" s="34" t="e">
        <f t="shared" si="8"/>
        <v>#DIV/0!</v>
      </c>
      <c r="D55" s="35" t="e">
        <f>'LOD calculation'!$D$32*$F28/1000</f>
        <v>#DIV/0!</v>
      </c>
      <c r="E55" s="33" t="e">
        <f t="shared" si="9"/>
        <v>#DIV/0!</v>
      </c>
      <c r="F55" s="34" t="e">
        <f t="shared" si="10"/>
        <v>#DIV/0!</v>
      </c>
      <c r="G55" s="35" t="e">
        <f>'LOD calculation'!$I$32*F28/1000</f>
        <v>#DIV/0!</v>
      </c>
      <c r="H55" s="36" t="e">
        <f t="shared" si="11"/>
        <v>#DIV/0!</v>
      </c>
      <c r="I55" s="37" t="e">
        <f t="shared" si="12"/>
        <v>#DIV/0!</v>
      </c>
      <c r="J55" s="39" t="e">
        <f>'LOD calculation'!$D$57*F28/1000</f>
        <v>#DIV/0!</v>
      </c>
      <c r="K55" s="36" t="e">
        <f t="shared" si="13"/>
        <v>#DIV/0!</v>
      </c>
      <c r="L55" s="37" t="e">
        <f t="shared" si="14"/>
        <v>#DIV/0!</v>
      </c>
      <c r="M55" s="39" t="e">
        <f>'LOD calculation'!$I$57*F28/1000</f>
        <v>#DIV/0!</v>
      </c>
      <c r="N55" s="38" t="e">
        <f t="shared" si="15"/>
        <v>#DIV/0!</v>
      </c>
      <c r="O55" s="37" t="e">
        <f t="shared" si="16"/>
        <v>#DIV/0!</v>
      </c>
      <c r="P55" s="39" t="e">
        <f>'LOD calculation'!$D$82*F28/1000</f>
        <v>#DIV/0!</v>
      </c>
    </row>
  </sheetData>
  <sheetProtection password="CD6A" sheet="1" objects="1" scenarios="1" formatCells="0" formatColumns="0" formatRows="0"/>
  <mergeCells count="1">
    <mergeCell ref="C7:D7"/>
  </mergeCells>
  <phoneticPr fontId="5" type="noConversion"/>
  <pageMargins left="0.7" right="0.7" top="0.75" bottom="0.75" header="0.3" footer="0.3"/>
  <pageSetup paperSize="9" scale="41" orientation="landscape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2"/>
  <sheetViews>
    <sheetView topLeftCell="A19" zoomScale="70" zoomScaleNormal="70" workbookViewId="0">
      <selection activeCell="O54" sqref="O54"/>
    </sheetView>
  </sheetViews>
  <sheetFormatPr defaultColWidth="8.85546875" defaultRowHeight="15" x14ac:dyDescent="0.25"/>
  <cols>
    <col min="1" max="1" width="16.42578125" customWidth="1"/>
    <col min="2" max="2" width="19.28515625" customWidth="1"/>
    <col min="3" max="3" width="14.42578125" customWidth="1"/>
    <col min="4" max="4" width="11.7109375" customWidth="1"/>
    <col min="6" max="6" width="15.28515625" customWidth="1"/>
    <col min="7" max="7" width="16.42578125" customWidth="1"/>
    <col min="8" max="8" width="13.5703125" customWidth="1"/>
    <col min="9" max="9" width="12.140625" customWidth="1"/>
    <col min="11" max="11" width="16.28515625" customWidth="1"/>
    <col min="13" max="13" width="14" customWidth="1"/>
    <col min="14" max="14" width="11.28515625" customWidth="1"/>
    <col min="16" max="16" width="16.140625" customWidth="1"/>
    <col min="18" max="18" width="12.5703125" customWidth="1"/>
    <col min="19" max="19" width="12" customWidth="1"/>
  </cols>
  <sheetData>
    <row r="1" spans="1:10" x14ac:dyDescent="0.25">
      <c r="A1" s="52" t="str">
        <f>Validation!C4</f>
        <v>GAU/SSH/068</v>
      </c>
      <c r="B1" s="53"/>
      <c r="C1" s="53"/>
      <c r="D1" s="54"/>
    </row>
    <row r="2" spans="1:10" x14ac:dyDescent="0.25">
      <c r="A2" s="55"/>
      <c r="B2" s="56"/>
      <c r="C2" s="56"/>
      <c r="D2" s="57"/>
    </row>
    <row r="3" spans="1:10" ht="15.75" thickBot="1" x14ac:dyDescent="0.3">
      <c r="A3" s="58" t="str">
        <f>Validation!C6</f>
        <v>Elemental analysis by ICP-MS</v>
      </c>
      <c r="B3" s="59"/>
      <c r="C3" s="60" t="s">
        <v>44</v>
      </c>
      <c r="D3" s="61">
        <f>Validation!C8</f>
        <v>1</v>
      </c>
    </row>
    <row r="5" spans="1:10" x14ac:dyDescent="0.25">
      <c r="A5" s="2" t="s">
        <v>8</v>
      </c>
    </row>
    <row r="7" spans="1:10" x14ac:dyDescent="0.25">
      <c r="A7" s="2" t="s">
        <v>47</v>
      </c>
    </row>
    <row r="8" spans="1:10" s="14" customFormat="1" ht="15.75" thickBot="1" x14ac:dyDescent="0.3"/>
    <row r="9" spans="1:10" s="14" customFormat="1" ht="19.5" thickBot="1" x14ac:dyDescent="0.35">
      <c r="A9" s="11" t="s">
        <v>2</v>
      </c>
      <c r="B9" s="20" t="str">
        <f>Calculations!G8</f>
        <v>Ni</v>
      </c>
      <c r="C9" s="12"/>
      <c r="D9" s="12" t="s">
        <v>25</v>
      </c>
      <c r="E9" s="75">
        <v>5</v>
      </c>
      <c r="F9" s="11" t="s">
        <v>2</v>
      </c>
      <c r="G9" s="20" t="str">
        <f>Calculations!J8</f>
        <v>Pb</v>
      </c>
      <c r="H9" s="12"/>
      <c r="I9" s="12" t="s">
        <v>25</v>
      </c>
      <c r="J9" s="75">
        <v>5</v>
      </c>
    </row>
    <row r="10" spans="1:10" s="14" customFormat="1" ht="15.75" thickBot="1" x14ac:dyDescent="0.3">
      <c r="A10" s="13"/>
      <c r="E10" s="15"/>
      <c r="F10" s="13"/>
      <c r="J10" s="15"/>
    </row>
    <row r="11" spans="1:10" s="14" customFormat="1" ht="15.75" thickBot="1" x14ac:dyDescent="0.3">
      <c r="A11" s="13" t="s">
        <v>22</v>
      </c>
      <c r="B11" s="75">
        <v>522.6</v>
      </c>
      <c r="C11" s="14" t="s">
        <v>23</v>
      </c>
      <c r="D11" s="75">
        <v>14.2</v>
      </c>
      <c r="E11" s="15"/>
      <c r="F11" s="13" t="s">
        <v>22</v>
      </c>
      <c r="G11" s="75">
        <v>1175.4000000000001</v>
      </c>
      <c r="H11" s="14" t="s">
        <v>23</v>
      </c>
      <c r="I11" s="75">
        <v>4.0999999999999996</v>
      </c>
      <c r="J11" s="15"/>
    </row>
    <row r="12" spans="1:10" s="14" customFormat="1" ht="15.75" thickBot="1" x14ac:dyDescent="0.3">
      <c r="A12" s="13"/>
      <c r="B12" s="14" t="s">
        <v>13</v>
      </c>
      <c r="C12" s="14" t="s">
        <v>14</v>
      </c>
      <c r="D12" s="14" t="s">
        <v>15</v>
      </c>
      <c r="E12" s="41" t="s">
        <v>7</v>
      </c>
      <c r="F12" s="13"/>
      <c r="G12" s="14" t="s">
        <v>13</v>
      </c>
      <c r="H12" s="14" t="s">
        <v>14</v>
      </c>
      <c r="I12" s="14" t="s">
        <v>15</v>
      </c>
      <c r="J12" s="41" t="s">
        <v>7</v>
      </c>
    </row>
    <row r="13" spans="1:10" s="14" customFormat="1" x14ac:dyDescent="0.25">
      <c r="A13" s="13" t="s">
        <v>9</v>
      </c>
      <c r="B13" s="76">
        <v>16650.46</v>
      </c>
      <c r="C13" s="5">
        <f>B13-$B$11</f>
        <v>16127.859999999999</v>
      </c>
      <c r="D13" s="79">
        <v>1.0124738947652561</v>
      </c>
      <c r="E13" s="45">
        <f>D13*(3*$D$11)/(B13-$B$11)</f>
        <v>2.6743404219158593E-3</v>
      </c>
      <c r="F13" s="14" t="s">
        <v>9</v>
      </c>
      <c r="G13" s="76">
        <v>621402.06000000006</v>
      </c>
      <c r="H13" s="5">
        <f>G13-$G$11</f>
        <v>620226.66</v>
      </c>
      <c r="I13" s="79">
        <v>9.8933133467879166</v>
      </c>
      <c r="J13" s="45">
        <f>I13*(3*$I$11)/(G13-$G$11)</f>
        <v>1.9619884473442558E-4</v>
      </c>
    </row>
    <row r="14" spans="1:10" s="14" customFormat="1" x14ac:dyDescent="0.25">
      <c r="A14" s="13" t="s">
        <v>10</v>
      </c>
      <c r="B14" s="77">
        <v>158514.06</v>
      </c>
      <c r="C14" s="3">
        <f>B14-$B$11</f>
        <v>157991.46</v>
      </c>
      <c r="D14" s="80">
        <v>10.011090886630631</v>
      </c>
      <c r="E14" s="40">
        <f t="shared" ref="E14:E17" si="0">D14*(3*$D$11)/(B14-$B$11)</f>
        <v>2.6993387602751748E-3</v>
      </c>
      <c r="F14" s="14" t="s">
        <v>10</v>
      </c>
      <c r="G14" s="77">
        <v>1239761.76</v>
      </c>
      <c r="H14" s="3">
        <f>G14-$G$11</f>
        <v>1238586.3600000001</v>
      </c>
      <c r="I14" s="80">
        <v>19.755697399007225</v>
      </c>
      <c r="J14" s="40">
        <f t="shared" ref="J14:J17" si="1">I14*(3*$I$11)/(G14-$G$11)</f>
        <v>1.9618743258870445E-4</v>
      </c>
    </row>
    <row r="15" spans="1:10" s="14" customFormat="1" x14ac:dyDescent="0.25">
      <c r="A15" s="13" t="s">
        <v>11</v>
      </c>
      <c r="B15" s="77">
        <v>316582.75</v>
      </c>
      <c r="C15" s="3">
        <f>B15-$B$11</f>
        <v>316060.15000000002</v>
      </c>
      <c r="D15" s="80">
        <v>19.99088427280493</v>
      </c>
      <c r="E15" s="40">
        <f t="shared" si="0"/>
        <v>2.6944607538200872E-3</v>
      </c>
      <c r="F15" s="14" t="s">
        <v>11</v>
      </c>
      <c r="G15" s="77">
        <v>3192759.1</v>
      </c>
      <c r="H15" s="3">
        <f>G15-$G$11</f>
        <v>3191583.7</v>
      </c>
      <c r="I15" s="80">
        <v>50.274814554406767</v>
      </c>
      <c r="J15" s="40">
        <f t="shared" si="1"/>
        <v>1.9375340807111001E-4</v>
      </c>
    </row>
    <row r="16" spans="1:10" s="14" customFormat="1" x14ac:dyDescent="0.25">
      <c r="A16" s="13" t="s">
        <v>12</v>
      </c>
      <c r="B16" s="77">
        <v>804821.49</v>
      </c>
      <c r="C16" s="3">
        <f>B16-$B$11</f>
        <v>804298.89</v>
      </c>
      <c r="D16" s="80">
        <v>50.873324251483041</v>
      </c>
      <c r="E16" s="40">
        <f t="shared" si="0"/>
        <v>2.6945251821908858E-3</v>
      </c>
      <c r="F16" s="14" t="s">
        <v>12</v>
      </c>
      <c r="G16" s="77">
        <v>6290976.29</v>
      </c>
      <c r="H16" s="3">
        <f>G16-$G$11</f>
        <v>6289800.8899999997</v>
      </c>
      <c r="I16" s="80">
        <v>100.6236999897515</v>
      </c>
      <c r="J16" s="40">
        <f t="shared" si="1"/>
        <v>1.9677435446989854E-4</v>
      </c>
    </row>
    <row r="17" spans="1:10" s="14" customFormat="1" ht="15.75" thickBot="1" x14ac:dyDescent="0.3">
      <c r="A17" s="13" t="s">
        <v>24</v>
      </c>
      <c r="B17" s="78">
        <v>1632127.5</v>
      </c>
      <c r="C17" s="23">
        <f>B17-$B$11</f>
        <v>1631604.9</v>
      </c>
      <c r="D17" s="81">
        <v>101.82160118010569</v>
      </c>
      <c r="E17" s="46">
        <f t="shared" si="0"/>
        <v>2.6584868740419337E-3</v>
      </c>
      <c r="F17" s="14" t="s">
        <v>24</v>
      </c>
      <c r="G17" s="78">
        <v>60831120.229999997</v>
      </c>
      <c r="H17" s="23">
        <f>G17-$G$11</f>
        <v>60829944.829999998</v>
      </c>
      <c r="I17" s="81">
        <v>1000.6899598433445</v>
      </c>
      <c r="J17" s="46">
        <f t="shared" si="1"/>
        <v>2.0234255579996613E-4</v>
      </c>
    </row>
    <row r="18" spans="1:10" s="14" customFormat="1" x14ac:dyDescent="0.25">
      <c r="A18" s="13"/>
      <c r="E18" s="15"/>
      <c r="F18" s="13"/>
      <c r="J18" s="15"/>
    </row>
    <row r="19" spans="1:10" s="14" customFormat="1" x14ac:dyDescent="0.25">
      <c r="A19" s="13" t="s">
        <v>16</v>
      </c>
      <c r="B19" s="16">
        <f>IF(E9=3,SLOPE(D13:D15,C13:C15),IF(E9=4,SLOPE(D13:D16,C13:C16),IF(E9=5,SLOPE(D13:D17,C13:C17))))</f>
        <v>6.2411071666149356E-5</v>
      </c>
      <c r="E19" s="15"/>
      <c r="F19" s="13" t="s">
        <v>16</v>
      </c>
      <c r="G19" s="16">
        <f>IF(J9=3,SLOPE(I13:I15,H13:H15),IF(J9=4,SLOPE(I13:I16,H13:H16),IF(J9=5,SLOPE(I13:I17,H13:H17))))</f>
        <v>1.6473012252323108E-5</v>
      </c>
      <c r="J19" s="15"/>
    </row>
    <row r="20" spans="1:10" s="14" customFormat="1" x14ac:dyDescent="0.25">
      <c r="A20" s="13" t="s">
        <v>17</v>
      </c>
      <c r="B20" s="16">
        <f>IF(E9=3,INTERCEPT(D13:D15,C13:C15),IF(E9=4,INTERCEPT(D13:D16,C13:C16),IF(E9=5,INTERCEPT(D13:D16,C13:C16))))</f>
        <v>2.986201166024216E-3</v>
      </c>
      <c r="E20" s="15"/>
      <c r="F20" s="13" t="s">
        <v>17</v>
      </c>
      <c r="G20" s="16">
        <f>IF(J9=3,INTERCEPT(I13:I15,H13:H15),IF(J9=4,INTERCEPT(I13:I16,H13:H16),IF(J9=5,INTERCEPT(I13:I16,H13:H16))))</f>
        <v>-0.20044314156049836</v>
      </c>
      <c r="J20" s="15"/>
    </row>
    <row r="21" spans="1:10" s="14" customFormat="1" x14ac:dyDescent="0.25">
      <c r="A21" s="13" t="s">
        <v>45</v>
      </c>
      <c r="B21" s="16">
        <f>IF(E9=3,CORREL(D13:D15,C13:C15),IF(E9=4,CORREL(D13:D16,C13:C16),IF(E9=5,CORREL(D13:D17,C13:C17))))</f>
        <v>0.99997666420346865</v>
      </c>
      <c r="E21" s="15"/>
      <c r="F21" s="13" t="s">
        <v>45</v>
      </c>
      <c r="G21" s="16">
        <f>IF(J9=3,CORREL(I13:I15,H13:H15),IF(J9=4,CORREL(I13:I16,H13:H16),IF(J9=5,CORREL(I13:I17,H13:H17))))</f>
        <v>0.99999661329520151</v>
      </c>
      <c r="J21" s="15"/>
    </row>
    <row r="22" spans="1:10" s="14" customFormat="1" x14ac:dyDescent="0.25">
      <c r="A22" s="13"/>
      <c r="E22" s="15"/>
      <c r="F22" s="13"/>
      <c r="J22" s="15"/>
    </row>
    <row r="23" spans="1:10" s="14" customFormat="1" x14ac:dyDescent="0.25">
      <c r="A23" s="13"/>
      <c r="E23" s="15"/>
      <c r="F23" s="13"/>
      <c r="J23" s="15"/>
    </row>
    <row r="24" spans="1:10" s="14" customFormat="1" x14ac:dyDescent="0.25">
      <c r="A24" s="13"/>
      <c r="E24" s="15"/>
      <c r="F24" s="13"/>
      <c r="J24" s="15"/>
    </row>
    <row r="25" spans="1:10" s="14" customFormat="1" x14ac:dyDescent="0.25">
      <c r="A25" s="13"/>
      <c r="E25" s="15"/>
      <c r="F25" s="13"/>
      <c r="J25" s="15"/>
    </row>
    <row r="26" spans="1:10" s="14" customFormat="1" x14ac:dyDescent="0.25">
      <c r="A26" s="13"/>
      <c r="E26" s="15"/>
      <c r="F26" s="13"/>
      <c r="J26" s="15"/>
    </row>
    <row r="27" spans="1:10" s="14" customFormat="1" x14ac:dyDescent="0.25">
      <c r="A27" s="13"/>
      <c r="E27" s="15"/>
      <c r="F27" s="13"/>
      <c r="J27" s="15"/>
    </row>
    <row r="28" spans="1:10" s="14" customFormat="1" x14ac:dyDescent="0.25">
      <c r="A28" s="13"/>
      <c r="E28" s="15"/>
      <c r="F28" s="13"/>
      <c r="J28" s="15"/>
    </row>
    <row r="29" spans="1:10" s="14" customFormat="1" x14ac:dyDescent="0.25">
      <c r="A29" s="13"/>
      <c r="E29" s="15"/>
      <c r="F29" s="13"/>
      <c r="J29" s="15"/>
    </row>
    <row r="30" spans="1:10" s="14" customFormat="1" x14ac:dyDescent="0.25">
      <c r="A30" s="13"/>
      <c r="E30" s="15"/>
      <c r="F30" s="13"/>
      <c r="J30" s="15"/>
    </row>
    <row r="31" spans="1:10" s="14" customFormat="1" x14ac:dyDescent="0.25">
      <c r="A31" s="13"/>
      <c r="E31" s="15"/>
      <c r="F31" s="13"/>
      <c r="J31" s="15"/>
    </row>
    <row r="32" spans="1:10" s="14" customFormat="1" ht="15.75" thickBot="1" x14ac:dyDescent="0.3">
      <c r="A32" s="17" t="s">
        <v>18</v>
      </c>
      <c r="B32" s="18"/>
      <c r="C32" s="18"/>
      <c r="D32" s="18">
        <f>IF(E9=5,AVERAGE(E13:E17),IF(E9=4,AVERAGE(E13:E16),IF(E9=3,(AVERAGE(E13:E15)))))</f>
        <v>2.684230398448788E-3</v>
      </c>
      <c r="E32" s="19"/>
      <c r="F32" s="17" t="s">
        <v>18</v>
      </c>
      <c r="G32" s="18"/>
      <c r="H32" s="18"/>
      <c r="I32" s="18">
        <f>IF(J9=5,AVERAGE(J13:J17),IF(J9=4,AVERAGE(J13:J16),IF(J9=3,(AVERAGE(J13:J15)))))</f>
        <v>1.9705131913282095E-4</v>
      </c>
      <c r="J32" s="19"/>
    </row>
    <row r="33" spans="1:10" s="14" customFormat="1" ht="15.75" thickBot="1" x14ac:dyDescent="0.3"/>
    <row r="34" spans="1:10" ht="19.5" thickBot="1" x14ac:dyDescent="0.35">
      <c r="A34" s="11" t="s">
        <v>2</v>
      </c>
      <c r="B34" s="21" t="str">
        <f>Calculations!M8</f>
        <v>Zn</v>
      </c>
      <c r="C34" s="12"/>
      <c r="D34" s="12" t="s">
        <v>25</v>
      </c>
      <c r="E34" s="75">
        <v>5</v>
      </c>
      <c r="F34" s="11" t="s">
        <v>2</v>
      </c>
      <c r="G34" s="21" t="str">
        <f>Calculations!P8</f>
        <v>Ni-BLK corrected</v>
      </c>
      <c r="H34" s="12"/>
      <c r="I34" s="12" t="s">
        <v>25</v>
      </c>
      <c r="J34" s="75">
        <v>5</v>
      </c>
    </row>
    <row r="35" spans="1:10" ht="15.75" thickBot="1" x14ac:dyDescent="0.3">
      <c r="A35" s="13"/>
      <c r="B35" s="14"/>
      <c r="C35" s="14"/>
      <c r="D35" s="14"/>
      <c r="E35" s="15"/>
      <c r="F35" s="13"/>
      <c r="G35" s="14"/>
      <c r="H35" s="14"/>
      <c r="I35" s="14"/>
      <c r="J35" s="15"/>
    </row>
    <row r="36" spans="1:10" ht="15.75" thickBot="1" x14ac:dyDescent="0.3">
      <c r="A36" s="13" t="s">
        <v>22</v>
      </c>
      <c r="B36" s="75">
        <v>17386.2</v>
      </c>
      <c r="C36" s="14" t="s">
        <v>23</v>
      </c>
      <c r="D36" s="75">
        <v>2.8</v>
      </c>
      <c r="E36" s="15"/>
      <c r="F36" s="13" t="s">
        <v>22</v>
      </c>
      <c r="G36" s="75">
        <v>522.6</v>
      </c>
      <c r="H36" s="14" t="s">
        <v>23</v>
      </c>
      <c r="I36" s="75">
        <v>14.2</v>
      </c>
      <c r="J36" s="15"/>
    </row>
    <row r="37" spans="1:10" ht="15.75" thickBot="1" x14ac:dyDescent="0.3">
      <c r="A37" s="13"/>
      <c r="B37" s="14" t="s">
        <v>13</v>
      </c>
      <c r="C37" s="14" t="s">
        <v>14</v>
      </c>
      <c r="D37" s="14" t="s">
        <v>15</v>
      </c>
      <c r="E37" s="41" t="s">
        <v>7</v>
      </c>
      <c r="F37" s="13"/>
      <c r="G37" s="14" t="s">
        <v>13</v>
      </c>
      <c r="H37" s="14" t="s">
        <v>14</v>
      </c>
      <c r="I37" s="14" t="s">
        <v>15</v>
      </c>
      <c r="J37" s="41" t="s">
        <v>7</v>
      </c>
    </row>
    <row r="38" spans="1:10" x14ac:dyDescent="0.25">
      <c r="A38" s="13" t="s">
        <v>9</v>
      </c>
      <c r="B38" s="76">
        <v>78789.02</v>
      </c>
      <c r="C38" s="5">
        <f>B38-$B$36</f>
        <v>61402.820000000007</v>
      </c>
      <c r="D38" s="79">
        <v>10.020905681617522</v>
      </c>
      <c r="E38" s="6">
        <f>D38*(3*$D$36)/(B38-$B$36)</f>
        <v>1.3708752745490705E-3</v>
      </c>
      <c r="F38" s="14" t="s">
        <v>9</v>
      </c>
      <c r="G38" s="76">
        <v>16650.46</v>
      </c>
      <c r="H38" s="5">
        <f>G38-$G$36</f>
        <v>16127.859999999999</v>
      </c>
      <c r="I38" s="79">
        <v>1.0124738947652561</v>
      </c>
      <c r="J38" s="6">
        <f>I38*(3*$I$36)/(G38-$G$36)</f>
        <v>2.6743404219158593E-3</v>
      </c>
    </row>
    <row r="39" spans="1:10" x14ac:dyDescent="0.25">
      <c r="A39" s="13" t="s">
        <v>10</v>
      </c>
      <c r="B39" s="77">
        <v>150777.76</v>
      </c>
      <c r="C39" s="3">
        <f>B39-$B$36</f>
        <v>133391.56</v>
      </c>
      <c r="D39" s="80">
        <v>20.010483178954733</v>
      </c>
      <c r="E39" s="7">
        <f t="shared" ref="E39:E42" si="2">D39*(3*$D$36)/(B39-$B$36)</f>
        <v>1.2601101501715682E-3</v>
      </c>
      <c r="F39" s="14" t="s">
        <v>10</v>
      </c>
      <c r="G39" s="77">
        <v>158514.06</v>
      </c>
      <c r="H39" s="3">
        <f>G39-$G$36</f>
        <v>157991.46</v>
      </c>
      <c r="I39" s="80">
        <v>10.011090886630631</v>
      </c>
      <c r="J39" s="7">
        <f t="shared" ref="J39:J42" si="3">I39*(3*$I$36)/(G39-$G$36)</f>
        <v>2.6993387602751748E-3</v>
      </c>
    </row>
    <row r="40" spans="1:10" x14ac:dyDescent="0.25">
      <c r="A40" s="13" t="s">
        <v>11</v>
      </c>
      <c r="B40" s="77">
        <v>369985.24</v>
      </c>
      <c r="C40" s="3">
        <f>B40-$B$36</f>
        <v>352599.03999999998</v>
      </c>
      <c r="D40" s="80">
        <v>50.923200059572721</v>
      </c>
      <c r="E40" s="7">
        <f t="shared" si="2"/>
        <v>1.2131481710795661E-3</v>
      </c>
      <c r="F40" s="14" t="s">
        <v>11</v>
      </c>
      <c r="G40" s="77">
        <v>316582.75</v>
      </c>
      <c r="H40" s="3">
        <f>G40-$G$36</f>
        <v>316060.15000000002</v>
      </c>
      <c r="I40" s="80">
        <v>19.99088427280493</v>
      </c>
      <c r="J40" s="7">
        <f t="shared" si="3"/>
        <v>2.6944607538200872E-3</v>
      </c>
    </row>
    <row r="41" spans="1:10" x14ac:dyDescent="0.25">
      <c r="A41" s="13" t="s">
        <v>12</v>
      </c>
      <c r="B41" s="77">
        <v>726205.49</v>
      </c>
      <c r="C41" s="3">
        <f>B41-$B$36</f>
        <v>708819.29</v>
      </c>
      <c r="D41" s="80">
        <v>101.92142627930184</v>
      </c>
      <c r="E41" s="7">
        <f t="shared" si="2"/>
        <v>1.2078395619652721E-3</v>
      </c>
      <c r="F41" s="14" t="s">
        <v>12</v>
      </c>
      <c r="G41" s="77">
        <v>804821.49</v>
      </c>
      <c r="H41" s="3">
        <f>G41-$G$36</f>
        <v>804298.89</v>
      </c>
      <c r="I41" s="80">
        <v>50.873324251483041</v>
      </c>
      <c r="J41" s="7">
        <f t="shared" si="3"/>
        <v>2.6945251821908858E-3</v>
      </c>
    </row>
    <row r="42" spans="1:10" ht="15.75" thickBot="1" x14ac:dyDescent="0.3">
      <c r="A42" s="13" t="s">
        <v>24</v>
      </c>
      <c r="B42" s="78">
        <v>7027477.6699999999</v>
      </c>
      <c r="C42" s="23">
        <f>B42-$B$36</f>
        <v>7010091.4699999997</v>
      </c>
      <c r="D42" s="81">
        <v>1013.5956835318001</v>
      </c>
      <c r="E42" s="24">
        <f t="shared" si="2"/>
        <v>1.2145638581328125E-3</v>
      </c>
      <c r="F42" s="14" t="s">
        <v>24</v>
      </c>
      <c r="G42" s="78">
        <v>1632127.5</v>
      </c>
      <c r="H42" s="23">
        <f>G42-$G$36</f>
        <v>1631604.9</v>
      </c>
      <c r="I42" s="81">
        <v>101.82160118010569</v>
      </c>
      <c r="J42" s="24">
        <f t="shared" si="3"/>
        <v>2.6584868740419337E-3</v>
      </c>
    </row>
    <row r="43" spans="1:10" x14ac:dyDescent="0.25">
      <c r="A43" s="13"/>
      <c r="B43" s="14"/>
      <c r="C43" s="14"/>
      <c r="D43" s="14"/>
      <c r="E43" s="15"/>
      <c r="F43" s="13"/>
      <c r="G43" s="14"/>
      <c r="H43" s="14"/>
      <c r="I43" s="14"/>
      <c r="J43" s="15"/>
    </row>
    <row r="44" spans="1:10" x14ac:dyDescent="0.25">
      <c r="A44" s="13" t="s">
        <v>16</v>
      </c>
      <c r="B44" s="16">
        <f>IF(E34=3,SLOPE(D38:D40,C38:C40),IF(E34=4,SLOPE(D38:D41,C38:C41),IF(E34=5,SLOPE(D38:D42,C38:C42))))</f>
        <v>1.4452712701946489E-4</v>
      </c>
      <c r="C44" s="14"/>
      <c r="D44" s="14"/>
      <c r="E44" s="15"/>
      <c r="F44" s="13" t="s">
        <v>16</v>
      </c>
      <c r="G44" s="16">
        <f>IF(J34=3,SLOPE(I38:I40,H38:H40),IF(J34=4,SLOPE(I38:I41,H38:H41),IF(J34=5,SLOPE(I38:I42,H38:H42))))</f>
        <v>6.2411071666149356E-5</v>
      </c>
      <c r="H44" s="14"/>
      <c r="I44" s="14"/>
      <c r="J44" s="15"/>
    </row>
    <row r="45" spans="1:10" x14ac:dyDescent="0.25">
      <c r="A45" s="13" t="s">
        <v>17</v>
      </c>
      <c r="B45" s="16">
        <f>IF(E34=3,INTERCEPT(D38:D40,C38:C40),IF(E34=4,INTERCEPT(D38:D41,C38:C41),IF(E34=5,INTERCEPT(D38:D41,C38:C41))))</f>
        <v>1.1086854553558396</v>
      </c>
      <c r="C45" s="14"/>
      <c r="D45" s="14"/>
      <c r="E45" s="15"/>
      <c r="F45" s="13" t="s">
        <v>17</v>
      </c>
      <c r="G45" s="16">
        <f>IF(J34=3,INTERCEPT(I38:I40,H38:H40),IF(J34=4,INTERCEPT(I38:I41,H38:H41),IF(J34=5,INTERCEPT(I38:I41,H38:H41))))</f>
        <v>2.986201166024216E-3</v>
      </c>
      <c r="H45" s="14"/>
      <c r="I45" s="14"/>
      <c r="J45" s="15"/>
    </row>
    <row r="46" spans="1:10" x14ac:dyDescent="0.25">
      <c r="A46" s="13" t="s">
        <v>45</v>
      </c>
      <c r="B46" s="16">
        <f>IF(E34=3,CORREL(D38:D40,C38:C40),IF(E34=4,CORREL(D38:D41,C38:C41),IF(E34=5,CORREL(D38:D42,C38:C42))))</f>
        <v>0.99999887345751781</v>
      </c>
      <c r="C46" s="14"/>
      <c r="D46" s="14"/>
      <c r="E46" s="15"/>
      <c r="F46" s="13" t="s">
        <v>45</v>
      </c>
      <c r="G46" s="16">
        <f>IF(J34=3,CORREL(I38:I40,H38:H40),IF(J34=4,CORREL(I38:I41,H38:H41),IF(J34=5,CORREL(I38:I42,H38:H42))))</f>
        <v>0.99997666420346865</v>
      </c>
      <c r="H46" s="14"/>
      <c r="I46" s="14"/>
      <c r="J46" s="15"/>
    </row>
    <row r="47" spans="1:10" x14ac:dyDescent="0.25">
      <c r="A47" s="13"/>
      <c r="B47" s="14"/>
      <c r="C47" s="14"/>
      <c r="D47" s="14"/>
      <c r="E47" s="15"/>
      <c r="F47" s="13"/>
      <c r="G47" s="14"/>
      <c r="H47" s="14"/>
      <c r="I47" s="14"/>
      <c r="J47" s="15"/>
    </row>
    <row r="48" spans="1:10" x14ac:dyDescent="0.25">
      <c r="A48" s="13"/>
      <c r="B48" s="14"/>
      <c r="C48" s="14"/>
      <c r="D48" s="14"/>
      <c r="E48" s="15"/>
      <c r="F48" s="13"/>
      <c r="G48" s="14"/>
      <c r="H48" s="14"/>
      <c r="I48" s="14"/>
      <c r="J48" s="15"/>
    </row>
    <row r="49" spans="1:10" x14ac:dyDescent="0.25">
      <c r="A49" s="13"/>
      <c r="B49" s="14"/>
      <c r="C49" s="14"/>
      <c r="D49" s="14"/>
      <c r="E49" s="15"/>
      <c r="F49" s="13"/>
      <c r="G49" s="14"/>
      <c r="H49" s="14"/>
      <c r="I49" s="14"/>
      <c r="J49" s="15"/>
    </row>
    <row r="50" spans="1:10" x14ac:dyDescent="0.25">
      <c r="A50" s="13"/>
      <c r="B50" s="14"/>
      <c r="C50" s="14"/>
      <c r="D50" s="14"/>
      <c r="E50" s="15"/>
      <c r="F50" s="13"/>
      <c r="G50" s="14"/>
      <c r="H50" s="14"/>
      <c r="I50" s="14"/>
      <c r="J50" s="15"/>
    </row>
    <row r="51" spans="1:10" x14ac:dyDescent="0.25">
      <c r="A51" s="13"/>
      <c r="B51" s="14"/>
      <c r="C51" s="14"/>
      <c r="D51" s="14"/>
      <c r="E51" s="15"/>
      <c r="F51" s="13"/>
      <c r="G51" s="14"/>
      <c r="H51" s="14"/>
      <c r="I51" s="14"/>
      <c r="J51" s="15"/>
    </row>
    <row r="52" spans="1:10" x14ac:dyDescent="0.25">
      <c r="A52" s="13"/>
      <c r="B52" s="14"/>
      <c r="C52" s="14"/>
      <c r="D52" s="14"/>
      <c r="E52" s="15"/>
      <c r="F52" s="13"/>
      <c r="G52" s="14"/>
      <c r="H52" s="14"/>
      <c r="I52" s="14"/>
      <c r="J52" s="15"/>
    </row>
    <row r="53" spans="1:10" x14ac:dyDescent="0.25">
      <c r="A53" s="13"/>
      <c r="B53" s="14"/>
      <c r="C53" s="14"/>
      <c r="D53" s="14"/>
      <c r="E53" s="15"/>
      <c r="F53" s="13"/>
      <c r="G53" s="14"/>
      <c r="H53" s="14"/>
      <c r="I53" s="14"/>
      <c r="J53" s="15"/>
    </row>
    <row r="54" spans="1:10" x14ac:dyDescent="0.25">
      <c r="A54" s="13"/>
      <c r="B54" s="14"/>
      <c r="C54" s="14"/>
      <c r="D54" s="14"/>
      <c r="E54" s="15"/>
      <c r="F54" s="13"/>
      <c r="G54" s="14"/>
      <c r="H54" s="14"/>
      <c r="I54" s="14"/>
      <c r="J54" s="15"/>
    </row>
    <row r="55" spans="1:10" x14ac:dyDescent="0.25">
      <c r="A55" s="13"/>
      <c r="B55" s="14"/>
      <c r="C55" s="14"/>
      <c r="D55" s="14"/>
      <c r="E55" s="15"/>
      <c r="F55" s="13"/>
      <c r="G55" s="14"/>
      <c r="H55" s="14"/>
      <c r="I55" s="14"/>
      <c r="J55" s="15"/>
    </row>
    <row r="56" spans="1:10" x14ac:dyDescent="0.25">
      <c r="A56" s="13"/>
      <c r="B56" s="14"/>
      <c r="C56" s="14"/>
      <c r="D56" s="14"/>
      <c r="E56" s="15"/>
      <c r="F56" s="13"/>
      <c r="G56" s="14"/>
      <c r="H56" s="14"/>
      <c r="I56" s="14"/>
      <c r="J56" s="15"/>
    </row>
    <row r="57" spans="1:10" ht="15.75" thickBot="1" x14ac:dyDescent="0.3">
      <c r="A57" s="17" t="s">
        <v>18</v>
      </c>
      <c r="B57" s="18"/>
      <c r="C57" s="18"/>
      <c r="D57" s="18">
        <f>IF(E34=5,AVERAGE(E38:E42),IF(E34=4,AVERAGE(E38:E41),IF(E34=3,(AVERAGE(E38:E40)))))</f>
        <v>1.253307403179658E-3</v>
      </c>
      <c r="E57" s="19"/>
      <c r="F57" s="17" t="s">
        <v>18</v>
      </c>
      <c r="G57" s="18"/>
      <c r="H57" s="18"/>
      <c r="I57" s="18">
        <f>IF(J34=5,AVERAGE(J38:J42),IF(J34=4,AVERAGE(J38:J41),IF(J34=3,(AVERAGE(J38:J40)))))</f>
        <v>2.684230398448788E-3</v>
      </c>
      <c r="J57" s="19"/>
    </row>
    <row r="58" spans="1:10" ht="15.75" thickBot="1" x14ac:dyDescent="0.3"/>
    <row r="59" spans="1:10" ht="19.5" thickBot="1" x14ac:dyDescent="0.35">
      <c r="A59" s="11" t="s">
        <v>2</v>
      </c>
      <c r="B59" s="21" t="str">
        <f>Calculations!S8</f>
        <v>Zn-BLK corrected</v>
      </c>
      <c r="C59" s="12"/>
      <c r="D59" s="12" t="s">
        <v>25</v>
      </c>
      <c r="E59" s="75">
        <v>5</v>
      </c>
    </row>
    <row r="60" spans="1:10" ht="15.75" thickBot="1" x14ac:dyDescent="0.3">
      <c r="A60" s="13"/>
      <c r="B60" s="14"/>
      <c r="C60" s="14"/>
      <c r="D60" s="14"/>
      <c r="E60" s="15"/>
    </row>
    <row r="61" spans="1:10" ht="15.75" thickBot="1" x14ac:dyDescent="0.3">
      <c r="A61" s="13" t="s">
        <v>22</v>
      </c>
      <c r="B61" s="75">
        <v>17386.2</v>
      </c>
      <c r="C61" s="14" t="s">
        <v>23</v>
      </c>
      <c r="D61" s="75">
        <v>2.8</v>
      </c>
      <c r="E61" s="15"/>
    </row>
    <row r="62" spans="1:10" ht="15.75" thickBot="1" x14ac:dyDescent="0.3">
      <c r="A62" s="13"/>
      <c r="B62" s="14" t="s">
        <v>13</v>
      </c>
      <c r="C62" s="14" t="s">
        <v>14</v>
      </c>
      <c r="D62" s="14" t="s">
        <v>15</v>
      </c>
      <c r="E62" s="41" t="s">
        <v>7</v>
      </c>
    </row>
    <row r="63" spans="1:10" x14ac:dyDescent="0.25">
      <c r="A63" s="13" t="s">
        <v>9</v>
      </c>
      <c r="B63" s="76">
        <v>78789.02</v>
      </c>
      <c r="C63" s="5">
        <f>B63-$B$61</f>
        <v>61402.820000000007</v>
      </c>
      <c r="D63" s="79">
        <v>10.020905681617522</v>
      </c>
      <c r="E63" s="6">
        <f>D63*(3*$D$61)/(B63-$B$61)</f>
        <v>1.3708752745490705E-3</v>
      </c>
    </row>
    <row r="64" spans="1:10" x14ac:dyDescent="0.25">
      <c r="A64" s="13" t="s">
        <v>10</v>
      </c>
      <c r="B64" s="77">
        <v>150777.76</v>
      </c>
      <c r="C64" s="3">
        <f>B64-$B$61</f>
        <v>133391.56</v>
      </c>
      <c r="D64" s="80">
        <v>20.010483178954733</v>
      </c>
      <c r="E64" s="7">
        <f t="shared" ref="E64:E67" si="4">D64*(3*$D$61)/(B64-$B$61)</f>
        <v>1.2601101501715682E-3</v>
      </c>
    </row>
    <row r="65" spans="1:5" x14ac:dyDescent="0.25">
      <c r="A65" s="13" t="s">
        <v>11</v>
      </c>
      <c r="B65" s="77">
        <v>369985.24</v>
      </c>
      <c r="C65" s="3">
        <f>B65-$B$61</f>
        <v>352599.03999999998</v>
      </c>
      <c r="D65" s="80">
        <v>50.923200059572721</v>
      </c>
      <c r="E65" s="7">
        <f t="shared" si="4"/>
        <v>1.2131481710795661E-3</v>
      </c>
    </row>
    <row r="66" spans="1:5" x14ac:dyDescent="0.25">
      <c r="A66" s="13" t="s">
        <v>12</v>
      </c>
      <c r="B66" s="77">
        <v>726205.49</v>
      </c>
      <c r="C66" s="3">
        <f>B66-$B$61</f>
        <v>708819.29</v>
      </c>
      <c r="D66" s="80">
        <v>101.92142627930184</v>
      </c>
      <c r="E66" s="7">
        <f t="shared" si="4"/>
        <v>1.2078395619652721E-3</v>
      </c>
    </row>
    <row r="67" spans="1:5" ht="15.75" thickBot="1" x14ac:dyDescent="0.3">
      <c r="A67" s="13" t="s">
        <v>24</v>
      </c>
      <c r="B67" s="78">
        <v>7027477.6699999999</v>
      </c>
      <c r="C67" s="23">
        <f>B67-$B$61</f>
        <v>7010091.4699999997</v>
      </c>
      <c r="D67" s="81">
        <v>1013.5956835318001</v>
      </c>
      <c r="E67" s="24">
        <f t="shared" si="4"/>
        <v>1.2145638581328125E-3</v>
      </c>
    </row>
    <row r="68" spans="1:5" x14ac:dyDescent="0.25">
      <c r="A68" s="13"/>
      <c r="B68" s="14"/>
      <c r="C68" s="14"/>
      <c r="D68" s="14"/>
      <c r="E68" s="15"/>
    </row>
    <row r="69" spans="1:5" x14ac:dyDescent="0.25">
      <c r="A69" s="13" t="s">
        <v>16</v>
      </c>
      <c r="B69" s="16">
        <f>IF(E59=3,SLOPE(D63:D65,C63:C65),IF(E59=4,SLOPE(D63:D66,C63:C66),IF(E59=5,SLOPE(D63:D67,C63:C67))))</f>
        <v>1.4452712701946489E-4</v>
      </c>
      <c r="C69" s="14"/>
      <c r="D69" s="14"/>
      <c r="E69" s="15"/>
    </row>
    <row r="70" spans="1:5" x14ac:dyDescent="0.25">
      <c r="A70" s="13" t="s">
        <v>17</v>
      </c>
      <c r="B70" s="16">
        <f>IF(E59=3,INTERCEPT(D63:D65,C63:C65),IF(E59=4,INTERCEPT(D63:D66,C63:C66),IF(E59=5,INTERCEPT(D63:D66,C63:C66))))</f>
        <v>1.1086854553558396</v>
      </c>
      <c r="C70" s="14"/>
      <c r="D70" s="14"/>
      <c r="E70" s="15"/>
    </row>
    <row r="71" spans="1:5" x14ac:dyDescent="0.25">
      <c r="A71" s="13" t="s">
        <v>45</v>
      </c>
      <c r="B71" s="16">
        <f>IF(E59=3,CORREL(D63:D65,C63:C65),IF(E59=4,CORREL(D63:D66,C63:C66),IF(E59=5,CORREL(D63:D67,C63:C67))))</f>
        <v>0.99999887345751781</v>
      </c>
      <c r="C71" s="14"/>
      <c r="D71" s="14"/>
      <c r="E71" s="15"/>
    </row>
    <row r="72" spans="1:5" x14ac:dyDescent="0.25">
      <c r="A72" s="13"/>
      <c r="B72" s="14"/>
      <c r="C72" s="14"/>
      <c r="D72" s="14"/>
      <c r="E72" s="15"/>
    </row>
    <row r="73" spans="1:5" x14ac:dyDescent="0.25">
      <c r="A73" s="13"/>
      <c r="B73" s="14"/>
      <c r="C73" s="14"/>
      <c r="D73" s="14"/>
      <c r="E73" s="15"/>
    </row>
    <row r="74" spans="1:5" x14ac:dyDescent="0.25">
      <c r="A74" s="13"/>
      <c r="B74" s="14"/>
      <c r="C74" s="14"/>
      <c r="D74" s="14"/>
      <c r="E74" s="15"/>
    </row>
    <row r="75" spans="1:5" x14ac:dyDescent="0.25">
      <c r="A75" s="13"/>
      <c r="B75" s="14"/>
      <c r="C75" s="14"/>
      <c r="D75" s="14"/>
      <c r="E75" s="15"/>
    </row>
    <row r="76" spans="1:5" x14ac:dyDescent="0.25">
      <c r="A76" s="13"/>
      <c r="B76" s="14"/>
      <c r="C76" s="14"/>
      <c r="D76" s="14"/>
      <c r="E76" s="15"/>
    </row>
    <row r="77" spans="1:5" x14ac:dyDescent="0.25">
      <c r="A77" s="13"/>
      <c r="B77" s="14"/>
      <c r="C77" s="14"/>
      <c r="D77" s="14"/>
      <c r="E77" s="15"/>
    </row>
    <row r="78" spans="1:5" x14ac:dyDescent="0.25">
      <c r="A78" s="13"/>
      <c r="B78" s="14"/>
      <c r="C78" s="14"/>
      <c r="D78" s="14"/>
      <c r="E78" s="15"/>
    </row>
    <row r="79" spans="1:5" x14ac:dyDescent="0.25">
      <c r="A79" s="13"/>
      <c r="B79" s="14"/>
      <c r="C79" s="14"/>
      <c r="D79" s="14"/>
      <c r="E79" s="15"/>
    </row>
    <row r="80" spans="1:5" x14ac:dyDescent="0.25">
      <c r="A80" s="13"/>
      <c r="B80" s="14"/>
      <c r="C80" s="14"/>
      <c r="D80" s="14"/>
      <c r="E80" s="15"/>
    </row>
    <row r="81" spans="1:5" x14ac:dyDescent="0.25">
      <c r="A81" s="13"/>
      <c r="B81" s="14"/>
      <c r="C81" s="14"/>
      <c r="D81" s="14"/>
      <c r="E81" s="15"/>
    </row>
    <row r="82" spans="1:5" ht="15.75" thickBot="1" x14ac:dyDescent="0.3">
      <c r="A82" s="17" t="s">
        <v>18</v>
      </c>
      <c r="B82" s="18"/>
      <c r="C82" s="18"/>
      <c r="D82" s="18">
        <f>IF(E59=5,AVERAGE(E63:E67),IF(E59=4,AVERAGE(E63:E66),IF(E59=3,(AVERAGE(E63:E65)))))</f>
        <v>1.253307403179658E-3</v>
      </c>
      <c r="E82" s="19"/>
    </row>
  </sheetData>
  <sheetProtection password="CDCC" sheet="1" objects="1" scenarios="1" formatCells="0" formatColumns="0" formatRows="0"/>
  <pageMargins left="0.7" right="0.7" top="0.75" bottom="0.75" header="0.3" footer="0.3"/>
  <pageSetup paperSize="9" scale="59" orientation="portrait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Validation</vt:lpstr>
      <vt:lpstr>Calculations</vt:lpstr>
      <vt:lpstr>LOD calculation</vt:lpstr>
      <vt:lpstr>Calculations!Print_Area</vt:lpstr>
      <vt:lpstr>'LOD calculation'!Print_Area</vt:lpstr>
    </vt:vector>
  </TitlesOfParts>
  <Company>National Oceanography Centre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pawcaa</cp:lastModifiedBy>
  <cp:lastPrinted>2019-01-31T14:43:10Z</cp:lastPrinted>
  <dcterms:created xsi:type="dcterms:W3CDTF">2015-01-14T15:50:14Z</dcterms:created>
  <dcterms:modified xsi:type="dcterms:W3CDTF">2021-09-21T11:18:21Z</dcterms:modified>
</cp:coreProperties>
</file>