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GEOCHEM\GAUResearch\Pawel Gaca\Andy Cundy - miroplastics\"/>
    </mc:Choice>
  </mc:AlternateContent>
  <bookViews>
    <workbookView xWindow="-37800" yWindow="0" windowWidth="34605" windowHeight="20055" activeTab="1"/>
  </bookViews>
  <sheets>
    <sheet name="Validation" sheetId="2" r:id="rId1"/>
    <sheet name="Calculations" sheetId="1" r:id="rId2"/>
    <sheet name="LOD calculation" sheetId="3" r:id="rId3"/>
  </sheets>
  <definedNames>
    <definedName name="_xlnm.Print_Area" localSheetId="1">Calculations!$A$1:$V$55</definedName>
    <definedName name="_xlnm.Print_Area" localSheetId="2">'LOD calculation'!$A$1:$J$82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0" i="1"/>
  <c r="E9" i="1"/>
  <c r="E64" i="3" l="1"/>
  <c r="E65" i="3"/>
  <c r="E66" i="3"/>
  <c r="E67" i="3"/>
  <c r="E63" i="3"/>
  <c r="J39" i="3"/>
  <c r="J40" i="3"/>
  <c r="J41" i="3"/>
  <c r="J42" i="3"/>
  <c r="J38" i="3"/>
  <c r="E39" i="3"/>
  <c r="E40" i="3"/>
  <c r="E41" i="3"/>
  <c r="E42" i="3"/>
  <c r="E38" i="3"/>
  <c r="E14" i="3"/>
  <c r="E15" i="3"/>
  <c r="E16" i="3"/>
  <c r="E17" i="3"/>
  <c r="J14" i="3"/>
  <c r="J15" i="3"/>
  <c r="J16" i="3"/>
  <c r="J17" i="3"/>
  <c r="J13" i="3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D3" i="3"/>
  <c r="A3" i="3"/>
  <c r="A1" i="3"/>
  <c r="D3" i="1"/>
  <c r="A3" i="1"/>
  <c r="A1" i="1"/>
  <c r="N34" i="1"/>
  <c r="K34" i="1"/>
  <c r="H34" i="1"/>
  <c r="E34" i="1"/>
  <c r="B34" i="1"/>
  <c r="R10" i="1"/>
  <c r="U10" i="1"/>
  <c r="R11" i="1"/>
  <c r="U11" i="1"/>
  <c r="R12" i="1"/>
  <c r="U12" i="1"/>
  <c r="R13" i="1"/>
  <c r="U13" i="1"/>
  <c r="R14" i="1"/>
  <c r="U14" i="1"/>
  <c r="R15" i="1"/>
  <c r="U15" i="1"/>
  <c r="R16" i="1"/>
  <c r="U16" i="1"/>
  <c r="R17" i="1"/>
  <c r="U17" i="1"/>
  <c r="R18" i="1"/>
  <c r="U18" i="1"/>
  <c r="R19" i="1"/>
  <c r="U19" i="1"/>
  <c r="R20" i="1"/>
  <c r="U20" i="1"/>
  <c r="R21" i="1"/>
  <c r="U21" i="1"/>
  <c r="R22" i="1"/>
  <c r="U22" i="1"/>
  <c r="R23" i="1"/>
  <c r="U23" i="1"/>
  <c r="R24" i="1"/>
  <c r="U24" i="1"/>
  <c r="R25" i="1"/>
  <c r="U25" i="1"/>
  <c r="R26" i="1"/>
  <c r="U26" i="1"/>
  <c r="R27" i="1"/>
  <c r="U27" i="1"/>
  <c r="R28" i="1"/>
  <c r="U28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F28" i="1"/>
  <c r="K55" i="1" s="1"/>
  <c r="F10" i="1"/>
  <c r="F11" i="1"/>
  <c r="H38" i="1" s="1"/>
  <c r="F12" i="1"/>
  <c r="F13" i="1"/>
  <c r="N40" i="1" s="1"/>
  <c r="F14" i="1"/>
  <c r="K41" i="1" s="1"/>
  <c r="F15" i="1"/>
  <c r="H42" i="1" s="1"/>
  <c r="F16" i="1"/>
  <c r="F17" i="1"/>
  <c r="F18" i="1"/>
  <c r="E45" i="1" s="1"/>
  <c r="F19" i="1"/>
  <c r="K46" i="1" s="1"/>
  <c r="F20" i="1"/>
  <c r="H47" i="1" s="1"/>
  <c r="F21" i="1"/>
  <c r="F22" i="1"/>
  <c r="N49" i="1" s="1"/>
  <c r="F23" i="1"/>
  <c r="H50" i="1" s="1"/>
  <c r="F24" i="1"/>
  <c r="F25" i="1"/>
  <c r="F26" i="1"/>
  <c r="N53" i="1" s="1"/>
  <c r="F27" i="1"/>
  <c r="N54" i="1" s="1"/>
  <c r="C67" i="3"/>
  <c r="H42" i="3"/>
  <c r="C42" i="3"/>
  <c r="H17" i="3"/>
  <c r="C17" i="3"/>
  <c r="C66" i="3"/>
  <c r="H41" i="3"/>
  <c r="C41" i="3"/>
  <c r="H16" i="3"/>
  <c r="C16" i="3"/>
  <c r="C65" i="3"/>
  <c r="H40" i="3"/>
  <c r="C40" i="3"/>
  <c r="H15" i="3"/>
  <c r="C15" i="3"/>
  <c r="C64" i="3"/>
  <c r="H39" i="3"/>
  <c r="C39" i="3"/>
  <c r="H14" i="3"/>
  <c r="C14" i="3"/>
  <c r="C63" i="3"/>
  <c r="B71" i="3" s="1"/>
  <c r="H38" i="3"/>
  <c r="C38" i="3"/>
  <c r="H13" i="3"/>
  <c r="E13" i="3"/>
  <c r="C13" i="3"/>
  <c r="B59" i="3"/>
  <c r="G34" i="3"/>
  <c r="B34" i="3"/>
  <c r="G9" i="3"/>
  <c r="B9" i="3"/>
  <c r="D82" i="3" l="1"/>
  <c r="P50" i="1" s="1"/>
  <c r="G45" i="3"/>
  <c r="G21" i="3"/>
  <c r="G19" i="3"/>
  <c r="G20" i="3"/>
  <c r="B20" i="3"/>
  <c r="I39" i="1"/>
  <c r="C55" i="1"/>
  <c r="F45" i="1"/>
  <c r="C53" i="1"/>
  <c r="C49" i="1"/>
  <c r="C45" i="1"/>
  <c r="C41" i="1"/>
  <c r="L41" i="1"/>
  <c r="I55" i="1"/>
  <c r="L53" i="1"/>
  <c r="L49" i="1"/>
  <c r="N50" i="1"/>
  <c r="N45" i="1"/>
  <c r="E41" i="1"/>
  <c r="C40" i="1"/>
  <c r="O46" i="1"/>
  <c r="O38" i="1"/>
  <c r="B49" i="1"/>
  <c r="B41" i="1"/>
  <c r="E50" i="1"/>
  <c r="C47" i="1"/>
  <c r="F54" i="1"/>
  <c r="F50" i="1"/>
  <c r="F46" i="1"/>
  <c r="F42" i="1"/>
  <c r="I53" i="1"/>
  <c r="I49" i="1"/>
  <c r="I45" i="1"/>
  <c r="I41" i="1"/>
  <c r="L54" i="1"/>
  <c r="L50" i="1"/>
  <c r="L46" i="1"/>
  <c r="L42" i="1"/>
  <c r="E54" i="1"/>
  <c r="H49" i="1"/>
  <c r="K42" i="1"/>
  <c r="C54" i="1"/>
  <c r="C50" i="1"/>
  <c r="C46" i="1"/>
  <c r="C42" i="1"/>
  <c r="C38" i="1"/>
  <c r="F53" i="1"/>
  <c r="F49" i="1"/>
  <c r="F41" i="1"/>
  <c r="I44" i="1"/>
  <c r="O53" i="1"/>
  <c r="O49" i="1"/>
  <c r="O45" i="1"/>
  <c r="O41" i="1"/>
  <c r="B53" i="1"/>
  <c r="B45" i="1"/>
  <c r="H53" i="1"/>
  <c r="N46" i="1"/>
  <c r="H52" i="1"/>
  <c r="N52" i="1"/>
  <c r="K52" i="1"/>
  <c r="B52" i="1"/>
  <c r="E52" i="1"/>
  <c r="E44" i="1"/>
  <c r="N44" i="1"/>
  <c r="K44" i="1"/>
  <c r="B44" i="1"/>
  <c r="H44" i="1"/>
  <c r="I51" i="1"/>
  <c r="E51" i="1"/>
  <c r="N51" i="1"/>
  <c r="B51" i="1"/>
  <c r="K51" i="1"/>
  <c r="H51" i="1"/>
  <c r="L43" i="1"/>
  <c r="H43" i="1"/>
  <c r="B43" i="1"/>
  <c r="E43" i="1"/>
  <c r="N43" i="1"/>
  <c r="K43" i="1"/>
  <c r="E39" i="1"/>
  <c r="N39" i="1"/>
  <c r="B39" i="1"/>
  <c r="H39" i="1"/>
  <c r="K39" i="1"/>
  <c r="C52" i="1"/>
  <c r="C48" i="1"/>
  <c r="C44" i="1"/>
  <c r="O44" i="1"/>
  <c r="H48" i="1"/>
  <c r="N48" i="1"/>
  <c r="K48" i="1"/>
  <c r="B48" i="1"/>
  <c r="E48" i="1"/>
  <c r="C51" i="1"/>
  <c r="C43" i="1"/>
  <c r="C39" i="1"/>
  <c r="F52" i="1"/>
  <c r="F48" i="1"/>
  <c r="F44" i="1"/>
  <c r="F40" i="1"/>
  <c r="I47" i="1"/>
  <c r="I43" i="1"/>
  <c r="L55" i="1"/>
  <c r="L51" i="1"/>
  <c r="L47" i="1"/>
  <c r="L45" i="1"/>
  <c r="L39" i="1"/>
  <c r="B54" i="1"/>
  <c r="B50" i="1"/>
  <c r="B46" i="1"/>
  <c r="B42" i="1"/>
  <c r="B38" i="1"/>
  <c r="K54" i="1"/>
  <c r="E53" i="1"/>
  <c r="K50" i="1"/>
  <c r="E49" i="1"/>
  <c r="E47" i="1"/>
  <c r="H46" i="1"/>
  <c r="N42" i="1"/>
  <c r="E42" i="1"/>
  <c r="H41" i="1"/>
  <c r="K40" i="1"/>
  <c r="E38" i="1"/>
  <c r="F38" i="1"/>
  <c r="L52" i="1"/>
  <c r="L48" i="1"/>
  <c r="L44" i="1"/>
  <c r="L40" i="1"/>
  <c r="L38" i="1"/>
  <c r="B40" i="1"/>
  <c r="N55" i="1"/>
  <c r="E55" i="1"/>
  <c r="K47" i="1"/>
  <c r="E40" i="1"/>
  <c r="K38" i="1"/>
  <c r="I52" i="1"/>
  <c r="I48" i="1"/>
  <c r="I40" i="1"/>
  <c r="O55" i="1"/>
  <c r="O51" i="1"/>
  <c r="O47" i="1"/>
  <c r="O43" i="1"/>
  <c r="O39" i="1"/>
  <c r="F55" i="1"/>
  <c r="F51" i="1"/>
  <c r="F47" i="1"/>
  <c r="F43" i="1"/>
  <c r="F39" i="1"/>
  <c r="I54" i="1"/>
  <c r="I50" i="1"/>
  <c r="I46" i="1"/>
  <c r="I42" i="1"/>
  <c r="I38" i="1"/>
  <c r="O54" i="1"/>
  <c r="O52" i="1"/>
  <c r="O50" i="1"/>
  <c r="O48" i="1"/>
  <c r="O40" i="1"/>
  <c r="B55" i="1"/>
  <c r="B47" i="1"/>
  <c r="H55" i="1"/>
  <c r="H54" i="1"/>
  <c r="K53" i="1"/>
  <c r="K49" i="1"/>
  <c r="N47" i="1"/>
  <c r="E46" i="1"/>
  <c r="H45" i="1"/>
  <c r="N41" i="1"/>
  <c r="H40" i="1"/>
  <c r="N38" i="1"/>
  <c r="K45" i="1"/>
  <c r="O42" i="1"/>
  <c r="B21" i="3"/>
  <c r="B19" i="3"/>
  <c r="P51" i="1"/>
  <c r="B69" i="3"/>
  <c r="B70" i="3"/>
  <c r="P44" i="1"/>
  <c r="P52" i="1"/>
  <c r="P55" i="1"/>
  <c r="I57" i="3"/>
  <c r="M42" i="1" s="1"/>
  <c r="G44" i="3"/>
  <c r="G46" i="3"/>
  <c r="D57" i="3"/>
  <c r="J46" i="1" s="1"/>
  <c r="B45" i="3"/>
  <c r="B44" i="3"/>
  <c r="B46" i="3"/>
  <c r="I32" i="3"/>
  <c r="G49" i="1" s="1"/>
  <c r="D32" i="3"/>
  <c r="P40" i="1" l="1"/>
  <c r="P42" i="1"/>
  <c r="P54" i="1"/>
  <c r="P49" i="1"/>
  <c r="P43" i="1"/>
  <c r="P45" i="1"/>
  <c r="P39" i="1"/>
  <c r="P38" i="1"/>
  <c r="P46" i="1"/>
  <c r="P48" i="1"/>
  <c r="P41" i="1"/>
  <c r="P53" i="1"/>
  <c r="P47" i="1"/>
  <c r="J51" i="1"/>
  <c r="J45" i="1"/>
  <c r="J43" i="1"/>
  <c r="J50" i="1"/>
  <c r="J42" i="1"/>
  <c r="D38" i="1"/>
  <c r="D43" i="1"/>
  <c r="D44" i="1"/>
  <c r="D47" i="1"/>
  <c r="D50" i="1"/>
  <c r="D53" i="1"/>
  <c r="D40" i="1"/>
  <c r="D42" i="1"/>
  <c r="D46" i="1"/>
  <c r="D49" i="1"/>
  <c r="D52" i="1"/>
  <c r="D54" i="1"/>
  <c r="D39" i="1"/>
  <c r="D41" i="1"/>
  <c r="D45" i="1"/>
  <c r="D48" i="1"/>
  <c r="D51" i="1"/>
  <c r="D55" i="1"/>
  <c r="M51" i="1"/>
  <c r="M38" i="1"/>
  <c r="M49" i="1"/>
  <c r="M55" i="1"/>
  <c r="M40" i="1"/>
  <c r="M54" i="1"/>
  <c r="M39" i="1"/>
  <c r="M52" i="1"/>
  <c r="M43" i="1"/>
  <c r="M41" i="1"/>
  <c r="M46" i="1"/>
  <c r="M44" i="1"/>
  <c r="M53" i="1"/>
  <c r="M45" i="1"/>
  <c r="M47" i="1"/>
  <c r="M50" i="1"/>
  <c r="M48" i="1"/>
  <c r="J49" i="1"/>
  <c r="J39" i="1"/>
  <c r="J53" i="1"/>
  <c r="J47" i="1"/>
  <c r="J41" i="1"/>
  <c r="J55" i="1"/>
  <c r="J38" i="1"/>
  <c r="J48" i="1"/>
  <c r="J54" i="1"/>
  <c r="J44" i="1"/>
  <c r="J52" i="1"/>
  <c r="J40" i="1"/>
  <c r="G38" i="1"/>
  <c r="G50" i="1"/>
  <c r="G48" i="1"/>
  <c r="G52" i="1"/>
  <c r="G53" i="1"/>
  <c r="G51" i="1"/>
  <c r="G45" i="1"/>
  <c r="G41" i="1"/>
  <c r="G44" i="1"/>
  <c r="G42" i="1"/>
  <c r="G40" i="1"/>
  <c r="G54" i="1"/>
  <c r="G39" i="1"/>
  <c r="G46" i="1"/>
  <c r="G47" i="1"/>
  <c r="G43" i="1"/>
  <c r="G55" i="1"/>
  <c r="F9" i="1"/>
  <c r="K35" i="1"/>
  <c r="H35" i="1"/>
  <c r="E35" i="1"/>
  <c r="B35" i="1"/>
  <c r="A37" i="1"/>
  <c r="A36" i="1"/>
  <c r="N35" i="1"/>
  <c r="U9" i="1"/>
  <c r="R9" i="1"/>
  <c r="O9" i="1"/>
  <c r="L9" i="1"/>
  <c r="I9" i="1"/>
  <c r="H37" i="1" l="1"/>
  <c r="B37" i="1"/>
  <c r="E37" i="1"/>
  <c r="F37" i="1"/>
  <c r="C37" i="1"/>
  <c r="G37" i="1"/>
  <c r="L37" i="1"/>
  <c r="I37" i="1"/>
  <c r="O37" i="1"/>
  <c r="K37" i="1"/>
  <c r="J37" i="1"/>
  <c r="P37" i="1"/>
  <c r="M37" i="1"/>
  <c r="N37" i="1"/>
  <c r="D37" i="1"/>
  <c r="H36" i="1"/>
  <c r="C36" i="1"/>
  <c r="E36" i="1"/>
  <c r="F36" i="1"/>
  <c r="O36" i="1"/>
  <c r="D36" i="1"/>
  <c r="L36" i="1"/>
  <c r="J36" i="1"/>
  <c r="G36" i="1"/>
  <c r="B36" i="1"/>
  <c r="I36" i="1"/>
  <c r="M36" i="1"/>
  <c r="K36" i="1"/>
  <c r="P36" i="1"/>
  <c r="N36" i="1"/>
</calcChain>
</file>

<file path=xl/sharedStrings.xml><?xml version="1.0" encoding="utf-8"?>
<sst xmlns="http://schemas.openxmlformats.org/spreadsheetml/2006/main" count="159" uniqueCount="72">
  <si>
    <t>Code</t>
  </si>
  <si>
    <t>Dilution factor</t>
  </si>
  <si>
    <t>Element</t>
  </si>
  <si>
    <t>1 RSD %</t>
  </si>
  <si>
    <r>
      <t xml:space="preserve"> +/- (2 </t>
    </r>
    <r>
      <rPr>
        <sz val="11"/>
        <color theme="1"/>
        <rFont val="Calibri"/>
        <family val="2"/>
      </rPr>
      <t>σ)</t>
    </r>
  </si>
  <si>
    <t>ICP-MS data</t>
  </si>
  <si>
    <t xml:space="preserve"> +/-</t>
  </si>
  <si>
    <t>LOD</t>
  </si>
  <si>
    <t>Calibrations and MDC determination</t>
  </si>
  <si>
    <t>STD 1</t>
  </si>
  <si>
    <t>STD 2</t>
  </si>
  <si>
    <t>STD 3</t>
  </si>
  <si>
    <t>STD 4</t>
  </si>
  <si>
    <t>cps</t>
  </si>
  <si>
    <t>ccps</t>
  </si>
  <si>
    <t>ppb</t>
  </si>
  <si>
    <t>slope=</t>
  </si>
  <si>
    <t>intercept=</t>
  </si>
  <si>
    <t>Corresponding concnetration (ppb)</t>
  </si>
  <si>
    <t>Final concentration in original sample [ppm]</t>
  </si>
  <si>
    <t>In-Re (g)</t>
  </si>
  <si>
    <t>Total dilution (g)</t>
  </si>
  <si>
    <t>Instr. BKG (cps)=</t>
  </si>
  <si>
    <t>SD (1sigma)=</t>
  </si>
  <si>
    <t>STD 5</t>
  </si>
  <si>
    <t>No of STDs</t>
  </si>
  <si>
    <t>Element 1</t>
  </si>
  <si>
    <t>Element 2</t>
  </si>
  <si>
    <t>Element 3</t>
  </si>
  <si>
    <t>Element 4</t>
  </si>
  <si>
    <t>Element 5</t>
  </si>
  <si>
    <t>Spreadsheet summary</t>
  </si>
  <si>
    <t>Document Reference Number</t>
  </si>
  <si>
    <t>Spreadsheet title</t>
  </si>
  <si>
    <t>Issue number</t>
  </si>
  <si>
    <t>Issue date</t>
  </si>
  <si>
    <t>Constructed by</t>
  </si>
  <si>
    <t>Updated by</t>
  </si>
  <si>
    <t>n/a</t>
  </si>
  <si>
    <t>Date validated</t>
  </si>
  <si>
    <t>Validated by</t>
  </si>
  <si>
    <t>GAU/SSH/068</t>
  </si>
  <si>
    <t>Elemental analysis by ICP-MS</t>
  </si>
  <si>
    <t>P. Gaca</t>
  </si>
  <si>
    <t>Issue:</t>
  </si>
  <si>
    <t>Correlation =</t>
  </si>
  <si>
    <t>(results entered are blank and drift corrected ppb)</t>
  </si>
  <si>
    <t>PLEASE NOTE: always use min 3 and max 5 calibration standards</t>
  </si>
  <si>
    <t>David Reading</t>
  </si>
  <si>
    <t>Dilution mass (3% HNO3) [g]</t>
  </si>
  <si>
    <t>original sample used for ICP-MS analysis (g)</t>
  </si>
  <si>
    <t>Final solution for ICP-MS analysis</t>
  </si>
  <si>
    <t>MD01</t>
  </si>
  <si>
    <t>MS01</t>
  </si>
  <si>
    <t>MD03</t>
  </si>
  <si>
    <t>MS03</t>
  </si>
  <si>
    <t>MD04</t>
  </si>
  <si>
    <t>MS04</t>
  </si>
  <si>
    <t>BLK 1</t>
  </si>
  <si>
    <t>BLK 2</t>
  </si>
  <si>
    <t>BLK 3</t>
  </si>
  <si>
    <t>MD01 Rinse</t>
  </si>
  <si>
    <t>MS01 Rinse</t>
  </si>
  <si>
    <t>MD03 Rinse</t>
  </si>
  <si>
    <t>MS03 Rinse</t>
  </si>
  <si>
    <t>MD04 Rinse</t>
  </si>
  <si>
    <t>MS04 Rinse</t>
  </si>
  <si>
    <t>Al</t>
  </si>
  <si>
    <t>Co</t>
  </si>
  <si>
    <t>Cr</t>
  </si>
  <si>
    <t>Cu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</si>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</sst>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00"/>
    <numFmt numFmtId="166" formatCode="0.0000"/>
    <numFmt numFmtId="167" formatCode="0.00000"/>
    <numFmt numFmtId="168" formatCode="0.0"/>
    <numFmt numFmtId="169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164" fontId="0" fillId="0" borderId="11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165" fontId="0" fillId="0" borderId="0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0" fillId="0" borderId="21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22" xfId="0" applyBorder="1"/>
    <xf numFmtId="0" fontId="0" fillId="0" borderId="25" xfId="0" applyBorder="1"/>
    <xf numFmtId="0" fontId="0" fillId="0" borderId="2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0" fillId="0" borderId="11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6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28" xfId="0" applyNumberFormat="1" applyBorder="1"/>
    <xf numFmtId="1" fontId="0" fillId="0" borderId="12" xfId="0" applyNumberFormat="1" applyBorder="1"/>
    <xf numFmtId="2" fontId="0" fillId="0" borderId="6" xfId="0" applyNumberFormat="1" applyBorder="1"/>
    <xf numFmtId="0" fontId="0" fillId="0" borderId="17" xfId="0" applyFill="1" applyBorder="1"/>
    <xf numFmtId="0" fontId="1" fillId="0" borderId="3" xfId="0" applyFont="1" applyBorder="1"/>
    <xf numFmtId="0" fontId="1" fillId="0" borderId="2" xfId="0" applyFont="1" applyBorder="1"/>
    <xf numFmtId="0" fontId="1" fillId="0" borderId="26" xfId="0" applyFont="1" applyBorder="1"/>
    <xf numFmtId="2" fontId="0" fillId="0" borderId="4" xfId="0" applyNumberFormat="1" applyBorder="1"/>
    <xf numFmtId="2" fontId="0" fillId="0" borderId="9" xfId="0" applyNumberFormat="1" applyBorder="1"/>
    <xf numFmtId="0" fontId="6" fillId="0" borderId="0" xfId="0" applyFont="1"/>
    <xf numFmtId="0" fontId="7" fillId="0" borderId="0" xfId="0" applyFont="1"/>
    <xf numFmtId="14" fontId="0" fillId="0" borderId="0" xfId="0" applyNumberFormat="1"/>
    <xf numFmtId="0" fontId="8" fillId="0" borderId="0" xfId="0" applyFont="1"/>
    <xf numFmtId="14" fontId="8" fillId="0" borderId="0" xfId="0" applyNumberFormat="1" applyFont="1"/>
    <xf numFmtId="0" fontId="1" fillId="3" borderId="13" xfId="0" applyFont="1" applyFill="1" applyBorder="1"/>
    <xf numFmtId="0" fontId="0" fillId="3" borderId="14" xfId="0" applyFill="1" applyBorder="1"/>
    <xf numFmtId="0" fontId="0" fillId="3" borderId="15" xfId="0" applyFill="1" applyBorder="1"/>
    <xf numFmtId="0" fontId="1" fillId="3" borderId="16" xfId="0" applyFont="1" applyFill="1" applyBorder="1"/>
    <xf numFmtId="0" fontId="0" fillId="3" borderId="0" xfId="0" applyFill="1" applyBorder="1"/>
    <xf numFmtId="0" fontId="0" fillId="3" borderId="17" xfId="0" applyFill="1" applyBorder="1"/>
    <xf numFmtId="0" fontId="1" fillId="3" borderId="18" xfId="0" applyFont="1" applyFill="1" applyBorder="1"/>
    <xf numFmtId="0" fontId="0" fillId="3" borderId="19" xfId="0" applyFill="1" applyBorder="1"/>
    <xf numFmtId="0" fontId="1" fillId="3" borderId="19" xfId="0" applyFont="1" applyFill="1" applyBorder="1" applyAlignment="1">
      <alignment horizontal="right"/>
    </xf>
    <xf numFmtId="0" fontId="1" fillId="3" borderId="20" xfId="0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/>
    <xf numFmtId="0" fontId="0" fillId="4" borderId="24" xfId="0" applyFill="1" applyBorder="1"/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30" xfId="0" applyBorder="1"/>
    <xf numFmtId="0" fontId="0" fillId="2" borderId="31" xfId="0" applyFill="1" applyBorder="1" applyAlignment="1" applyProtection="1">
      <alignment horizontal="center" vertical="center" wrapText="1"/>
      <protection locked="0"/>
    </xf>
    <xf numFmtId="167" fontId="0" fillId="2" borderId="32" xfId="0" applyNumberFormat="1" applyFill="1" applyBorder="1" applyProtection="1">
      <protection locked="0"/>
    </xf>
    <xf numFmtId="167" fontId="0" fillId="2" borderId="33" xfId="0" applyNumberFormat="1" applyFill="1" applyBorder="1" applyProtection="1">
      <protection locked="0"/>
    </xf>
    <xf numFmtId="0" fontId="0" fillId="0" borderId="26" xfId="0" applyBorder="1"/>
    <xf numFmtId="0" fontId="0" fillId="4" borderId="27" xfId="0" applyFill="1" applyBorder="1" applyAlignment="1">
      <alignment horizontal="center" vertical="center" wrapText="1"/>
    </xf>
    <xf numFmtId="166" fontId="0" fillId="4" borderId="28" xfId="0" applyNumberFormat="1" applyFill="1" applyBorder="1"/>
    <xf numFmtId="166" fontId="0" fillId="4" borderId="34" xfId="0" applyNumberFormat="1" applyFill="1" applyBorder="1"/>
    <xf numFmtId="0" fontId="0" fillId="2" borderId="12" xfId="0" applyFill="1" applyBorder="1" applyProtection="1">
      <protection locked="0"/>
    </xf>
    <xf numFmtId="0" fontId="0" fillId="2" borderId="35" xfId="0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36" xfId="0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 vertical="center" wrapText="1"/>
      <protection locked="0"/>
    </xf>
    <xf numFmtId="166" fontId="0" fillId="2" borderId="32" xfId="0" applyNumberFormat="1" applyFill="1" applyBorder="1" applyProtection="1">
      <protection locked="0"/>
    </xf>
    <xf numFmtId="168" fontId="0" fillId="0" borderId="2" xfId="0" applyNumberFormat="1" applyBorder="1"/>
    <xf numFmtId="168" fontId="0" fillId="0" borderId="3" xfId="0" applyNumberFormat="1" applyBorder="1"/>
    <xf numFmtId="168" fontId="0" fillId="0" borderId="5" xfId="0" applyNumberFormat="1" applyBorder="1"/>
    <xf numFmtId="168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1" xfId="0" applyNumberFormat="1" applyBorder="1"/>
    <xf numFmtId="166" fontId="0" fillId="0" borderId="5" xfId="0" applyNumberFormat="1" applyBorder="1"/>
    <xf numFmtId="166" fontId="0" fillId="0" borderId="1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64" fontId="0" fillId="0" borderId="10" xfId="0" applyNumberFormat="1" applyBorder="1"/>
    <xf numFmtId="164" fontId="0" fillId="0" borderId="26" xfId="0" applyNumberFormat="1" applyBorder="1"/>
    <xf numFmtId="164" fontId="0" fillId="0" borderId="28" xfId="0" applyNumberFormat="1" applyBorder="1"/>
    <xf numFmtId="166" fontId="0" fillId="0" borderId="28" xfId="0" applyNumberFormat="1" applyBorder="1"/>
    <xf numFmtId="167" fontId="0" fillId="0" borderId="5" xfId="0" applyNumberFormat="1" applyBorder="1"/>
    <xf numFmtId="167" fontId="0" fillId="0" borderId="1" xfId="0" applyNumberFormat="1" applyBorder="1"/>
    <xf numFmtId="166" fontId="0" fillId="0" borderId="10" xfId="0" applyNumberFormat="1" applyBorder="1"/>
    <xf numFmtId="167" fontId="0" fillId="0" borderId="28" xfId="0" applyNumberFormat="1" applyBorder="1"/>
    <xf numFmtId="167" fontId="0" fillId="0" borderId="11" xfId="0" applyNumberFormat="1" applyBorder="1"/>
    <xf numFmtId="169" fontId="0" fillId="0" borderId="4" xfId="0" applyNumberFormat="1" applyBorder="1"/>
    <xf numFmtId="167" fontId="0" fillId="0" borderId="4" xfId="0" applyNumberFormat="1" applyBorder="1"/>
    <xf numFmtId="166" fontId="0" fillId="0" borderId="4" xfId="0" applyNumberFormat="1" applyBorder="1"/>
    <xf numFmtId="164" fontId="0" fillId="0" borderId="6" xfId="0" applyNumberFormat="1" applyBorder="1"/>
    <xf numFmtId="166" fontId="0" fillId="0" borderId="6" xfId="0" applyNumberFormat="1" applyBorder="1"/>
    <xf numFmtId="167" fontId="0" fillId="0" borderId="6" xfId="0" applyNumberFormat="1" applyBorder="1"/>
    <xf numFmtId="164" fontId="0" fillId="0" borderId="4" xfId="0" applyNumberFormat="1" applyBorder="1"/>
    <xf numFmtId="164" fontId="0" fillId="0" borderId="12" xfId="0" applyNumberFormat="1" applyBorder="1"/>
    <xf numFmtId="166" fontId="0" fillId="0" borderId="12" xfId="0" applyNumberFormat="1" applyBorder="1"/>
    <xf numFmtId="167" fontId="0" fillId="0" borderId="12" xfId="0" applyNumberFormat="1" applyBorder="1"/>
    <xf numFmtId="169" fontId="0" fillId="0" borderId="12" xfId="0" applyNumberFormat="1" applyBorder="1"/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8" fontId="0" fillId="0" borderId="6" xfId="0" applyNumberFormat="1" applyBorder="1"/>
    <xf numFmtId="2" fontId="0" fillId="0" borderId="12" xfId="0" applyNumberFormat="1" applyBorder="1"/>
    <xf numFmtId="168" fontId="0" fillId="0" borderId="10" xfId="0" applyNumberFormat="1" applyBorder="1"/>
    <xf numFmtId="168" fontId="0" fillId="0" borderId="11" xfId="0" applyNumberFormat="1" applyBorder="1"/>
    <xf numFmtId="168" fontId="0" fillId="0" borderId="12" xfId="0" applyNumberFormat="1" applyBorder="1"/>
    <xf numFmtId="2" fontId="0" fillId="0" borderId="28" xfId="0" applyNumberFormat="1" applyBorder="1"/>
    <xf numFmtId="168" fontId="0" fillId="0" borderId="2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calculation'!$C$13:$C$17</c:f>
              <c:numCache>
                <c:formatCode>General</c:formatCode>
                <c:ptCount val="5"/>
                <c:pt idx="0">
                  <c:v>14641.3</c:v>
                </c:pt>
                <c:pt idx="1">
                  <c:v>29871.820000000003</c:v>
                </c:pt>
                <c:pt idx="2">
                  <c:v>76018.44</c:v>
                </c:pt>
                <c:pt idx="3">
                  <c:v>150971.26999999999</c:v>
                </c:pt>
                <c:pt idx="4">
                  <c:v>1509340.97</c:v>
                </c:pt>
              </c:numCache>
            </c:numRef>
          </c:xVal>
          <c:yVal>
            <c:numRef>
              <c:f>'LOD calculation'!$D$13:$D$17</c:f>
              <c:numCache>
                <c:formatCode>General</c:formatCode>
                <c:ptCount val="5"/>
                <c:pt idx="0">
                  <c:v>11.679606034402404</c:v>
                </c:pt>
                <c:pt idx="1">
                  <c:v>23.322698318272415</c:v>
                </c:pt>
                <c:pt idx="2">
                  <c:v>59.352211626730202</c:v>
                </c:pt>
                <c:pt idx="3">
                  <c:v>118.79186804345665</c:v>
                </c:pt>
                <c:pt idx="4">
                  <c:v>1181.3700914817261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F-4B70-9717-839E1EA56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0880"/>
        <c:axId val="264811440"/>
      </c:scatterChart>
      <c:valAx>
        <c:axId val="26481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4811440"/>
        <c:crosses val="autoZero"/>
        <c:crossBetween val="midCat"/>
      </c:valAx>
      <c:valAx>
        <c:axId val="264811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0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calculation'!$H$13:$H$17</c:f>
              <c:numCache>
                <c:formatCode>General</c:formatCode>
                <c:ptCount val="5"/>
                <c:pt idx="0">
                  <c:v>54418.31</c:v>
                </c:pt>
                <c:pt idx="1">
                  <c:v>544418.12</c:v>
                </c:pt>
                <c:pt idx="2">
                  <c:v>1083194.3599999999</c:v>
                </c:pt>
                <c:pt idx="3">
                  <c:v>2771324.6500000004</c:v>
                </c:pt>
                <c:pt idx="4">
                  <c:v>5432068.6600000001</c:v>
                </c:pt>
              </c:numCache>
            </c:numRef>
          </c:xVal>
          <c:yVal>
            <c:numRef>
              <c:f>'LOD calculation'!$I$13:$I$17</c:f>
              <c:numCache>
                <c:formatCode>General</c:formatCode>
                <c:ptCount val="5"/>
                <c:pt idx="0">
                  <c:v>1.0174370020925367</c:v>
                </c:pt>
                <c:pt idx="1">
                  <c:v>10.060164861565093</c:v>
                </c:pt>
                <c:pt idx="2">
                  <c:v>20.088878803553971</c:v>
                </c:pt>
                <c:pt idx="3">
                  <c:v>51.122703291931479</c:v>
                </c:pt>
                <c:pt idx="4">
                  <c:v>102.32072667608661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01-4100-B5D6-D810E20BA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3680"/>
        <c:axId val="262850848"/>
      </c:scatterChart>
      <c:valAx>
        <c:axId val="26481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0848"/>
        <c:crosses val="autoZero"/>
        <c:crossBetween val="midCat"/>
      </c:valAx>
      <c:valAx>
        <c:axId val="262850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3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calculation'!$C$38:$C$42</c:f>
              <c:numCache>
                <c:formatCode>General</c:formatCode>
                <c:ptCount val="5"/>
                <c:pt idx="0">
                  <c:v>41034.979999999996</c:v>
                </c:pt>
                <c:pt idx="1">
                  <c:v>403676.39</c:v>
                </c:pt>
                <c:pt idx="2">
                  <c:v>807881.25</c:v>
                </c:pt>
                <c:pt idx="3">
                  <c:v>2080769.99</c:v>
                </c:pt>
                <c:pt idx="4">
                  <c:v>4074186.99</c:v>
                </c:pt>
              </c:numCache>
            </c:numRef>
          </c:xVal>
          <c:yVal>
            <c:numRef>
              <c:f>'LOD calculation'!$D$38:$D$42</c:f>
              <c:numCache>
                <c:formatCode>General</c:formatCode>
                <c:ptCount val="5"/>
                <c:pt idx="0">
                  <c:v>1.0124738947652561</c:v>
                </c:pt>
                <c:pt idx="1">
                  <c:v>10.109238836499559</c:v>
                </c:pt>
                <c:pt idx="2">
                  <c:v>19.99088427280493</c:v>
                </c:pt>
                <c:pt idx="3">
                  <c:v>50.274814554406767</c:v>
                </c:pt>
                <c:pt idx="4">
                  <c:v>101.92142627930184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B-467E-96DC-C3EEC0163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853088"/>
        <c:axId val="262853648"/>
      </c:scatterChart>
      <c:valAx>
        <c:axId val="26285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3648"/>
        <c:crosses val="autoZero"/>
        <c:crossBetween val="midCat"/>
      </c:valAx>
      <c:valAx>
        <c:axId val="262853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285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calculation'!$H$38:$H$42</c:f>
              <c:numCache>
                <c:formatCode>General</c:formatCode>
                <c:ptCount val="5"/>
                <c:pt idx="0">
                  <c:v>41571.85</c:v>
                </c:pt>
                <c:pt idx="1">
                  <c:v>428400.81</c:v>
                </c:pt>
                <c:pt idx="2">
                  <c:v>864444.03</c:v>
                </c:pt>
                <c:pt idx="3">
                  <c:v>2206850.67</c:v>
                </c:pt>
                <c:pt idx="4">
                  <c:v>4295442.6000000006</c:v>
                </c:pt>
              </c:numCache>
            </c:numRef>
          </c:xVal>
          <c:yVal>
            <c:numRef>
              <c:f>'LOD calculation'!$I$38:$I$42</c:f>
              <c:numCache>
                <c:formatCode>General</c:formatCode>
                <c:ptCount val="5"/>
                <c:pt idx="0">
                  <c:v>1.0224001094198174</c:v>
                </c:pt>
                <c:pt idx="1">
                  <c:v>10.109238836499559</c:v>
                </c:pt>
                <c:pt idx="2">
                  <c:v>20.186873334303016</c:v>
                </c:pt>
                <c:pt idx="3">
                  <c:v>51.372082332379932</c:v>
                </c:pt>
                <c:pt idx="4">
                  <c:v>102.81985217206751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90-4FC6-B8A9-D7AEDD152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83760"/>
        <c:axId val="34584320"/>
      </c:scatterChart>
      <c:valAx>
        <c:axId val="3458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584320"/>
        <c:crosses val="autoZero"/>
        <c:crossBetween val="midCat"/>
      </c:valAx>
      <c:valAx>
        <c:axId val="3458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583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calculation'!$C$63:$C$67</c:f>
              <c:numCache>
                <c:formatCode>General</c:formatCode>
                <c:ptCount val="5"/>
                <c:pt idx="0">
                  <c:v>9142.82</c:v>
                </c:pt>
                <c:pt idx="1">
                  <c:v>88756.13</c:v>
                </c:pt>
                <c:pt idx="2">
                  <c:v>178076.56</c:v>
                </c:pt>
                <c:pt idx="3">
                  <c:v>453498.45999999996</c:v>
                </c:pt>
                <c:pt idx="4">
                  <c:v>900985.55999999994</c:v>
                </c:pt>
              </c:numCache>
            </c:numRef>
          </c:xVal>
          <c:yVal>
            <c:numRef>
              <c:f>'LOD calculation'!$D$63:$D$67</c:f>
              <c:numCache>
                <c:formatCode>General</c:formatCode>
                <c:ptCount val="5"/>
                <c:pt idx="0">
                  <c:v>1.0094960303688876</c:v>
                </c:pt>
                <c:pt idx="1">
                  <c:v>9.9816465016699532</c:v>
                </c:pt>
                <c:pt idx="2">
                  <c:v>19.932087554355501</c:v>
                </c:pt>
                <c:pt idx="3">
                  <c:v>50.723696827213971</c:v>
                </c:pt>
                <c:pt idx="4">
                  <c:v>101.52212588251713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0-4098-93E9-EEC573C2D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984"/>
        <c:axId val="1524544"/>
      </c:scatterChart>
      <c:valAx>
        <c:axId val="152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4544"/>
        <c:crosses val="autoZero"/>
        <c:crossBetween val="midCat"/>
      </c:valAx>
      <c:valAx>
        <c:axId val="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2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21</xdr:row>
      <xdr:rowOff>152399</xdr:rowOff>
    </xdr:from>
    <xdr:to>
      <xdr:col>4</xdr:col>
      <xdr:colOff>0</xdr:colOff>
      <xdr:row>29</xdr:row>
      <xdr:rowOff>185736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21</xdr:row>
      <xdr:rowOff>171450</xdr:rowOff>
    </xdr:from>
    <xdr:to>
      <xdr:col>9</xdr:col>
      <xdr:colOff>9525</xdr:colOff>
      <xdr:row>30</xdr:row>
      <xdr:rowOff>14287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46</xdr:row>
      <xdr:rowOff>152400</xdr:rowOff>
    </xdr:from>
    <xdr:to>
      <xdr:col>3</xdr:col>
      <xdr:colOff>581026</xdr:colOff>
      <xdr:row>54</xdr:row>
      <xdr:rowOff>185737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104776</xdr:colOff>
      <xdr:row>46</xdr:row>
      <xdr:rowOff>152400</xdr:rowOff>
    </xdr:from>
    <xdr:to>
      <xdr:col>9</xdr:col>
      <xdr:colOff>1</xdr:colOff>
      <xdr:row>54</xdr:row>
      <xdr:rowOff>185737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71</xdr:row>
      <xdr:rowOff>152400</xdr:rowOff>
    </xdr:from>
    <xdr:to>
      <xdr:col>3</xdr:col>
      <xdr:colOff>542925</xdr:colOff>
      <xdr:row>79</xdr:row>
      <xdr:rowOff>185737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M25" sqref="M25"/>
    </sheetView>
  </sheetViews>
  <sheetFormatPr defaultColWidth="8.85546875" defaultRowHeight="15" x14ac:dyDescent="0.25"/>
  <cols>
    <col min="1" max="1" width="32" bestFit="1" customWidth="1"/>
    <col min="3" max="3" width="13" customWidth="1"/>
  </cols>
  <sheetData>
    <row r="1" spans="1:3" ht="18" x14ac:dyDescent="0.25">
      <c r="A1" s="47" t="s">
        <v>31</v>
      </c>
    </row>
    <row r="4" spans="1:3" x14ac:dyDescent="0.25">
      <c r="A4" s="48" t="s">
        <v>32</v>
      </c>
      <c r="C4" t="s">
        <v>41</v>
      </c>
    </row>
    <row r="6" spans="1:3" x14ac:dyDescent="0.25">
      <c r="A6" s="48" t="s">
        <v>33</v>
      </c>
      <c r="C6" t="s">
        <v>42</v>
      </c>
    </row>
    <row r="7" spans="1:3" x14ac:dyDescent="0.25">
      <c r="A7" s="48"/>
    </row>
    <row r="8" spans="1:3" x14ac:dyDescent="0.25">
      <c r="A8" s="48" t="s">
        <v>34</v>
      </c>
      <c r="C8">
        <v>1</v>
      </c>
    </row>
    <row r="9" spans="1:3" x14ac:dyDescent="0.25">
      <c r="A9" s="48"/>
    </row>
    <row r="10" spans="1:3" x14ac:dyDescent="0.25">
      <c r="A10" s="48" t="s">
        <v>35</v>
      </c>
      <c r="C10" s="49"/>
    </row>
    <row r="11" spans="1:3" x14ac:dyDescent="0.25">
      <c r="A11" s="48"/>
    </row>
    <row r="12" spans="1:3" x14ac:dyDescent="0.25">
      <c r="A12" s="48" t="s">
        <v>36</v>
      </c>
      <c r="C12" s="50" t="s">
        <v>43</v>
      </c>
    </row>
    <row r="13" spans="1:3" x14ac:dyDescent="0.25">
      <c r="A13" s="48"/>
    </row>
    <row r="14" spans="1:3" x14ac:dyDescent="0.25">
      <c r="A14" s="48" t="s">
        <v>37</v>
      </c>
      <c r="C14" s="50" t="s">
        <v>38</v>
      </c>
    </row>
    <row r="15" spans="1:3" x14ac:dyDescent="0.25">
      <c r="A15" s="48"/>
    </row>
    <row r="16" spans="1:3" x14ac:dyDescent="0.25">
      <c r="A16" s="48" t="s">
        <v>39</v>
      </c>
      <c r="C16" s="49">
        <v>43501</v>
      </c>
    </row>
    <row r="17" spans="1:3" x14ac:dyDescent="0.25">
      <c r="A17" s="48"/>
    </row>
    <row r="18" spans="1:3" x14ac:dyDescent="0.25">
      <c r="A18" s="48" t="s">
        <v>40</v>
      </c>
      <c r="C18" s="51" t="s">
        <v>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"/>
  <sheetViews>
    <sheetView tabSelected="1" topLeftCell="D34" zoomScale="125" zoomScaleNormal="125" zoomScalePageLayoutView="125" workbookViewId="0">
      <selection activeCell="N48" sqref="N48:O49"/>
    </sheetView>
  </sheetViews>
  <sheetFormatPr defaultColWidth="8.85546875" defaultRowHeight="15" x14ac:dyDescent="0.25"/>
  <cols>
    <col min="1" max="1" width="17.28515625" customWidth="1"/>
    <col min="2" max="2" width="14.7109375" customWidth="1"/>
    <col min="3" max="3" width="18.140625" bestFit="1" customWidth="1"/>
    <col min="4" max="4" width="19.42578125" customWidth="1"/>
    <col min="5" max="5" width="15" customWidth="1"/>
    <col min="6" max="7" width="15.5703125" customWidth="1"/>
    <col min="8" max="8" width="14" customWidth="1"/>
    <col min="9" max="9" width="13.85546875" customWidth="1"/>
    <col min="10" max="10" width="13.42578125" customWidth="1"/>
    <col min="11" max="11" width="14.85546875" customWidth="1"/>
    <col min="12" max="12" width="10.42578125" customWidth="1"/>
    <col min="13" max="13" width="16.7109375" customWidth="1"/>
    <col min="14" max="14" width="10" customWidth="1"/>
    <col min="15" max="15" width="13" customWidth="1"/>
    <col min="16" max="16" width="16.5703125" customWidth="1"/>
    <col min="17" max="17" width="10.42578125" customWidth="1"/>
    <col min="18" max="18" width="14.28515625" customWidth="1"/>
    <col min="19" max="19" width="14.42578125" customWidth="1"/>
    <col min="20" max="20" width="9.140625" customWidth="1"/>
    <col min="21" max="21" width="16.28515625" customWidth="1"/>
    <col min="22" max="22" width="11.140625" customWidth="1"/>
    <col min="23" max="23" width="14.42578125" customWidth="1"/>
    <col min="24" max="24" width="14.28515625" customWidth="1"/>
    <col min="25" max="25" width="14.85546875" customWidth="1"/>
    <col min="27" max="27" width="12.7109375" customWidth="1"/>
  </cols>
  <sheetData>
    <row r="1" spans="1:21" x14ac:dyDescent="0.25">
      <c r="A1" s="52" t="str">
        <f>Validation!C4</f>
        <v>GAU/SSH/068</v>
      </c>
      <c r="B1" s="53"/>
      <c r="C1" s="53"/>
      <c r="D1" s="54"/>
    </row>
    <row r="2" spans="1:21" x14ac:dyDescent="0.25">
      <c r="A2" s="55"/>
      <c r="B2" s="56"/>
      <c r="C2" s="56"/>
      <c r="D2" s="57"/>
    </row>
    <row r="3" spans="1:21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21" x14ac:dyDescent="0.25">
      <c r="A5" s="2" t="s">
        <v>5</v>
      </c>
      <c r="B5" t="s">
        <v>46</v>
      </c>
    </row>
    <row r="6" spans="1:21" ht="15.75" thickBot="1" x14ac:dyDescent="0.3"/>
    <row r="7" spans="1:21" ht="15.75" thickBot="1" x14ac:dyDescent="0.3">
      <c r="A7" s="4"/>
      <c r="B7" s="82"/>
      <c r="C7" s="132" t="s">
        <v>51</v>
      </c>
      <c r="D7" s="133"/>
      <c r="E7" s="86"/>
      <c r="F7" s="6"/>
      <c r="G7" s="44" t="s">
        <v>26</v>
      </c>
      <c r="H7" s="5"/>
      <c r="I7" s="5"/>
      <c r="J7" s="42" t="s">
        <v>27</v>
      </c>
      <c r="K7" s="5"/>
      <c r="L7" s="5"/>
      <c r="M7" s="42" t="s">
        <v>28</v>
      </c>
      <c r="N7" s="5"/>
      <c r="O7" s="5"/>
      <c r="P7" s="42" t="s">
        <v>29</v>
      </c>
      <c r="Q7" s="5"/>
      <c r="R7" s="5"/>
      <c r="S7" s="42" t="s">
        <v>30</v>
      </c>
      <c r="T7" s="5"/>
      <c r="U7" s="6"/>
    </row>
    <row r="8" spans="1:21" s="1" customFormat="1" ht="81" customHeight="1" thickBot="1" x14ac:dyDescent="0.3">
      <c r="A8" s="67" t="s">
        <v>0</v>
      </c>
      <c r="B8" s="83" t="s">
        <v>50</v>
      </c>
      <c r="C8" s="93" t="s">
        <v>49</v>
      </c>
      <c r="D8" s="94" t="s">
        <v>20</v>
      </c>
      <c r="E8" s="87" t="s">
        <v>21</v>
      </c>
      <c r="F8" s="64" t="s">
        <v>1</v>
      </c>
      <c r="G8" s="71" t="s">
        <v>67</v>
      </c>
      <c r="H8" s="68" t="s">
        <v>3</v>
      </c>
      <c r="I8" s="9" t="s">
        <v>4</v>
      </c>
      <c r="J8" s="74" t="s">
        <v>68</v>
      </c>
      <c r="K8" s="68" t="s">
        <v>3</v>
      </c>
      <c r="L8" s="9" t="s">
        <v>4</v>
      </c>
      <c r="M8" s="74" t="s">
        <v>69</v>
      </c>
      <c r="N8" s="68" t="s">
        <v>3</v>
      </c>
      <c r="O8" s="9" t="s">
        <v>4</v>
      </c>
      <c r="P8" s="74" t="s">
        <v>70</v>
      </c>
      <c r="Q8" s="68" t="s">
        <v>3</v>
      </c>
      <c r="R8" s="9" t="s">
        <v>4</v>
      </c>
      <c r="S8" s="74" t="s">
        <v>71</v>
      </c>
      <c r="T8" s="68" t="s">
        <v>3</v>
      </c>
      <c r="U8" s="10" t="s">
        <v>4</v>
      </c>
    </row>
    <row r="9" spans="1:21" x14ac:dyDescent="0.25">
      <c r="A9" s="69" t="s">
        <v>52</v>
      </c>
      <c r="B9" s="95">
        <v>0.63790000000000002</v>
      </c>
      <c r="C9" s="69">
        <v>20.195599999999999</v>
      </c>
      <c r="D9" s="90">
        <v>0</v>
      </c>
      <c r="E9" s="88">
        <f>+C9+D9</f>
        <v>20.195599999999999</v>
      </c>
      <c r="F9" s="65">
        <f t="shared" ref="F9:F28" si="0">E9/B9</f>
        <v>31.659507759836963</v>
      </c>
      <c r="G9" s="72">
        <v>876.04208000000006</v>
      </c>
      <c r="H9" s="73">
        <v>1.5</v>
      </c>
      <c r="I9" s="32">
        <f>2*G9*H9/100</f>
        <v>26.281262399999999</v>
      </c>
      <c r="J9" s="70">
        <v>2.7841800000000001</v>
      </c>
      <c r="K9" s="70">
        <v>1.1000000000000001</v>
      </c>
      <c r="L9" s="8">
        <f>2*J9*K9/100</f>
        <v>6.1251960000000008E-2</v>
      </c>
      <c r="M9" s="70">
        <v>8.2041299999999993</v>
      </c>
      <c r="N9" s="70">
        <v>0.6</v>
      </c>
      <c r="O9" s="32">
        <f>2*M9*N9/100</f>
        <v>9.8449559999999978E-2</v>
      </c>
      <c r="P9" s="70">
        <v>39.314990000000002</v>
      </c>
      <c r="Q9" s="70">
        <v>0.6</v>
      </c>
      <c r="R9" s="25">
        <f>2*P9*Q9/100</f>
        <v>0.47177987999999998</v>
      </c>
      <c r="S9" s="70">
        <v>0.24012</v>
      </c>
      <c r="T9" s="70">
        <v>12.4</v>
      </c>
      <c r="U9" s="26">
        <f>2*S9*T9/100</f>
        <v>5.954976E-2</v>
      </c>
    </row>
    <row r="10" spans="1:21" x14ac:dyDescent="0.25">
      <c r="A10" s="69" t="s">
        <v>53</v>
      </c>
      <c r="B10" s="95">
        <v>0.29139999999999999</v>
      </c>
      <c r="C10" s="69">
        <v>20.187000000000001</v>
      </c>
      <c r="D10" s="90">
        <v>0</v>
      </c>
      <c r="E10" s="88">
        <f>+C10+D10</f>
        <v>20.187000000000001</v>
      </c>
      <c r="F10" s="65">
        <f t="shared" si="0"/>
        <v>69.275909402882647</v>
      </c>
      <c r="G10" s="72">
        <v>568.47569999999996</v>
      </c>
      <c r="H10" s="73">
        <v>0.7</v>
      </c>
      <c r="I10" s="32">
        <f t="shared" ref="I10:I28" si="1">2*G10*H10/100</f>
        <v>7.9586597999999995</v>
      </c>
      <c r="J10" s="70">
        <v>1.32646</v>
      </c>
      <c r="K10" s="70">
        <v>1.8</v>
      </c>
      <c r="L10" s="8">
        <f t="shared" ref="L10:L28" si="2">2*J10*K10/100</f>
        <v>4.7752559999999999E-2</v>
      </c>
      <c r="M10" s="70">
        <v>7.3073300000000003</v>
      </c>
      <c r="N10" s="70">
        <v>0.9</v>
      </c>
      <c r="O10" s="32">
        <f t="shared" ref="O10:O28" si="3">2*M10*N10/100</f>
        <v>0.13153194000000001</v>
      </c>
      <c r="P10" s="70">
        <v>27.792719999999999</v>
      </c>
      <c r="Q10" s="70">
        <v>1.1000000000000001</v>
      </c>
      <c r="R10" s="25">
        <f t="shared" ref="R10:R28" si="4">2*P10*Q10/100</f>
        <v>0.61143984000000007</v>
      </c>
      <c r="S10" s="70">
        <v>0.13199</v>
      </c>
      <c r="T10" s="70">
        <v>6.5</v>
      </c>
      <c r="U10" s="26">
        <f t="shared" ref="U10:U28" si="5">2*S10*T10/100</f>
        <v>1.7158699999999999E-2</v>
      </c>
    </row>
    <row r="11" spans="1:21" x14ac:dyDescent="0.25">
      <c r="A11" s="69" t="s">
        <v>61</v>
      </c>
      <c r="B11" s="95">
        <v>5.2199999999999136E-2</v>
      </c>
      <c r="C11" s="69">
        <v>19.9603</v>
      </c>
      <c r="D11" s="90">
        <v>5.0799999999999998E-2</v>
      </c>
      <c r="E11" s="88">
        <f t="shared" ref="E11:E27" si="6">+C11+D11</f>
        <v>20.011099999999999</v>
      </c>
      <c r="F11" s="65">
        <f t="shared" si="0"/>
        <v>383.35440613027453</v>
      </c>
      <c r="G11" s="72">
        <v>344.16154</v>
      </c>
      <c r="H11" s="73">
        <v>1</v>
      </c>
      <c r="I11" s="32">
        <f t="shared" si="1"/>
        <v>6.8832307999999998</v>
      </c>
      <c r="J11" s="70">
        <v>0.35904000000000003</v>
      </c>
      <c r="K11" s="70">
        <v>2.2000000000000002</v>
      </c>
      <c r="L11" s="8">
        <f t="shared" si="2"/>
        <v>1.5797760000000004E-2</v>
      </c>
      <c r="M11" s="70">
        <v>1.17777</v>
      </c>
      <c r="N11" s="70">
        <v>6.6</v>
      </c>
      <c r="O11" s="32">
        <f t="shared" si="3"/>
        <v>0.15546563999999999</v>
      </c>
      <c r="P11" s="70">
        <v>16.60764</v>
      </c>
      <c r="Q11" s="70">
        <v>0.7</v>
      </c>
      <c r="R11" s="25">
        <f t="shared" si="4"/>
        <v>0.23250695999999998</v>
      </c>
      <c r="S11" s="70">
        <v>0.12545999999999999</v>
      </c>
      <c r="T11" s="70">
        <v>11.1</v>
      </c>
      <c r="U11" s="26">
        <f t="shared" si="5"/>
        <v>2.7852119999999994E-2</v>
      </c>
    </row>
    <row r="12" spans="1:21" x14ac:dyDescent="0.25">
      <c r="A12" s="69" t="s">
        <v>62</v>
      </c>
      <c r="B12" s="95">
        <v>2.0999999999986585E-3</v>
      </c>
      <c r="C12" s="69">
        <v>19.9679</v>
      </c>
      <c r="D12" s="90">
        <v>5.1299999999999998E-2</v>
      </c>
      <c r="E12" s="88">
        <f t="shared" si="6"/>
        <v>20.019200000000001</v>
      </c>
      <c r="F12" s="65">
        <f t="shared" si="0"/>
        <v>9532.9523809584716</v>
      </c>
      <c r="G12" s="72">
        <v>304.92874</v>
      </c>
      <c r="H12" s="73">
        <v>0.9</v>
      </c>
      <c r="I12" s="32">
        <f t="shared" si="1"/>
        <v>5.488717320000001</v>
      </c>
      <c r="J12" s="70">
        <v>0.66052999999999995</v>
      </c>
      <c r="K12" s="70">
        <v>1.3</v>
      </c>
      <c r="L12" s="8">
        <f t="shared" si="2"/>
        <v>1.717378E-2</v>
      </c>
      <c r="M12" s="70">
        <v>2.00787</v>
      </c>
      <c r="N12" s="70">
        <v>1.4</v>
      </c>
      <c r="O12" s="32">
        <f t="shared" si="3"/>
        <v>5.6220359999999997E-2</v>
      </c>
      <c r="P12" s="70">
        <v>15.62898</v>
      </c>
      <c r="Q12" s="70">
        <v>0.4</v>
      </c>
      <c r="R12" s="25">
        <f t="shared" si="4"/>
        <v>0.12503184000000001</v>
      </c>
      <c r="S12" s="70">
        <v>0.15518999999999999</v>
      </c>
      <c r="T12" s="70">
        <v>6.7</v>
      </c>
      <c r="U12" s="26">
        <f t="shared" si="5"/>
        <v>2.0795460000000002E-2</v>
      </c>
    </row>
    <row r="13" spans="1:21" x14ac:dyDescent="0.25">
      <c r="A13" s="69"/>
      <c r="B13" s="95"/>
      <c r="C13" s="69"/>
      <c r="D13" s="90"/>
      <c r="E13" s="88">
        <f t="shared" si="6"/>
        <v>0</v>
      </c>
      <c r="F13" s="65" t="e">
        <f t="shared" si="0"/>
        <v>#DIV/0!</v>
      </c>
      <c r="G13" s="72"/>
      <c r="H13" s="73"/>
      <c r="I13" s="32">
        <f t="shared" si="1"/>
        <v>0</v>
      </c>
      <c r="J13" s="70"/>
      <c r="K13" s="70"/>
      <c r="L13" s="8">
        <f t="shared" si="2"/>
        <v>0</v>
      </c>
      <c r="M13" s="70"/>
      <c r="N13" s="70"/>
      <c r="O13" s="32">
        <f t="shared" si="3"/>
        <v>0</v>
      </c>
      <c r="P13" s="70"/>
      <c r="Q13" s="70"/>
      <c r="R13" s="25">
        <f t="shared" si="4"/>
        <v>0</v>
      </c>
      <c r="S13" s="70"/>
      <c r="T13" s="70"/>
      <c r="U13" s="26">
        <f t="shared" si="5"/>
        <v>0</v>
      </c>
    </row>
    <row r="14" spans="1:21" x14ac:dyDescent="0.25">
      <c r="A14" s="69" t="s">
        <v>54</v>
      </c>
      <c r="B14" s="95">
        <v>0.70699999999999996</v>
      </c>
      <c r="C14" s="69">
        <v>20.249300000000002</v>
      </c>
      <c r="D14" s="90">
        <v>0</v>
      </c>
      <c r="E14" s="88">
        <f t="shared" si="6"/>
        <v>20.249300000000002</v>
      </c>
      <c r="F14" s="65">
        <f t="shared" si="0"/>
        <v>28.641159830268744</v>
      </c>
      <c r="G14" s="72">
        <v>853.99320999999998</v>
      </c>
      <c r="H14" s="73">
        <v>1.1000000000000001</v>
      </c>
      <c r="I14" s="32">
        <f t="shared" si="1"/>
        <v>18.78785062</v>
      </c>
      <c r="J14" s="70">
        <v>2.3987400000000001</v>
      </c>
      <c r="K14" s="70">
        <v>1.2</v>
      </c>
      <c r="L14" s="8">
        <f t="shared" si="2"/>
        <v>5.7569759999999998E-2</v>
      </c>
      <c r="M14" s="70">
        <v>8.1547099999999997</v>
      </c>
      <c r="N14" s="70">
        <v>0.5</v>
      </c>
      <c r="O14" s="32">
        <f t="shared" si="3"/>
        <v>8.1547099999999997E-2</v>
      </c>
      <c r="P14" s="70">
        <v>25.909939999999999</v>
      </c>
      <c r="Q14" s="70">
        <v>0.5</v>
      </c>
      <c r="R14" s="25">
        <f t="shared" si="4"/>
        <v>0.25909939999999998</v>
      </c>
      <c r="S14" s="70">
        <v>0.10226</v>
      </c>
      <c r="T14" s="70">
        <v>13.5</v>
      </c>
      <c r="U14" s="26">
        <f t="shared" si="5"/>
        <v>2.7610200000000001E-2</v>
      </c>
    </row>
    <row r="15" spans="1:21" x14ac:dyDescent="0.25">
      <c r="A15" s="69" t="s">
        <v>55</v>
      </c>
      <c r="B15" s="95">
        <v>0.41020000000000001</v>
      </c>
      <c r="C15" s="69">
        <v>20.200099999999999</v>
      </c>
      <c r="D15" s="90">
        <v>0</v>
      </c>
      <c r="E15" s="88">
        <f t="shared" si="6"/>
        <v>20.200099999999999</v>
      </c>
      <c r="F15" s="65">
        <f t="shared" si="0"/>
        <v>49.244514870794731</v>
      </c>
      <c r="G15" s="72">
        <v>1387.3622499999999</v>
      </c>
      <c r="H15" s="73">
        <v>0.8</v>
      </c>
      <c r="I15" s="32">
        <f t="shared" si="1"/>
        <v>22.197795999999997</v>
      </c>
      <c r="J15" s="70">
        <v>2.6035200000000001</v>
      </c>
      <c r="K15" s="70">
        <v>1.5</v>
      </c>
      <c r="L15" s="8">
        <f t="shared" si="2"/>
        <v>7.8105600000000011E-2</v>
      </c>
      <c r="M15" s="70">
        <v>8.3182299999999998</v>
      </c>
      <c r="N15" s="70">
        <v>1.3</v>
      </c>
      <c r="O15" s="32">
        <f t="shared" si="3"/>
        <v>0.21627398</v>
      </c>
      <c r="P15" s="70">
        <v>44.997140000000002</v>
      </c>
      <c r="Q15" s="70">
        <v>0.8</v>
      </c>
      <c r="R15" s="25">
        <f t="shared" si="4"/>
        <v>0.71995423999999997</v>
      </c>
      <c r="S15" s="70">
        <v>0.22456999999999999</v>
      </c>
      <c r="T15" s="70">
        <v>16.2</v>
      </c>
      <c r="U15" s="26">
        <f t="shared" si="5"/>
        <v>7.2760679999999994E-2</v>
      </c>
    </row>
    <row r="16" spans="1:21" x14ac:dyDescent="0.25">
      <c r="A16" s="69" t="s">
        <v>63</v>
      </c>
      <c r="B16" s="95">
        <v>7.2699999999999321E-2</v>
      </c>
      <c r="C16" s="69">
        <v>19.970199999999998</v>
      </c>
      <c r="D16" s="90">
        <v>5.0999999999999997E-2</v>
      </c>
      <c r="E16" s="88">
        <f t="shared" si="6"/>
        <v>20.021199999999997</v>
      </c>
      <c r="F16" s="65">
        <f t="shared" si="0"/>
        <v>275.39477303989247</v>
      </c>
      <c r="G16" s="72">
        <v>594.49782000000005</v>
      </c>
      <c r="H16" s="73">
        <v>0.6</v>
      </c>
      <c r="I16" s="32">
        <f t="shared" si="1"/>
        <v>7.1339738399999995</v>
      </c>
      <c r="J16" s="70">
        <v>0.46006999999999998</v>
      </c>
      <c r="K16" s="70">
        <v>2.8</v>
      </c>
      <c r="L16" s="8">
        <f t="shared" si="2"/>
        <v>2.5763919999999999E-2</v>
      </c>
      <c r="M16" s="70">
        <v>4.4761100000000003</v>
      </c>
      <c r="N16" s="70">
        <v>1.2</v>
      </c>
      <c r="O16" s="32">
        <f>2*M16*N16/100</f>
        <v>0.10742663999999999</v>
      </c>
      <c r="P16" s="70">
        <v>12.3835</v>
      </c>
      <c r="Q16" s="70">
        <v>0.3</v>
      </c>
      <c r="R16" s="25">
        <f t="shared" si="4"/>
        <v>7.4300999999999992E-2</v>
      </c>
      <c r="S16" s="70">
        <v>0.10902000000000001</v>
      </c>
      <c r="T16" s="70">
        <v>11.9</v>
      </c>
      <c r="U16" s="26">
        <f t="shared" si="5"/>
        <v>2.5946760000000003E-2</v>
      </c>
    </row>
    <row r="17" spans="1:21" x14ac:dyDescent="0.25">
      <c r="A17" s="69" t="s">
        <v>64</v>
      </c>
      <c r="B17" s="95">
        <v>1.300000000000523E-3</v>
      </c>
      <c r="C17" s="69">
        <v>19.953399999999998</v>
      </c>
      <c r="D17" s="90">
        <v>5.0700000000000002E-2</v>
      </c>
      <c r="E17" s="88">
        <f t="shared" si="6"/>
        <v>20.004099999999998</v>
      </c>
      <c r="F17" s="65">
        <f t="shared" si="0"/>
        <v>15387.769230763039</v>
      </c>
      <c r="G17" s="72">
        <v>267.69076999999999</v>
      </c>
      <c r="H17" s="73">
        <v>1.4</v>
      </c>
      <c r="I17" s="32">
        <f t="shared" si="1"/>
        <v>7.4953415599999991</v>
      </c>
      <c r="J17" s="70">
        <v>0.46506999999999998</v>
      </c>
      <c r="K17" s="70">
        <v>3.3</v>
      </c>
      <c r="L17" s="8">
        <f t="shared" si="2"/>
        <v>3.0694619999999995E-2</v>
      </c>
      <c r="M17" s="70">
        <v>1.36246</v>
      </c>
      <c r="N17" s="70">
        <v>1</v>
      </c>
      <c r="O17" s="32">
        <f>2*M17*N17/100</f>
        <v>2.7249200000000001E-2</v>
      </c>
      <c r="P17" s="70">
        <v>13.19333</v>
      </c>
      <c r="Q17" s="70">
        <v>1.3</v>
      </c>
      <c r="R17" s="25">
        <f t="shared" si="4"/>
        <v>0.34302658000000003</v>
      </c>
      <c r="S17" s="70">
        <v>9.7530000000000006E-2</v>
      </c>
      <c r="T17" s="70">
        <v>14</v>
      </c>
      <c r="U17" s="26">
        <f t="shared" si="5"/>
        <v>2.73084E-2</v>
      </c>
    </row>
    <row r="18" spans="1:21" x14ac:dyDescent="0.25">
      <c r="A18" s="69"/>
      <c r="B18" s="95"/>
      <c r="C18" s="69"/>
      <c r="D18" s="90"/>
      <c r="E18" s="88">
        <f t="shared" si="6"/>
        <v>0</v>
      </c>
      <c r="F18" s="65" t="e">
        <f t="shared" si="0"/>
        <v>#DIV/0!</v>
      </c>
      <c r="G18" s="72"/>
      <c r="H18" s="73"/>
      <c r="I18" s="32">
        <f t="shared" si="1"/>
        <v>0</v>
      </c>
      <c r="J18" s="70"/>
      <c r="K18" s="70"/>
      <c r="L18" s="8">
        <f t="shared" si="2"/>
        <v>0</v>
      </c>
      <c r="M18" s="70"/>
      <c r="N18" s="70"/>
      <c r="O18" s="32">
        <f t="shared" si="3"/>
        <v>0</v>
      </c>
      <c r="P18" s="70"/>
      <c r="Q18" s="70"/>
      <c r="R18" s="25">
        <f t="shared" si="4"/>
        <v>0</v>
      </c>
      <c r="S18" s="70"/>
      <c r="T18" s="70"/>
      <c r="U18" s="26">
        <f t="shared" si="5"/>
        <v>0</v>
      </c>
    </row>
    <row r="19" spans="1:21" x14ac:dyDescent="0.25">
      <c r="A19" s="69" t="s">
        <v>56</v>
      </c>
      <c r="B19" s="95">
        <v>0.53569999999999995</v>
      </c>
      <c r="C19" s="69">
        <v>20.3216</v>
      </c>
      <c r="D19" s="90">
        <v>0</v>
      </c>
      <c r="E19" s="88">
        <f t="shared" si="6"/>
        <v>20.3216</v>
      </c>
      <c r="F19" s="65">
        <f t="shared" si="0"/>
        <v>37.934664924397985</v>
      </c>
      <c r="G19" s="72">
        <v>722.86437000000001</v>
      </c>
      <c r="H19" s="73">
        <v>1.2</v>
      </c>
      <c r="I19" s="32">
        <f t="shared" si="1"/>
        <v>17.348744879999998</v>
      </c>
      <c r="J19" s="70">
        <v>1.9466300000000001</v>
      </c>
      <c r="K19" s="70">
        <v>1.8</v>
      </c>
      <c r="L19" s="8">
        <f t="shared" si="2"/>
        <v>7.0078680000000004E-2</v>
      </c>
      <c r="M19" s="70">
        <v>5.2717200000000002</v>
      </c>
      <c r="N19" s="70">
        <v>1.3</v>
      </c>
      <c r="O19" s="32">
        <f t="shared" si="3"/>
        <v>0.13706472000000003</v>
      </c>
      <c r="P19" s="70">
        <v>18.855730000000001</v>
      </c>
      <c r="Q19" s="70">
        <v>0.7</v>
      </c>
      <c r="R19" s="25">
        <f t="shared" si="4"/>
        <v>0.26398021999999999</v>
      </c>
      <c r="S19" s="70">
        <v>0.11983000000000001</v>
      </c>
      <c r="T19" s="70">
        <v>15</v>
      </c>
      <c r="U19" s="26">
        <f t="shared" si="5"/>
        <v>3.5949000000000002E-2</v>
      </c>
    </row>
    <row r="20" spans="1:21" x14ac:dyDescent="0.25">
      <c r="A20" s="69" t="s">
        <v>57</v>
      </c>
      <c r="B20" s="95">
        <v>0.4138</v>
      </c>
      <c r="C20" s="69">
        <v>20.194199999999999</v>
      </c>
      <c r="D20" s="90">
        <v>0</v>
      </c>
      <c r="E20" s="88">
        <f t="shared" si="6"/>
        <v>20.194199999999999</v>
      </c>
      <c r="F20" s="65">
        <f t="shared" si="0"/>
        <v>48.801836636056059</v>
      </c>
      <c r="G20" s="72">
        <v>664.13541999999995</v>
      </c>
      <c r="H20" s="73">
        <v>0.9</v>
      </c>
      <c r="I20" s="32">
        <f t="shared" si="1"/>
        <v>11.954437559999999</v>
      </c>
      <c r="J20" s="70">
        <v>2.2199900000000001</v>
      </c>
      <c r="K20" s="70">
        <v>1</v>
      </c>
      <c r="L20" s="8">
        <f t="shared" si="2"/>
        <v>4.4399800000000003E-2</v>
      </c>
      <c r="M20" s="70">
        <v>7.0483099999999999</v>
      </c>
      <c r="N20" s="70">
        <v>0.7</v>
      </c>
      <c r="O20" s="32">
        <f t="shared" si="3"/>
        <v>9.8676339999999987E-2</v>
      </c>
      <c r="P20" s="70">
        <v>26.930980000000002</v>
      </c>
      <c r="Q20" s="70">
        <v>0.7</v>
      </c>
      <c r="R20" s="25">
        <f t="shared" si="4"/>
        <v>0.37703372000000002</v>
      </c>
      <c r="S20" s="70">
        <v>7.0949999999999999E-2</v>
      </c>
      <c r="T20" s="70">
        <v>15.7</v>
      </c>
      <c r="U20" s="26">
        <f t="shared" si="5"/>
        <v>2.2278300000000001E-2</v>
      </c>
    </row>
    <row r="21" spans="1:21" x14ac:dyDescent="0.25">
      <c r="A21" s="69" t="s">
        <v>65</v>
      </c>
      <c r="B21" s="95">
        <v>4.1599999999998971E-2</v>
      </c>
      <c r="C21" s="69">
        <v>19.907</v>
      </c>
      <c r="D21" s="90">
        <v>5.1200000000000002E-2</v>
      </c>
      <c r="E21" s="88">
        <f t="shared" si="6"/>
        <v>19.958200000000001</v>
      </c>
      <c r="F21" s="65">
        <f t="shared" si="0"/>
        <v>479.76442307693497</v>
      </c>
      <c r="G21" s="72">
        <v>388.48714000000001</v>
      </c>
      <c r="H21" s="73">
        <v>0.2</v>
      </c>
      <c r="I21" s="32">
        <f t="shared" si="1"/>
        <v>1.55394856</v>
      </c>
      <c r="J21" s="70">
        <v>0.46071000000000001</v>
      </c>
      <c r="K21" s="70">
        <v>2.2000000000000002</v>
      </c>
      <c r="L21" s="8">
        <f t="shared" si="2"/>
        <v>2.0271240000000003E-2</v>
      </c>
      <c r="M21" s="70">
        <v>1.2473099999999999</v>
      </c>
      <c r="N21" s="70">
        <v>2.4</v>
      </c>
      <c r="O21" s="32">
        <f t="shared" si="3"/>
        <v>5.9870879999999987E-2</v>
      </c>
      <c r="P21" s="70">
        <v>7.5663799999999997</v>
      </c>
      <c r="Q21" s="70">
        <v>0.9</v>
      </c>
      <c r="R21" s="25">
        <f t="shared" si="4"/>
        <v>0.13619484000000001</v>
      </c>
      <c r="S21" s="70">
        <v>0.49131000000000002</v>
      </c>
      <c r="T21" s="70">
        <v>2.5</v>
      </c>
      <c r="U21" s="26">
        <f t="shared" si="5"/>
        <v>2.4565500000000001E-2</v>
      </c>
    </row>
    <row r="22" spans="1:21" x14ac:dyDescent="0.25">
      <c r="A22" s="69" t="s">
        <v>66</v>
      </c>
      <c r="B22" s="95">
        <v>1.6600000000000392E-2</v>
      </c>
      <c r="C22" s="69">
        <v>19.957799999999999</v>
      </c>
      <c r="D22" s="90">
        <v>5.0799999999999998E-2</v>
      </c>
      <c r="E22" s="88">
        <f t="shared" si="6"/>
        <v>20.008599999999998</v>
      </c>
      <c r="F22" s="65">
        <f t="shared" si="0"/>
        <v>1205.3373493975616</v>
      </c>
      <c r="G22" s="72">
        <v>292.86369000000002</v>
      </c>
      <c r="H22" s="73">
        <v>1.4</v>
      </c>
      <c r="I22" s="32">
        <f t="shared" si="1"/>
        <v>8.2001833200000007</v>
      </c>
      <c r="J22" s="70">
        <v>0.63024999999999998</v>
      </c>
      <c r="K22" s="70">
        <v>2.5</v>
      </c>
      <c r="L22" s="8">
        <f t="shared" si="2"/>
        <v>3.1512499999999999E-2</v>
      </c>
      <c r="M22" s="70">
        <v>2.1504300000000001</v>
      </c>
      <c r="N22" s="70">
        <v>1.1000000000000001</v>
      </c>
      <c r="O22" s="32">
        <f t="shared" si="3"/>
        <v>4.7309460000000005E-2</v>
      </c>
      <c r="P22" s="70">
        <v>7.4241799999999998</v>
      </c>
      <c r="Q22" s="70">
        <v>1</v>
      </c>
      <c r="R22" s="25">
        <f t="shared" si="4"/>
        <v>0.14848359999999999</v>
      </c>
      <c r="S22" s="70">
        <v>8.6720000000000005E-2</v>
      </c>
      <c r="T22" s="70">
        <v>8.3000000000000007</v>
      </c>
      <c r="U22" s="26">
        <f t="shared" si="5"/>
        <v>1.4395520000000002E-2</v>
      </c>
    </row>
    <row r="23" spans="1:21" x14ac:dyDescent="0.25">
      <c r="A23" s="69"/>
      <c r="B23" s="84"/>
      <c r="C23" s="69"/>
      <c r="D23" s="90"/>
      <c r="E23" s="88">
        <f t="shared" si="6"/>
        <v>0</v>
      </c>
      <c r="F23" s="65" t="e">
        <f t="shared" si="0"/>
        <v>#DIV/0!</v>
      </c>
      <c r="G23" s="72"/>
      <c r="H23" s="73"/>
      <c r="I23" s="32">
        <f t="shared" si="1"/>
        <v>0</v>
      </c>
      <c r="J23" s="70"/>
      <c r="K23" s="70"/>
      <c r="L23" s="8">
        <f t="shared" si="2"/>
        <v>0</v>
      </c>
      <c r="M23" s="70"/>
      <c r="N23" s="70"/>
      <c r="O23" s="32">
        <f t="shared" si="3"/>
        <v>0</v>
      </c>
      <c r="P23" s="70"/>
      <c r="Q23" s="70"/>
      <c r="R23" s="25">
        <f t="shared" si="4"/>
        <v>0</v>
      </c>
      <c r="S23" s="70"/>
      <c r="T23" s="70"/>
      <c r="U23" s="26">
        <f t="shared" si="5"/>
        <v>0</v>
      </c>
    </row>
    <row r="24" spans="1:21" x14ac:dyDescent="0.25">
      <c r="A24" s="69" t="s">
        <v>58</v>
      </c>
      <c r="B24" s="84">
        <v>1</v>
      </c>
      <c r="C24" s="69">
        <v>20.172599999999999</v>
      </c>
      <c r="D24" s="90">
        <v>0</v>
      </c>
      <c r="E24" s="88">
        <f t="shared" si="6"/>
        <v>20.172599999999999</v>
      </c>
      <c r="F24" s="65">
        <f t="shared" si="0"/>
        <v>20.172599999999999</v>
      </c>
      <c r="G24" s="72">
        <v>5.4868100000000002</v>
      </c>
      <c r="H24" s="73">
        <v>5</v>
      </c>
      <c r="I24" s="32">
        <f t="shared" si="1"/>
        <v>0.54868099999999997</v>
      </c>
      <c r="J24" s="70">
        <v>8.26E-3</v>
      </c>
      <c r="K24" s="70">
        <v>16.899999999999999</v>
      </c>
      <c r="L24" s="8">
        <f t="shared" si="2"/>
        <v>2.7918800000000001E-3</v>
      </c>
      <c r="M24" s="70">
        <v>2.6959200000000001</v>
      </c>
      <c r="N24" s="70">
        <v>1.8</v>
      </c>
      <c r="O24" s="32">
        <f t="shared" si="3"/>
        <v>9.7053120000000007E-2</v>
      </c>
      <c r="P24" s="70">
        <v>0.22925999999999999</v>
      </c>
      <c r="Q24" s="70">
        <v>3.2</v>
      </c>
      <c r="R24" s="25">
        <f t="shared" si="4"/>
        <v>1.4672640000000001E-2</v>
      </c>
      <c r="S24" s="70">
        <v>1.1299999999999999E-3</v>
      </c>
      <c r="T24" s="70">
        <v>122</v>
      </c>
      <c r="U24" s="26">
        <f t="shared" si="5"/>
        <v>2.7571999999999996E-3</v>
      </c>
    </row>
    <row r="25" spans="1:21" x14ac:dyDescent="0.25">
      <c r="A25" s="69" t="s">
        <v>59</v>
      </c>
      <c r="B25" s="84">
        <v>1</v>
      </c>
      <c r="C25" s="69">
        <v>20.189900000000002</v>
      </c>
      <c r="D25" s="90">
        <v>0</v>
      </c>
      <c r="E25" s="88">
        <f t="shared" si="6"/>
        <v>20.189900000000002</v>
      </c>
      <c r="F25" s="65">
        <f t="shared" si="0"/>
        <v>20.189900000000002</v>
      </c>
      <c r="G25" s="72">
        <v>5.41777</v>
      </c>
      <c r="H25" s="73">
        <v>3.6</v>
      </c>
      <c r="I25" s="32">
        <f t="shared" si="1"/>
        <v>0.39007944</v>
      </c>
      <c r="J25" s="70">
        <v>8.5599999999999999E-3</v>
      </c>
      <c r="K25" s="70">
        <v>26.7</v>
      </c>
      <c r="L25" s="8">
        <f t="shared" si="2"/>
        <v>4.5710399999999993E-3</v>
      </c>
      <c r="M25" s="70">
        <v>2.6538599999999999</v>
      </c>
      <c r="N25" s="70">
        <v>2.2999999999999998</v>
      </c>
      <c r="O25" s="32">
        <f t="shared" si="3"/>
        <v>0.12207755999999997</v>
      </c>
      <c r="P25" s="70">
        <v>0.22211</v>
      </c>
      <c r="Q25" s="70">
        <v>2.8</v>
      </c>
      <c r="R25" s="25">
        <f t="shared" si="4"/>
        <v>1.243816E-2</v>
      </c>
      <c r="S25" s="70">
        <v>4.4999999999999997E-3</v>
      </c>
      <c r="T25" s="70">
        <v>41.7</v>
      </c>
      <c r="U25" s="26">
        <f t="shared" si="5"/>
        <v>3.7530000000000003E-3</v>
      </c>
    </row>
    <row r="26" spans="1:21" x14ac:dyDescent="0.25">
      <c r="A26" s="69" t="s">
        <v>60</v>
      </c>
      <c r="B26" s="84">
        <v>1</v>
      </c>
      <c r="C26" s="69">
        <v>20.168399999999998</v>
      </c>
      <c r="D26" s="90">
        <v>0</v>
      </c>
      <c r="E26" s="88">
        <f t="shared" si="6"/>
        <v>20.168399999999998</v>
      </c>
      <c r="F26" s="65">
        <f t="shared" si="0"/>
        <v>20.168399999999998</v>
      </c>
      <c r="G26" s="72">
        <v>8.9053500000000003</v>
      </c>
      <c r="H26" s="73">
        <v>3.2</v>
      </c>
      <c r="I26" s="32">
        <f t="shared" si="1"/>
        <v>0.56994240000000007</v>
      </c>
      <c r="J26" s="70">
        <v>3.1719999999999998E-2</v>
      </c>
      <c r="K26" s="70">
        <v>9.6999999999999993</v>
      </c>
      <c r="L26" s="8">
        <f t="shared" si="2"/>
        <v>6.153679999999999E-3</v>
      </c>
      <c r="M26" s="70">
        <v>2.7915100000000002</v>
      </c>
      <c r="N26" s="70">
        <v>1.1000000000000001</v>
      </c>
      <c r="O26" s="32">
        <f t="shared" si="3"/>
        <v>6.1413220000000004E-2</v>
      </c>
      <c r="P26" s="70">
        <v>0.26606000000000002</v>
      </c>
      <c r="Q26" s="70">
        <v>4.4000000000000004</v>
      </c>
      <c r="R26" s="25">
        <f t="shared" si="4"/>
        <v>2.3413280000000002E-2</v>
      </c>
      <c r="S26" s="70">
        <v>8.9999999999999998E-4</v>
      </c>
      <c r="T26" s="70">
        <v>61.2</v>
      </c>
      <c r="U26" s="26">
        <f t="shared" si="5"/>
        <v>1.1016000000000001E-3</v>
      </c>
    </row>
    <row r="27" spans="1:21" x14ac:dyDescent="0.25">
      <c r="A27" s="69"/>
      <c r="B27" s="84"/>
      <c r="C27" s="69"/>
      <c r="D27" s="90"/>
      <c r="E27" s="88">
        <f t="shared" si="6"/>
        <v>0</v>
      </c>
      <c r="F27" s="65" t="e">
        <f t="shared" si="0"/>
        <v>#DIV/0!</v>
      </c>
      <c r="G27" s="72"/>
      <c r="H27" s="73"/>
      <c r="I27" s="32">
        <f t="shared" si="1"/>
        <v>0</v>
      </c>
      <c r="J27" s="70"/>
      <c r="K27" s="70"/>
      <c r="L27" s="8">
        <f t="shared" si="2"/>
        <v>0</v>
      </c>
      <c r="M27" s="70"/>
      <c r="N27" s="70"/>
      <c r="O27" s="32">
        <f t="shared" si="3"/>
        <v>0</v>
      </c>
      <c r="P27" s="70"/>
      <c r="Q27" s="70"/>
      <c r="R27" s="25">
        <f t="shared" si="4"/>
        <v>0</v>
      </c>
      <c r="S27" s="70"/>
      <c r="T27" s="70"/>
      <c r="U27" s="26">
        <f t="shared" si="5"/>
        <v>0</v>
      </c>
    </row>
    <row r="28" spans="1:21" ht="15.75" thickBot="1" x14ac:dyDescent="0.3">
      <c r="A28" s="69"/>
      <c r="B28" s="85"/>
      <c r="C28" s="91"/>
      <c r="D28" s="92"/>
      <c r="E28" s="89">
        <f>+C28+D28</f>
        <v>0</v>
      </c>
      <c r="F28" s="66" t="e">
        <f t="shared" si="0"/>
        <v>#DIV/0!</v>
      </c>
      <c r="G28" s="72"/>
      <c r="H28" s="73"/>
      <c r="I28" s="32">
        <f t="shared" si="1"/>
        <v>0</v>
      </c>
      <c r="J28" s="70"/>
      <c r="K28" s="70"/>
      <c r="L28" s="8">
        <f t="shared" si="2"/>
        <v>0</v>
      </c>
      <c r="M28" s="70"/>
      <c r="N28" s="70"/>
      <c r="O28" s="32">
        <f t="shared" si="3"/>
        <v>0</v>
      </c>
      <c r="P28" s="70"/>
      <c r="Q28" s="70"/>
      <c r="R28" s="25">
        <f t="shared" si="4"/>
        <v>0</v>
      </c>
      <c r="S28" s="70"/>
      <c r="T28" s="70"/>
      <c r="U28" s="26">
        <f t="shared" si="5"/>
        <v>0</v>
      </c>
    </row>
    <row r="32" spans="1:21" x14ac:dyDescent="0.25">
      <c r="A32" s="2" t="s">
        <v>19</v>
      </c>
    </row>
    <row r="33" spans="1:16" ht="15.75" thickBot="1" x14ac:dyDescent="0.3"/>
    <row r="34" spans="1:16" x14ac:dyDescent="0.25">
      <c r="A34" s="28"/>
      <c r="B34" s="43" t="str">
        <f>G7</f>
        <v>Element 1</v>
      </c>
      <c r="C34" s="5"/>
      <c r="D34" s="6"/>
      <c r="E34" s="43" t="str">
        <f>J7</f>
        <v>Element 2</v>
      </c>
      <c r="F34" s="5"/>
      <c r="G34" s="6"/>
      <c r="H34" s="43" t="str">
        <f>M7</f>
        <v>Element 3</v>
      </c>
      <c r="I34" s="5"/>
      <c r="J34" s="6"/>
      <c r="K34" s="43" t="str">
        <f>P7</f>
        <v>Element 4</v>
      </c>
      <c r="L34" s="5"/>
      <c r="M34" s="6"/>
      <c r="N34" s="44" t="str">
        <f>S7</f>
        <v>Element 5</v>
      </c>
      <c r="O34" s="5"/>
      <c r="P34" s="6"/>
    </row>
    <row r="35" spans="1:16" s="1" customFormat="1" ht="48.75" customHeight="1" thickBot="1" x14ac:dyDescent="0.3">
      <c r="A35" s="29" t="s">
        <v>0</v>
      </c>
      <c r="B35" s="31" t="str">
        <f>G8</f>
        <v>Al</v>
      </c>
      <c r="C35" s="62" t="s">
        <v>6</v>
      </c>
      <c r="D35" s="63" t="s">
        <v>7</v>
      </c>
      <c r="E35" s="31" t="str">
        <f>J8</f>
        <v>Co</v>
      </c>
      <c r="F35" s="62" t="s">
        <v>6</v>
      </c>
      <c r="G35" s="63" t="s">
        <v>7</v>
      </c>
      <c r="H35" s="31" t="str">
        <f>M8</f>
        <v>Cr</v>
      </c>
      <c r="I35" s="62" t="s">
        <v>6</v>
      </c>
      <c r="J35" s="63" t="s">
        <v>7</v>
      </c>
      <c r="K35" s="31" t="str">
        <f>P8</f>
        <v>Cu</v>
      </c>
      <c r="L35" s="62" t="s">
        <v>6</v>
      </c>
      <c r="M35" s="63" t="s">
        <v>7</v>
      </c>
      <c r="N35" s="30" t="str">
        <f>'LOD calculation'!B59</f>
        <v>Cd</v>
      </c>
      <c r="O35" s="62" t="s">
        <v>6</v>
      </c>
      <c r="P35" s="63" t="s">
        <v>7</v>
      </c>
    </row>
    <row r="36" spans="1:16" x14ac:dyDescent="0.25">
      <c r="A36" s="22" t="str">
        <f>A9</f>
        <v>MD01</v>
      </c>
      <c r="B36" s="96">
        <f t="shared" ref="B36:B55" si="7">G9*$F9/1000</f>
        <v>27.735061029703715</v>
      </c>
      <c r="C36" s="97">
        <f t="shared" ref="C36:C55" si="8">I9*$F9/1000</f>
        <v>0.83205183089111145</v>
      </c>
      <c r="D36" s="123">
        <f>'LOD calculation'!$D$32*$F9/1000</f>
        <v>9.3287741913526266E-4</v>
      </c>
      <c r="E36" s="104">
        <f t="shared" ref="E36:E55" si="9">J9*F9/1000</f>
        <v>8.814576831478288E-2</v>
      </c>
      <c r="F36" s="105">
        <f t="shared" ref="F36:F55" si="10">L9*F9/1000</f>
        <v>1.9392069029252235E-3</v>
      </c>
      <c r="G36" s="123">
        <f>'LOD calculation'!$I$32*F9/1000</f>
        <v>1.1289153724704118E-4</v>
      </c>
      <c r="H36" s="104">
        <f t="shared" ref="H36:H55" si="11">(M9*F9)/1000</f>
        <v>0.25973871739771121</v>
      </c>
      <c r="I36" s="105">
        <f t="shared" ref="I36:I55" si="12">O9*F9/1000</f>
        <v>3.1168646087725337E-3</v>
      </c>
      <c r="J36" s="122">
        <f>'LOD calculation'!$D$57*F9/1000</f>
        <v>1.5265991256823579E-5</v>
      </c>
      <c r="K36" s="100">
        <f t="shared" ref="K36:K55" si="13">P9*F9/1000</f>
        <v>1.2446932309829126</v>
      </c>
      <c r="L36" s="101">
        <f t="shared" ref="L36:L55" si="14">R9*F9/1000</f>
        <v>1.4936318771794951E-2</v>
      </c>
      <c r="M36" s="121">
        <f>'LOD calculation'!$I$57*F9/1000</f>
        <v>7.6700998424915329E-6</v>
      </c>
      <c r="N36" s="113">
        <f t="shared" ref="N36:N55" si="15">S9*F9/1000</f>
        <v>7.6020810032920508E-3</v>
      </c>
      <c r="O36" s="105">
        <f t="shared" ref="O36:O55" si="16">U9*F9/1000</f>
        <v>1.8853160888164288E-3</v>
      </c>
      <c r="P36" s="127">
        <f>'LOD calculation'!$D$82*F9/1000</f>
        <v>1.4545552303018784E-3</v>
      </c>
    </row>
    <row r="37" spans="1:16" x14ac:dyDescent="0.25">
      <c r="A37" s="27" t="str">
        <f>A10</f>
        <v>MS01</v>
      </c>
      <c r="B37" s="98">
        <f t="shared" si="7"/>
        <v>39.381671090940287</v>
      </c>
      <c r="C37" s="99">
        <f t="shared" si="8"/>
        <v>0.55134339527316412</v>
      </c>
      <c r="D37" s="124">
        <f>'LOD calculation'!$D$32*$F10/1000</f>
        <v>2.0412803655145092E-3</v>
      </c>
      <c r="E37" s="106">
        <f t="shared" si="9"/>
        <v>9.1891722786547711E-2</v>
      </c>
      <c r="F37" s="107">
        <f t="shared" si="10"/>
        <v>3.3081020203157177E-3</v>
      </c>
      <c r="G37" s="125">
        <f>'LOD calculation'!$I$32*F10/1000</f>
        <v>2.4702417883449906E-4</v>
      </c>
      <c r="H37" s="112">
        <f t="shared" si="11"/>
        <v>0.50622193105696645</v>
      </c>
      <c r="I37" s="8">
        <f t="shared" si="12"/>
        <v>9.1119947590253964E-3</v>
      </c>
      <c r="J37" s="130">
        <f>'LOD calculation'!$D$57*F10/1000</f>
        <v>3.3404354713137051E-5</v>
      </c>
      <c r="K37" s="110">
        <f t="shared" si="13"/>
        <v>1.9253659527796845</v>
      </c>
      <c r="L37" s="111">
        <f t="shared" si="14"/>
        <v>4.2358050961153068E-2</v>
      </c>
      <c r="M37" s="130">
        <f>'LOD calculation'!$I$57*F10/1000</f>
        <v>1.6783367127191371E-5</v>
      </c>
      <c r="N37" s="114">
        <f t="shared" si="15"/>
        <v>9.14372728208648E-3</v>
      </c>
      <c r="O37" s="8">
        <f t="shared" si="16"/>
        <v>1.1886845466712423E-3</v>
      </c>
      <c r="P37" s="128">
        <f>'LOD calculation'!$D$82*F10/1000</f>
        <v>3.1827922632364056E-3</v>
      </c>
    </row>
    <row r="38" spans="1:16" x14ac:dyDescent="0.25">
      <c r="A38" s="27" t="str">
        <f t="shared" ref="A38:A55" si="17">A11</f>
        <v>MD01 Rinse</v>
      </c>
      <c r="B38" s="33">
        <f t="shared" si="7"/>
        <v>131.93584277958072</v>
      </c>
      <c r="C38" s="34">
        <f t="shared" si="8"/>
        <v>2.6387168555916141</v>
      </c>
      <c r="D38" s="40">
        <f>'LOD calculation'!$D$32*$F11/1000</f>
        <v>1.1295901115007844E-2</v>
      </c>
      <c r="E38" s="106">
        <f t="shared" si="9"/>
        <v>0.13763956597701377</v>
      </c>
      <c r="F38" s="107">
        <f t="shared" si="10"/>
        <v>6.0561409029886073E-3</v>
      </c>
      <c r="G38" s="124">
        <f>'LOD calculation'!$I$32*F11/1000</f>
        <v>1.3669659221099686E-3</v>
      </c>
      <c r="H38" s="110">
        <f t="shared" si="11"/>
        <v>0.4515033189080534</v>
      </c>
      <c r="I38" s="111">
        <f t="shared" si="12"/>
        <v>5.9598438095863043E-2</v>
      </c>
      <c r="J38" s="129">
        <f>'LOD calculation'!$D$57*F11/1000</f>
        <v>1.8485078974202296E-4</v>
      </c>
      <c r="K38" s="110">
        <f t="shared" si="13"/>
        <v>6.3666119694253922</v>
      </c>
      <c r="L38" s="111">
        <f t="shared" si="14"/>
        <v>8.9132567571955493E-2</v>
      </c>
      <c r="M38" s="130">
        <f>'LOD calculation'!$I$57*F11/1000</f>
        <v>9.2874677407599584E-5</v>
      </c>
      <c r="N38" s="115">
        <f t="shared" si="15"/>
        <v>4.8095643793104235E-2</v>
      </c>
      <c r="O38" s="32">
        <f t="shared" si="16"/>
        <v>1.067723292206914E-2</v>
      </c>
      <c r="P38" s="128">
        <f>'LOD calculation'!$D$82*F11/1000</f>
        <v>1.7612723505557527E-2</v>
      </c>
    </row>
    <row r="39" spans="1:16" x14ac:dyDescent="0.25">
      <c r="A39" s="27" t="str">
        <f t="shared" si="17"/>
        <v>MS01 Rinse</v>
      </c>
      <c r="B39" s="33">
        <f t="shared" si="7"/>
        <v>2906.871158005667</v>
      </c>
      <c r="C39" s="34">
        <f t="shared" si="8"/>
        <v>52.323680844102014</v>
      </c>
      <c r="D39" s="134">
        <f>'LOD calculation'!$D$32*$F12/1000</f>
        <v>0.28089748208813259</v>
      </c>
      <c r="E39" s="102">
        <f t="shared" si="9"/>
        <v>6.2968010361944993</v>
      </c>
      <c r="F39" s="103">
        <f t="shared" si="10"/>
        <v>0.16371682694105699</v>
      </c>
      <c r="G39" s="40">
        <f>'LOD calculation'!$I$32*F12/1000</f>
        <v>3.3992621014610029E-2</v>
      </c>
      <c r="H39" s="136">
        <f t="shared" si="11"/>
        <v>19.140929097155087</v>
      </c>
      <c r="I39" s="137">
        <f t="shared" si="12"/>
        <v>0.53594601472034242</v>
      </c>
      <c r="J39" s="128">
        <f>'LOD calculation'!$D$57*F12/1000</f>
        <v>4.5967223749462677E-3</v>
      </c>
      <c r="K39" s="36">
        <f t="shared" si="13"/>
        <v>148.99032210295235</v>
      </c>
      <c r="L39" s="37">
        <f t="shared" si="14"/>
        <v>1.1919225768236188</v>
      </c>
      <c r="M39" s="128">
        <f>'LOD calculation'!$I$57*F12/1000</f>
        <v>2.3095335881509423E-3</v>
      </c>
      <c r="N39" s="114">
        <f t="shared" si="15"/>
        <v>1.4794188800009451</v>
      </c>
      <c r="O39" s="8">
        <f t="shared" si="16"/>
        <v>0.19824212992012666</v>
      </c>
      <c r="P39" s="128">
        <f>'LOD calculation'!$D$82*F12/1000</f>
        <v>0.43797919573255228</v>
      </c>
    </row>
    <row r="40" spans="1:16" x14ac:dyDescent="0.25">
      <c r="A40" s="27">
        <f t="shared" si="17"/>
        <v>0</v>
      </c>
      <c r="B40" s="33" t="e">
        <f t="shared" si="7"/>
        <v>#DIV/0!</v>
      </c>
      <c r="C40" s="34" t="e">
        <f t="shared" si="8"/>
        <v>#DIV/0!</v>
      </c>
      <c r="D40" s="35" t="e">
        <f>'LOD calculation'!$D$32*$F13/1000</f>
        <v>#DIV/0!</v>
      </c>
      <c r="E40" s="33" t="e">
        <f t="shared" si="9"/>
        <v>#DIV/0!</v>
      </c>
      <c r="F40" s="34" t="e">
        <f t="shared" si="10"/>
        <v>#DIV/0!</v>
      </c>
      <c r="G40" s="35" t="e">
        <f>'LOD calculation'!$I$32*F13/1000</f>
        <v>#DIV/0!</v>
      </c>
      <c r="H40" s="36" t="e">
        <f t="shared" si="11"/>
        <v>#DIV/0!</v>
      </c>
      <c r="I40" s="37" t="e">
        <f t="shared" si="12"/>
        <v>#DIV/0!</v>
      </c>
      <c r="J40" s="39" t="e">
        <f>'LOD calculation'!$D$57*F13/1000</f>
        <v>#DIV/0!</v>
      </c>
      <c r="K40" s="36" t="e">
        <f t="shared" si="13"/>
        <v>#DIV/0!</v>
      </c>
      <c r="L40" s="37" t="e">
        <f t="shared" si="14"/>
        <v>#DIV/0!</v>
      </c>
      <c r="M40" s="39" t="e">
        <f>'LOD calculation'!$I$57*F13/1000</f>
        <v>#DIV/0!</v>
      </c>
      <c r="N40" s="38" t="e">
        <f t="shared" si="15"/>
        <v>#DIV/0!</v>
      </c>
      <c r="O40" s="37" t="e">
        <f t="shared" si="16"/>
        <v>#DIV/0!</v>
      </c>
      <c r="P40" s="39" t="e">
        <f>'LOD calculation'!$D$82*F13/1000</f>
        <v>#DIV/0!</v>
      </c>
    </row>
    <row r="41" spans="1:16" x14ac:dyDescent="0.25">
      <c r="A41" s="27" t="str">
        <f t="shared" si="17"/>
        <v>MD03</v>
      </c>
      <c r="B41" s="98">
        <f t="shared" si="7"/>
        <v>24.459356021574258</v>
      </c>
      <c r="C41" s="99">
        <f t="shared" si="8"/>
        <v>0.53810583247463373</v>
      </c>
      <c r="D41" s="125">
        <f>'LOD calculation'!$D$32*$F14/1000</f>
        <v>8.4393893506445525E-4</v>
      </c>
      <c r="E41" s="106">
        <f t="shared" si="9"/>
        <v>6.8702695731258853E-2</v>
      </c>
      <c r="F41" s="107">
        <f t="shared" si="10"/>
        <v>1.6488646975502124E-3</v>
      </c>
      <c r="G41" s="125">
        <f>'LOD calculation'!$I$32*F14/1000</f>
        <v>1.0212870605268989E-4</v>
      </c>
      <c r="H41" s="112">
        <f t="shared" si="11"/>
        <v>0.23356035247949083</v>
      </c>
      <c r="I41" s="8">
        <f t="shared" si="12"/>
        <v>2.3356035247949084E-3</v>
      </c>
      <c r="J41" s="130">
        <f>'LOD calculation'!$D$57*F14/1000</f>
        <v>1.3810565182218139E-5</v>
      </c>
      <c r="K41" s="112">
        <f t="shared" si="13"/>
        <v>0.74209073273267334</v>
      </c>
      <c r="L41" s="8">
        <f t="shared" si="14"/>
        <v>7.4209073273267326E-3</v>
      </c>
      <c r="M41" s="131">
        <f>'LOD calculation'!$I$57*F14/1000</f>
        <v>6.9388493709180275E-6</v>
      </c>
      <c r="N41" s="115">
        <f t="shared" si="15"/>
        <v>2.9288450042432822E-3</v>
      </c>
      <c r="O41" s="32">
        <f t="shared" si="16"/>
        <v>7.9078815114568609E-4</v>
      </c>
      <c r="P41" s="128">
        <f>'LOD calculation'!$D$82*F14/1000</f>
        <v>1.3158811295821613E-3</v>
      </c>
    </row>
    <row r="42" spans="1:16" x14ac:dyDescent="0.25">
      <c r="A42" s="27" t="str">
        <f t="shared" si="17"/>
        <v>MS03</v>
      </c>
      <c r="B42" s="33">
        <f t="shared" si="7"/>
        <v>68.319980951304231</v>
      </c>
      <c r="C42" s="34">
        <f t="shared" si="8"/>
        <v>1.0931196952208677</v>
      </c>
      <c r="D42" s="124">
        <f>'LOD calculation'!$D$32*$F15/1000</f>
        <v>1.4510363296776547E-3</v>
      </c>
      <c r="E42" s="106">
        <f t="shared" si="9"/>
        <v>0.12820907935641151</v>
      </c>
      <c r="F42" s="107">
        <f t="shared" si="10"/>
        <v>3.8462723806923457E-3</v>
      </c>
      <c r="G42" s="125">
        <f>'LOD calculation'!$I$32*F15/1000</f>
        <v>1.7559619141650941E-4</v>
      </c>
      <c r="H42" s="110">
        <f t="shared" si="11"/>
        <v>0.40962720093369087</v>
      </c>
      <c r="I42" s="111">
        <f t="shared" si="12"/>
        <v>1.0650307224275964E-2</v>
      </c>
      <c r="J42" s="130">
        <f>'LOD calculation'!$D$57*F15/1000</f>
        <v>2.3745357608426145E-5</v>
      </c>
      <c r="K42" s="110">
        <f t="shared" si="13"/>
        <v>2.2158623298732323</v>
      </c>
      <c r="L42" s="111">
        <f t="shared" si="14"/>
        <v>3.5453797277971717E-2</v>
      </c>
      <c r="M42" s="130">
        <f>'LOD calculation'!$I$57*F15/1000</f>
        <v>1.1930392241701729E-5</v>
      </c>
      <c r="N42" s="114">
        <f t="shared" si="15"/>
        <v>1.1058840704534372E-2</v>
      </c>
      <c r="O42" s="8">
        <f t="shared" si="16"/>
        <v>3.5830643882691368E-3</v>
      </c>
      <c r="P42" s="128">
        <f>'LOD calculation'!$D$82*F15/1000</f>
        <v>2.2624756901577919E-3</v>
      </c>
    </row>
    <row r="43" spans="1:16" x14ac:dyDescent="0.25">
      <c r="A43" s="27" t="str">
        <f t="shared" si="17"/>
        <v>MD03 Rinse</v>
      </c>
      <c r="B43" s="33">
        <f t="shared" si="7"/>
        <v>163.72159221161087</v>
      </c>
      <c r="C43" s="34">
        <f t="shared" si="8"/>
        <v>1.96465910653933</v>
      </c>
      <c r="D43" s="124">
        <f>'LOD calculation'!$D$32*$F16/1000</f>
        <v>8.1147681469233082E-3</v>
      </c>
      <c r="E43" s="106">
        <f t="shared" si="9"/>
        <v>0.12670087323246332</v>
      </c>
      <c r="F43" s="107">
        <f t="shared" si="10"/>
        <v>7.0952489010179462E-3</v>
      </c>
      <c r="G43" s="124">
        <f>'LOD calculation'!$I$32*F16/1000</f>
        <v>9.8200324256821547E-4</v>
      </c>
      <c r="H43" s="110">
        <f>(M16*F16)/1000</f>
        <v>1.2326972975515933</v>
      </c>
      <c r="I43" s="111">
        <f t="shared" si="12"/>
        <v>2.958473514123823E-2</v>
      </c>
      <c r="J43" s="129">
        <f>'LOD calculation'!$D$57*F16/1000</f>
        <v>1.3279341641360892E-4</v>
      </c>
      <c r="K43" s="110">
        <f t="shared" si="13"/>
        <v>3.4103511719395083</v>
      </c>
      <c r="L43" s="111">
        <f t="shared" si="14"/>
        <v>2.0462107031637051E-2</v>
      </c>
      <c r="M43" s="130">
        <f>'LOD calculation'!$I$57*F16/1000</f>
        <v>6.6719464539367445E-5</v>
      </c>
      <c r="N43" s="114">
        <f t="shared" si="15"/>
        <v>3.0023538156809079E-2</v>
      </c>
      <c r="O43" s="8">
        <f t="shared" si="16"/>
        <v>7.1456020813205614E-3</v>
      </c>
      <c r="P43" s="135">
        <f>'LOD calculation'!$D$82*F16/1000</f>
        <v>1.2652657475336478E-2</v>
      </c>
    </row>
    <row r="44" spans="1:16" x14ac:dyDescent="0.25">
      <c r="A44" s="27" t="str">
        <f t="shared" si="17"/>
        <v>MS03 Rinse</v>
      </c>
      <c r="B44" s="33">
        <f t="shared" si="7"/>
        <v>4119.1637939652655</v>
      </c>
      <c r="C44" s="34">
        <f t="shared" si="8"/>
        <v>115.33658623102743</v>
      </c>
      <c r="D44" s="134">
        <f>'LOD calculation'!$D$32*$F17/1000</f>
        <v>0.45341521274230806</v>
      </c>
      <c r="E44" s="102">
        <f t="shared" si="9"/>
        <v>7.1563898361509661</v>
      </c>
      <c r="F44" s="103">
        <f t="shared" si="10"/>
        <v>0.47232172918596371</v>
      </c>
      <c r="G44" s="40">
        <f>'LOD calculation'!$I$32*F17/1000</f>
        <v>5.4869738861426494E-2</v>
      </c>
      <c r="H44" s="136">
        <f>(M17*F17)/1000</f>
        <v>20.96522006614541</v>
      </c>
      <c r="I44" s="137">
        <f t="shared" si="12"/>
        <v>0.41930440132290825</v>
      </c>
      <c r="J44" s="128">
        <f>'LOD calculation'!$D$57*F17/1000</f>
        <v>7.4198737491696608E-3</v>
      </c>
      <c r="K44" s="36">
        <f t="shared" si="13"/>
        <v>203.01591742530292</v>
      </c>
      <c r="L44" s="37">
        <f t="shared" si="14"/>
        <v>5.2784138530578764</v>
      </c>
      <c r="M44" s="128">
        <f>'LOD calculation'!$I$57*F17/1000</f>
        <v>3.7279709857933508E-3</v>
      </c>
      <c r="N44" s="140">
        <f t="shared" si="15"/>
        <v>1.5007691330763193</v>
      </c>
      <c r="O44" s="137">
        <f t="shared" si="16"/>
        <v>0.42021535726136938</v>
      </c>
      <c r="P44" s="138">
        <f>'LOD calculation'!$D$82*F17/1000</f>
        <v>0.70697120078660225</v>
      </c>
    </row>
    <row r="45" spans="1:16" x14ac:dyDescent="0.25">
      <c r="A45" s="27">
        <f t="shared" si="17"/>
        <v>0</v>
      </c>
      <c r="B45" s="33" t="e">
        <f t="shared" si="7"/>
        <v>#DIV/0!</v>
      </c>
      <c r="C45" s="34" t="e">
        <f t="shared" si="8"/>
        <v>#DIV/0!</v>
      </c>
      <c r="D45" s="35" t="e">
        <f>'LOD calculation'!$D$32*$F18/1000</f>
        <v>#DIV/0!</v>
      </c>
      <c r="E45" s="33" t="e">
        <f t="shared" si="9"/>
        <v>#DIV/0!</v>
      </c>
      <c r="F45" s="34" t="e">
        <f t="shared" si="10"/>
        <v>#DIV/0!</v>
      </c>
      <c r="G45" s="35" t="e">
        <f>'LOD calculation'!$I$32*F18/1000</f>
        <v>#DIV/0!</v>
      </c>
      <c r="H45" s="36" t="e">
        <f t="shared" si="11"/>
        <v>#DIV/0!</v>
      </c>
      <c r="I45" s="37" t="e">
        <f t="shared" si="12"/>
        <v>#DIV/0!</v>
      </c>
      <c r="J45" s="39" t="e">
        <f>'LOD calculation'!$D$57*F18/1000</f>
        <v>#DIV/0!</v>
      </c>
      <c r="K45" s="36" t="e">
        <f t="shared" si="13"/>
        <v>#DIV/0!</v>
      </c>
      <c r="L45" s="37" t="e">
        <f t="shared" si="14"/>
        <v>#DIV/0!</v>
      </c>
      <c r="M45" s="39" t="e">
        <f>'LOD calculation'!$I$57*F18/1000</f>
        <v>#DIV/0!</v>
      </c>
      <c r="N45" s="38" t="e">
        <f t="shared" si="15"/>
        <v>#DIV/0!</v>
      </c>
      <c r="O45" s="37" t="e">
        <f t="shared" si="16"/>
        <v>#DIV/0!</v>
      </c>
      <c r="P45" s="39" t="e">
        <f>'LOD calculation'!$D$82*F18/1000</f>
        <v>#DIV/0!</v>
      </c>
    </row>
    <row r="46" spans="1:16" x14ac:dyDescent="0.25">
      <c r="A46" s="27" t="str">
        <f t="shared" si="17"/>
        <v>MD04</v>
      </c>
      <c r="B46" s="98">
        <f t="shared" si="7"/>
        <v>27.421617661736047</v>
      </c>
      <c r="C46" s="99">
        <f t="shared" si="8"/>
        <v>0.65811882388166509</v>
      </c>
      <c r="D46" s="124">
        <f>'LOD calculation'!$D$32*$F19/1000</f>
        <v>1.1177808757761813E-3</v>
      </c>
      <c r="E46" s="106">
        <f t="shared" si="9"/>
        <v>7.384475678178086E-2</v>
      </c>
      <c r="F46" s="107">
        <f t="shared" si="10"/>
        <v>2.6584112441441106E-3</v>
      </c>
      <c r="G46" s="125">
        <f>'LOD calculation'!$I$32*F19/1000</f>
        <v>1.3526750544427148E-4</v>
      </c>
      <c r="H46" s="112">
        <f t="shared" si="11"/>
        <v>0.19998093177524734</v>
      </c>
      <c r="I46" s="8">
        <f t="shared" si="12"/>
        <v>5.1995042261564327E-3</v>
      </c>
      <c r="J46" s="130">
        <f>'LOD calculation'!$D$57*F19/1000</f>
        <v>1.8291827764961249E-5</v>
      </c>
      <c r="K46" s="110">
        <f t="shared" si="13"/>
        <v>0.71528579945491888</v>
      </c>
      <c r="L46" s="111">
        <f t="shared" si="14"/>
        <v>1.0014001192368862E-2</v>
      </c>
      <c r="M46" s="131">
        <f>'LOD calculation'!$I$57*F19/1000</f>
        <v>9.1903724362609121E-6</v>
      </c>
      <c r="N46" s="114">
        <f t="shared" si="15"/>
        <v>4.5457108978906105E-3</v>
      </c>
      <c r="O46" s="8">
        <f t="shared" si="16"/>
        <v>1.3637132693671832E-3</v>
      </c>
      <c r="P46" s="128">
        <f>'LOD calculation'!$D$82*F19/1000</f>
        <v>1.7428592287063547E-3</v>
      </c>
    </row>
    <row r="47" spans="1:16" x14ac:dyDescent="0.25">
      <c r="A47" s="27" t="str">
        <f t="shared" si="17"/>
        <v>MS04</v>
      </c>
      <c r="B47" s="98">
        <f t="shared" si="7"/>
        <v>32.411028271058477</v>
      </c>
      <c r="C47" s="99">
        <f t="shared" si="8"/>
        <v>0.58339850887905254</v>
      </c>
      <c r="D47" s="124">
        <f>'LOD calculation'!$D$32*$F20/1000</f>
        <v>1.4379923956953883E-3</v>
      </c>
      <c r="E47" s="106">
        <f t="shared" si="9"/>
        <v>0.1083395893136781</v>
      </c>
      <c r="F47" s="107">
        <f t="shared" si="10"/>
        <v>2.1667917862735623E-3</v>
      </c>
      <c r="G47" s="125">
        <f>'LOD calculation'!$I$32*F20/1000</f>
        <v>1.7401768846553011E-4</v>
      </c>
      <c r="H47" s="112">
        <f t="shared" si="11"/>
        <v>0.34397047318028029</v>
      </c>
      <c r="I47" s="8">
        <f t="shared" si="12"/>
        <v>4.8155866245239232E-3</v>
      </c>
      <c r="J47" s="130">
        <f>'LOD calculation'!$D$57*F20/1000</f>
        <v>2.3531901287109621E-5</v>
      </c>
      <c r="K47" s="110">
        <f t="shared" si="13"/>
        <v>1.3142812864088931</v>
      </c>
      <c r="L47" s="111">
        <f t="shared" si="14"/>
        <v>1.8399938009724504E-2</v>
      </c>
      <c r="M47" s="130">
        <f>'LOD calculation'!$I$57*F20/1000</f>
        <v>1.1823145272345785E-5</v>
      </c>
      <c r="N47" s="114">
        <f t="shared" si="15"/>
        <v>3.4624903093281771E-3</v>
      </c>
      <c r="O47" s="8">
        <f t="shared" si="16"/>
        <v>1.0872219571290479E-3</v>
      </c>
      <c r="P47" s="128">
        <f>'LOD calculation'!$D$82*F20/1000</f>
        <v>2.2421374098988431E-3</v>
      </c>
    </row>
    <row r="48" spans="1:16" x14ac:dyDescent="0.25">
      <c r="A48" s="27" t="str">
        <f t="shared" si="17"/>
        <v>MD04 Rinse</v>
      </c>
      <c r="B48" s="98">
        <f t="shared" si="7"/>
        <v>186.38230859490847</v>
      </c>
      <c r="C48" s="99">
        <f t="shared" si="8"/>
        <v>0.74552923437963381</v>
      </c>
      <c r="D48" s="40">
        <f>'LOD calculation'!$D$32*$F21/1000</f>
        <v>1.4136713690814319E-2</v>
      </c>
      <c r="E48" s="102">
        <f t="shared" si="9"/>
        <v>0.22103226735577472</v>
      </c>
      <c r="F48" s="103">
        <f t="shared" si="10"/>
        <v>9.7254197636540887E-3</v>
      </c>
      <c r="G48" s="124">
        <f>'LOD calculation'!$I$32*F21/1000</f>
        <v>1.7107449568847606E-3</v>
      </c>
      <c r="H48" s="110">
        <f t="shared" si="11"/>
        <v>0.59841496254809168</v>
      </c>
      <c r="I48" s="111">
        <f t="shared" si="12"/>
        <v>2.8723918202308397E-2</v>
      </c>
      <c r="J48" s="129">
        <f>'LOD calculation'!$D$57*F21/1000</f>
        <v>2.3133901965837814E-4</v>
      </c>
      <c r="K48" s="112">
        <f t="shared" si="13"/>
        <v>3.6300799354808593</v>
      </c>
      <c r="L48" s="8">
        <f t="shared" si="14"/>
        <v>6.534143883865548E-2</v>
      </c>
      <c r="M48" s="131">
        <f>'LOD calculation'!$I$57*F21/1000</f>
        <v>1.162317826856317E-4</v>
      </c>
      <c r="N48" s="139">
        <f t="shared" si="15"/>
        <v>0.23571305870192893</v>
      </c>
      <c r="O48" s="111">
        <f t="shared" si="16"/>
        <v>1.1785652935096447E-2</v>
      </c>
      <c r="P48" s="135">
        <f>'LOD calculation'!$D$82*F21/1000</f>
        <v>2.2042157325787577E-2</v>
      </c>
    </row>
    <row r="49" spans="1:16" x14ac:dyDescent="0.25">
      <c r="A49" s="27" t="str">
        <f t="shared" si="17"/>
        <v>MS04 Rinse</v>
      </c>
      <c r="B49" s="33">
        <f t="shared" si="7"/>
        <v>352.99954383938922</v>
      </c>
      <c r="C49" s="34">
        <f t="shared" si="8"/>
        <v>9.8839872275028977</v>
      </c>
      <c r="D49" s="40">
        <f>'LOD calculation'!$D$32*$F22/1000</f>
        <v>3.5516408032085153E-2</v>
      </c>
      <c r="E49" s="102">
        <f t="shared" si="9"/>
        <v>0.7596638644578132</v>
      </c>
      <c r="F49" s="103">
        <f t="shared" si="10"/>
        <v>3.7983193222890663E-2</v>
      </c>
      <c r="G49" s="124">
        <f>'LOD calculation'!$I$32*F22/1000</f>
        <v>4.2979943752437374E-3</v>
      </c>
      <c r="H49" s="110">
        <f t="shared" si="11"/>
        <v>2.5919935962649983</v>
      </c>
      <c r="I49" s="111">
        <f t="shared" si="12"/>
        <v>5.7023859117829971E-2</v>
      </c>
      <c r="J49" s="129">
        <f>'LOD calculation'!$D$57*F22/1000</f>
        <v>5.8120516519113573E-4</v>
      </c>
      <c r="K49" s="112">
        <f t="shared" si="13"/>
        <v>8.9486414426503895</v>
      </c>
      <c r="L49" s="8">
        <f t="shared" si="14"/>
        <v>0.17897282885300778</v>
      </c>
      <c r="M49" s="130">
        <f>'LOD calculation'!$I$57*F22/1000</f>
        <v>2.920152102140898E-4</v>
      </c>
      <c r="N49" s="139">
        <f t="shared" si="15"/>
        <v>0.10452685493975655</v>
      </c>
      <c r="O49" s="111">
        <f t="shared" si="16"/>
        <v>1.7351457919999588E-2</v>
      </c>
      <c r="P49" s="135">
        <f>'LOD calculation'!$D$82*F22/1000</f>
        <v>5.5377669139523432E-2</v>
      </c>
    </row>
    <row r="50" spans="1:16" x14ac:dyDescent="0.25">
      <c r="A50" s="27">
        <f t="shared" si="17"/>
        <v>0</v>
      </c>
      <c r="B50" s="33" t="e">
        <f t="shared" si="7"/>
        <v>#DIV/0!</v>
      </c>
      <c r="C50" s="34" t="e">
        <f t="shared" si="8"/>
        <v>#DIV/0!</v>
      </c>
      <c r="D50" s="35" t="e">
        <f>'LOD calculation'!$D$32*$F23/1000</f>
        <v>#DIV/0!</v>
      </c>
      <c r="E50" s="33" t="e">
        <f t="shared" si="9"/>
        <v>#DIV/0!</v>
      </c>
      <c r="F50" s="34" t="e">
        <f t="shared" si="10"/>
        <v>#DIV/0!</v>
      </c>
      <c r="G50" s="35" t="e">
        <f>'LOD calculation'!$I$32*F23/1000</f>
        <v>#DIV/0!</v>
      </c>
      <c r="H50" s="36" t="e">
        <f t="shared" si="11"/>
        <v>#DIV/0!</v>
      </c>
      <c r="I50" s="37" t="e">
        <f t="shared" si="12"/>
        <v>#DIV/0!</v>
      </c>
      <c r="J50" s="39" t="e">
        <f>'LOD calculation'!$D$57*F23/1000</f>
        <v>#DIV/0!</v>
      </c>
      <c r="K50" s="36" t="e">
        <f t="shared" si="13"/>
        <v>#DIV/0!</v>
      </c>
      <c r="L50" s="37" t="e">
        <f t="shared" si="14"/>
        <v>#DIV/0!</v>
      </c>
      <c r="M50" s="39" t="e">
        <f>'LOD calculation'!$I$57*F23/1000</f>
        <v>#DIV/0!</v>
      </c>
      <c r="N50" s="38" t="e">
        <f t="shared" si="15"/>
        <v>#DIV/0!</v>
      </c>
      <c r="O50" s="37" t="e">
        <f t="shared" si="16"/>
        <v>#DIV/0!</v>
      </c>
      <c r="P50" s="39" t="e">
        <f>'LOD calculation'!$D$82*F23/1000</f>
        <v>#DIV/0!</v>
      </c>
    </row>
    <row r="51" spans="1:16" x14ac:dyDescent="0.25">
      <c r="A51" s="27" t="str">
        <f t="shared" si="17"/>
        <v>BLK 1</v>
      </c>
      <c r="B51" s="102">
        <f t="shared" si="7"/>
        <v>0.11068322340599999</v>
      </c>
      <c r="C51" s="103">
        <f t="shared" si="8"/>
        <v>1.1068322340599998E-2</v>
      </c>
      <c r="D51" s="125">
        <f>'LOD calculation'!$D$32*$F24/1000</f>
        <v>5.9440478885528034E-4</v>
      </c>
      <c r="E51" s="116">
        <f t="shared" si="9"/>
        <v>1.6662567600000001E-4</v>
      </c>
      <c r="F51" s="117">
        <f t="shared" si="10"/>
        <v>5.6319478488000003E-5</v>
      </c>
      <c r="G51" s="126">
        <f>'LOD calculation'!$I$32*F24/1000</f>
        <v>7.1931498163046309E-5</v>
      </c>
      <c r="H51" s="112">
        <f t="shared" si="11"/>
        <v>5.4383715791999999E-2</v>
      </c>
      <c r="I51" s="8">
        <f t="shared" si="12"/>
        <v>1.9578137685120002E-3</v>
      </c>
      <c r="J51" s="130">
        <f>'LOD calculation'!$D$57*F24/1000</f>
        <v>9.7270853850124796E-6</v>
      </c>
      <c r="K51" s="118">
        <f t="shared" si="13"/>
        <v>4.6247702759999992E-3</v>
      </c>
      <c r="L51" s="32">
        <f t="shared" si="14"/>
        <v>2.9598529766400002E-4</v>
      </c>
      <c r="M51" s="131">
        <f>'LOD calculation'!$I$57*F24/1000</f>
        <v>4.8871845151973233E-6</v>
      </c>
      <c r="N51" s="119">
        <f t="shared" si="15"/>
        <v>2.2795037999999995E-5</v>
      </c>
      <c r="O51" s="120">
        <f t="shared" si="16"/>
        <v>5.5619892719999985E-5</v>
      </c>
      <c r="P51" s="129">
        <f>'LOD calculation'!$D$82*F24/1000</f>
        <v>9.2680407608898259E-4</v>
      </c>
    </row>
    <row r="52" spans="1:16" x14ac:dyDescent="0.25">
      <c r="A52" s="27" t="str">
        <f t="shared" si="17"/>
        <v>BLK 2</v>
      </c>
      <c r="B52" s="106">
        <f t="shared" si="7"/>
        <v>0.109384234523</v>
      </c>
      <c r="C52" s="107">
        <f t="shared" si="8"/>
        <v>7.8756648856560009E-3</v>
      </c>
      <c r="D52" s="125">
        <f>'LOD calculation'!$D$32*$F25/1000</f>
        <v>5.949145497610237E-4</v>
      </c>
      <c r="E52" s="116">
        <f t="shared" si="9"/>
        <v>1.7282554400000001E-4</v>
      </c>
      <c r="F52" s="117">
        <f t="shared" si="10"/>
        <v>9.2288840495999982E-5</v>
      </c>
      <c r="G52" s="126">
        <f>'LOD calculation'!$I$32*F25/1000</f>
        <v>7.1993186538279086E-5</v>
      </c>
      <c r="H52" s="112">
        <f t="shared" si="11"/>
        <v>5.3581168014000001E-2</v>
      </c>
      <c r="I52" s="8">
        <f t="shared" si="12"/>
        <v>2.4647337286439995E-3</v>
      </c>
      <c r="J52" s="130">
        <f>'LOD calculation'!$D$57*F25/1000</f>
        <v>9.73542732294615E-6</v>
      </c>
      <c r="K52" s="118">
        <f t="shared" si="13"/>
        <v>4.484378689000001E-3</v>
      </c>
      <c r="L52" s="32">
        <f t="shared" si="14"/>
        <v>2.5112520658400001E-4</v>
      </c>
      <c r="M52" s="131">
        <f>'LOD calculation'!$I$57*F25/1000</f>
        <v>4.8913757593657947E-6</v>
      </c>
      <c r="N52" s="119">
        <f t="shared" si="15"/>
        <v>9.0854550000000006E-5</v>
      </c>
      <c r="O52" s="120">
        <f t="shared" si="16"/>
        <v>7.5772694700000019E-5</v>
      </c>
      <c r="P52" s="129">
        <f>'LOD calculation'!$D$82*F25/1000</f>
        <v>9.2759890226490154E-4</v>
      </c>
    </row>
    <row r="53" spans="1:16" x14ac:dyDescent="0.25">
      <c r="A53" s="27" t="str">
        <f t="shared" si="17"/>
        <v>BLK 3</v>
      </c>
      <c r="B53" s="102">
        <f t="shared" si="7"/>
        <v>0.17960666094</v>
      </c>
      <c r="C53" s="103">
        <f t="shared" si="8"/>
        <v>1.1494826300159999E-2</v>
      </c>
      <c r="D53" s="125">
        <f>'LOD calculation'!$D$32*$F26/1000</f>
        <v>5.9428103187238309E-4</v>
      </c>
      <c r="E53" s="108">
        <f t="shared" si="9"/>
        <v>6.3974164799999989E-4</v>
      </c>
      <c r="F53" s="109">
        <f t="shared" si="10"/>
        <v>1.2410987971199996E-4</v>
      </c>
      <c r="G53" s="126">
        <f>'LOD calculation'!$I$32*F26/1000</f>
        <v>7.1916521794492685E-5</v>
      </c>
      <c r="H53" s="112">
        <f t="shared" si="11"/>
        <v>5.6300290284E-2</v>
      </c>
      <c r="I53" s="8">
        <f t="shared" si="12"/>
        <v>1.2386063862479999E-3</v>
      </c>
      <c r="J53" s="130">
        <f>'LOD calculation'!$D$57*F26/1000</f>
        <v>9.7250601746470807E-6</v>
      </c>
      <c r="K53" s="118">
        <f t="shared" si="13"/>
        <v>5.3660045040000003E-3</v>
      </c>
      <c r="L53" s="32">
        <f t="shared" si="14"/>
        <v>4.72208396352E-4</v>
      </c>
      <c r="M53" s="131">
        <f>'LOD calculation'!$I$57*F26/1000</f>
        <v>4.8861669877113354E-6</v>
      </c>
      <c r="N53" s="119">
        <f t="shared" si="15"/>
        <v>1.8151559999999998E-5</v>
      </c>
      <c r="O53" s="120">
        <f t="shared" si="16"/>
        <v>2.2217509440000002E-5</v>
      </c>
      <c r="P53" s="129">
        <f>'LOD calculation'!$D$82*F26/1000</f>
        <v>9.2661111250870172E-4</v>
      </c>
    </row>
    <row r="54" spans="1:16" x14ac:dyDescent="0.25">
      <c r="A54" s="27">
        <f t="shared" si="17"/>
        <v>0</v>
      </c>
      <c r="B54" s="33" t="e">
        <f t="shared" si="7"/>
        <v>#DIV/0!</v>
      </c>
      <c r="C54" s="34" t="e">
        <f t="shared" si="8"/>
        <v>#DIV/0!</v>
      </c>
      <c r="D54" s="35" t="e">
        <f>'LOD calculation'!$D$32*$F27/1000</f>
        <v>#DIV/0!</v>
      </c>
      <c r="E54" s="33" t="e">
        <f t="shared" si="9"/>
        <v>#DIV/0!</v>
      </c>
      <c r="F54" s="34" t="e">
        <f t="shared" si="10"/>
        <v>#DIV/0!</v>
      </c>
      <c r="G54" s="35" t="e">
        <f>'LOD calculation'!$I$32*F27/1000</f>
        <v>#DIV/0!</v>
      </c>
      <c r="H54" s="36" t="e">
        <f t="shared" si="11"/>
        <v>#DIV/0!</v>
      </c>
      <c r="I54" s="37" t="e">
        <f t="shared" si="12"/>
        <v>#DIV/0!</v>
      </c>
      <c r="J54" s="39" t="e">
        <f>'LOD calculation'!$D$57*F27/1000</f>
        <v>#DIV/0!</v>
      </c>
      <c r="K54" s="36" t="e">
        <f t="shared" si="13"/>
        <v>#DIV/0!</v>
      </c>
      <c r="L54" s="37" t="e">
        <f t="shared" si="14"/>
        <v>#DIV/0!</v>
      </c>
      <c r="M54" s="39" t="e">
        <f>'LOD calculation'!$I$57*F27/1000</f>
        <v>#DIV/0!</v>
      </c>
      <c r="N54" s="38" t="e">
        <f t="shared" si="15"/>
        <v>#DIV/0!</v>
      </c>
      <c r="O54" s="37" t="e">
        <f t="shared" si="16"/>
        <v>#DIV/0!</v>
      </c>
      <c r="P54" s="39" t="e">
        <f>'LOD calculation'!$D$82*F27/1000</f>
        <v>#DIV/0!</v>
      </c>
    </row>
    <row r="55" spans="1:16" x14ac:dyDescent="0.25">
      <c r="A55" s="27">
        <f t="shared" si="17"/>
        <v>0</v>
      </c>
      <c r="B55" s="33" t="e">
        <f t="shared" si="7"/>
        <v>#DIV/0!</v>
      </c>
      <c r="C55" s="34" t="e">
        <f t="shared" si="8"/>
        <v>#DIV/0!</v>
      </c>
      <c r="D55" s="35" t="e">
        <f>'LOD calculation'!$D$32*$F28/1000</f>
        <v>#DIV/0!</v>
      </c>
      <c r="E55" s="33" t="e">
        <f t="shared" si="9"/>
        <v>#DIV/0!</v>
      </c>
      <c r="F55" s="34" t="e">
        <f t="shared" si="10"/>
        <v>#DIV/0!</v>
      </c>
      <c r="G55" s="35" t="e">
        <f>'LOD calculation'!$I$32*F28/1000</f>
        <v>#DIV/0!</v>
      </c>
      <c r="H55" s="36" t="e">
        <f t="shared" si="11"/>
        <v>#DIV/0!</v>
      </c>
      <c r="I55" s="37" t="e">
        <f t="shared" si="12"/>
        <v>#DIV/0!</v>
      </c>
      <c r="J55" s="39" t="e">
        <f>'LOD calculation'!$D$57*F28/1000</f>
        <v>#DIV/0!</v>
      </c>
      <c r="K55" s="36" t="e">
        <f t="shared" si="13"/>
        <v>#DIV/0!</v>
      </c>
      <c r="L55" s="37" t="e">
        <f t="shared" si="14"/>
        <v>#DIV/0!</v>
      </c>
      <c r="M55" s="39" t="e">
        <f>'LOD calculation'!$I$57*F28/1000</f>
        <v>#DIV/0!</v>
      </c>
      <c r="N55" s="38" t="e">
        <f t="shared" si="15"/>
        <v>#DIV/0!</v>
      </c>
      <c r="O55" s="37" t="e">
        <f t="shared" si="16"/>
        <v>#DIV/0!</v>
      </c>
      <c r="P55" s="39" t="e">
        <f>'LOD calculation'!$D$82*F28/1000</f>
        <v>#DIV/0!</v>
      </c>
    </row>
  </sheetData>
  <sheetProtection password="CD6A" sheet="1" objects="1" scenarios="1" formatCells="0" formatColumns="0" formatRows="0"/>
  <mergeCells count="1">
    <mergeCell ref="C7:D7"/>
  </mergeCells>
  <phoneticPr fontId="5" type="noConversion"/>
  <pageMargins left="0.7" right="0.7" top="0.75" bottom="0.75" header="0.3" footer="0.3"/>
  <pageSetup paperSize="9" scale="4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A25" zoomScale="70" zoomScaleNormal="70" workbookViewId="0">
      <selection activeCell="K66" sqref="K66"/>
    </sheetView>
  </sheetViews>
  <sheetFormatPr defaultColWidth="8.85546875" defaultRowHeight="15" x14ac:dyDescent="0.25"/>
  <cols>
    <col min="1" max="1" width="16.42578125" customWidth="1"/>
    <col min="2" max="2" width="19.28515625" customWidth="1"/>
    <col min="3" max="3" width="14.42578125" customWidth="1"/>
    <col min="4" max="4" width="11.7109375" customWidth="1"/>
    <col min="6" max="6" width="15.28515625" customWidth="1"/>
    <col min="7" max="7" width="16.42578125" customWidth="1"/>
    <col min="8" max="8" width="13.5703125" customWidth="1"/>
    <col min="9" max="9" width="12.140625" customWidth="1"/>
    <col min="11" max="11" width="16.28515625" customWidth="1"/>
    <col min="13" max="13" width="14" customWidth="1"/>
    <col min="14" max="14" width="11.28515625" customWidth="1"/>
    <col min="16" max="16" width="16.140625" customWidth="1"/>
    <col min="18" max="18" width="12.5703125" customWidth="1"/>
    <col min="19" max="19" width="12" customWidth="1"/>
  </cols>
  <sheetData>
    <row r="1" spans="1:10" x14ac:dyDescent="0.25">
      <c r="A1" s="52" t="str">
        <f>Validation!C4</f>
        <v>GAU/SSH/068</v>
      </c>
      <c r="B1" s="53"/>
      <c r="C1" s="53"/>
      <c r="D1" s="54"/>
    </row>
    <row r="2" spans="1:10" x14ac:dyDescent="0.25">
      <c r="A2" s="55"/>
      <c r="B2" s="56"/>
      <c r="C2" s="56"/>
      <c r="D2" s="57"/>
    </row>
    <row r="3" spans="1:10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10" x14ac:dyDescent="0.25">
      <c r="A5" s="2" t="s">
        <v>8</v>
      </c>
    </row>
    <row r="7" spans="1:10" x14ac:dyDescent="0.25">
      <c r="A7" s="2" t="s">
        <v>47</v>
      </c>
    </row>
    <row r="8" spans="1:10" s="14" customFormat="1" ht="15.75" thickBot="1" x14ac:dyDescent="0.3"/>
    <row r="9" spans="1:10" s="14" customFormat="1" ht="19.5" thickBot="1" x14ac:dyDescent="0.35">
      <c r="A9" s="11" t="s">
        <v>2</v>
      </c>
      <c r="B9" s="20" t="str">
        <f>Calculations!G8</f>
        <v>Al</v>
      </c>
      <c r="C9" s="12"/>
      <c r="D9" s="12" t="s">
        <v>25</v>
      </c>
      <c r="E9" s="75">
        <v>5</v>
      </c>
      <c r="F9" s="11" t="s">
        <v>2</v>
      </c>
      <c r="G9" s="20" t="str">
        <f>Calculations!J8</f>
        <v>Co</v>
      </c>
      <c r="H9" s="12"/>
      <c r="I9" s="12" t="s">
        <v>25</v>
      </c>
      <c r="J9" s="75">
        <v>5</v>
      </c>
    </row>
    <row r="10" spans="1:10" s="14" customFormat="1" ht="15.75" thickBot="1" x14ac:dyDescent="0.3">
      <c r="A10" s="13"/>
      <c r="E10" s="15"/>
      <c r="F10" s="13"/>
      <c r="J10" s="15"/>
    </row>
    <row r="11" spans="1:10" s="14" customFormat="1" ht="15.75" thickBot="1" x14ac:dyDescent="0.3">
      <c r="A11" s="13" t="s">
        <v>22</v>
      </c>
      <c r="B11" s="75">
        <v>1087.26</v>
      </c>
      <c r="C11" s="14" t="s">
        <v>23</v>
      </c>
      <c r="D11" s="75">
        <v>12.5</v>
      </c>
      <c r="E11" s="15"/>
      <c r="F11" s="13" t="s">
        <v>22</v>
      </c>
      <c r="G11" s="75">
        <v>66.069999999999993</v>
      </c>
      <c r="H11" s="14" t="s">
        <v>23</v>
      </c>
      <c r="I11" s="75">
        <v>63.9</v>
      </c>
      <c r="J11" s="15"/>
    </row>
    <row r="12" spans="1:10" s="14" customFormat="1" ht="15.75" thickBot="1" x14ac:dyDescent="0.3">
      <c r="A12" s="13"/>
      <c r="B12" s="14" t="s">
        <v>13</v>
      </c>
      <c r="C12" s="14" t="s">
        <v>14</v>
      </c>
      <c r="D12" s="14" t="s">
        <v>15</v>
      </c>
      <c r="E12" s="41" t="s">
        <v>7</v>
      </c>
      <c r="F12" s="13"/>
      <c r="G12" s="14" t="s">
        <v>13</v>
      </c>
      <c r="H12" s="14" t="s">
        <v>14</v>
      </c>
      <c r="I12" s="14" t="s">
        <v>15</v>
      </c>
      <c r="J12" s="41" t="s">
        <v>7</v>
      </c>
    </row>
    <row r="13" spans="1:10" s="14" customFormat="1" x14ac:dyDescent="0.25">
      <c r="A13" s="13" t="s">
        <v>9</v>
      </c>
      <c r="B13" s="76">
        <v>15728.56</v>
      </c>
      <c r="C13" s="5">
        <f>B13-$B$11</f>
        <v>14641.3</v>
      </c>
      <c r="D13" s="79">
        <v>11.679606034402404</v>
      </c>
      <c r="E13" s="45">
        <f>D13*(3*$D$11)/(B13-$B$11)</f>
        <v>2.9914367323262976E-2</v>
      </c>
      <c r="F13" s="14" t="s">
        <v>9</v>
      </c>
      <c r="G13" s="76">
        <v>54484.38</v>
      </c>
      <c r="H13" s="5">
        <f>G13-$G$11</f>
        <v>54418.31</v>
      </c>
      <c r="I13" s="79">
        <v>1.0174370020925367</v>
      </c>
      <c r="J13" s="45">
        <f>I13*(3*$I$11)/(G13-$G$11)</f>
        <v>3.5841369072494036E-3</v>
      </c>
    </row>
    <row r="14" spans="1:10" s="14" customFormat="1" x14ac:dyDescent="0.25">
      <c r="A14" s="13" t="s">
        <v>10</v>
      </c>
      <c r="B14" s="77">
        <v>30959.08</v>
      </c>
      <c r="C14" s="3">
        <f>B14-$B$11</f>
        <v>29871.820000000003</v>
      </c>
      <c r="D14" s="80">
        <v>23.322698318272415</v>
      </c>
      <c r="E14" s="40">
        <f t="shared" ref="E14:E17" si="0">D14*(3*$D$11)/(B14-$B$11)</f>
        <v>2.9278470040834989E-2</v>
      </c>
      <c r="F14" s="14" t="s">
        <v>10</v>
      </c>
      <c r="G14" s="77">
        <v>544484.18999999994</v>
      </c>
      <c r="H14" s="3">
        <f>G14-$G$11</f>
        <v>544418.12</v>
      </c>
      <c r="I14" s="80">
        <v>10.060164861565093</v>
      </c>
      <c r="J14" s="40">
        <f t="shared" ref="J14:J17" si="1">I14*(3*$I$11)/(G14-$G$11)</f>
        <v>3.5423758561930825E-3</v>
      </c>
    </row>
    <row r="15" spans="1:10" s="14" customFormat="1" x14ac:dyDescent="0.25">
      <c r="A15" s="13" t="s">
        <v>11</v>
      </c>
      <c r="B15" s="77">
        <v>77105.7</v>
      </c>
      <c r="C15" s="3">
        <f>B15-$B$11</f>
        <v>76018.44</v>
      </c>
      <c r="D15" s="80">
        <v>59.352211626730202</v>
      </c>
      <c r="E15" s="40">
        <f t="shared" si="0"/>
        <v>2.9278526841676606E-2</v>
      </c>
      <c r="F15" s="14" t="s">
        <v>11</v>
      </c>
      <c r="G15" s="77">
        <v>1083260.43</v>
      </c>
      <c r="H15" s="3">
        <f>G15-$G$11</f>
        <v>1083194.3599999999</v>
      </c>
      <c r="I15" s="80">
        <v>20.088878803553971</v>
      </c>
      <c r="J15" s="40">
        <f t="shared" si="1"/>
        <v>3.5552604489570059E-3</v>
      </c>
    </row>
    <row r="16" spans="1:10" s="14" customFormat="1" x14ac:dyDescent="0.25">
      <c r="A16" s="13" t="s">
        <v>12</v>
      </c>
      <c r="B16" s="77">
        <v>152058.53</v>
      </c>
      <c r="C16" s="3">
        <f>B16-$B$11</f>
        <v>150971.26999999999</v>
      </c>
      <c r="D16" s="80">
        <v>118.79186804345665</v>
      </c>
      <c r="E16" s="40">
        <f t="shared" si="0"/>
        <v>2.950690586115904E-2</v>
      </c>
      <c r="F16" s="14" t="s">
        <v>12</v>
      </c>
      <c r="G16" s="77">
        <v>2771390.72</v>
      </c>
      <c r="H16" s="3">
        <f>G16-$G$11</f>
        <v>2771324.6500000004</v>
      </c>
      <c r="I16" s="80">
        <v>51.122703291931479</v>
      </c>
      <c r="J16" s="40">
        <f t="shared" si="1"/>
        <v>3.5362952590427335E-3</v>
      </c>
    </row>
    <row r="17" spans="1:10" s="14" customFormat="1" ht="15.75" thickBot="1" x14ac:dyDescent="0.3">
      <c r="A17" s="13" t="s">
        <v>24</v>
      </c>
      <c r="B17" s="78">
        <v>1510428.23</v>
      </c>
      <c r="C17" s="23">
        <f>B17-$B$11</f>
        <v>1509340.97</v>
      </c>
      <c r="D17" s="81">
        <v>1181.3700914817261</v>
      </c>
      <c r="E17" s="46">
        <f t="shared" si="0"/>
        <v>2.9351471477359239E-2</v>
      </c>
      <c r="F17" s="14" t="s">
        <v>24</v>
      </c>
      <c r="G17" s="78">
        <v>5432134.7300000004</v>
      </c>
      <c r="H17" s="23">
        <f>G17-$G$11</f>
        <v>5432068.6600000001</v>
      </c>
      <c r="I17" s="81">
        <v>102.32072667608661</v>
      </c>
      <c r="J17" s="46">
        <f t="shared" si="1"/>
        <v>3.61094171144107E-3</v>
      </c>
    </row>
    <row r="18" spans="1:10" s="14" customFormat="1" x14ac:dyDescent="0.25">
      <c r="A18" s="13"/>
      <c r="E18" s="15"/>
      <c r="F18" s="13"/>
      <c r="J18" s="15"/>
    </row>
    <row r="19" spans="1:10" s="14" customFormat="1" x14ac:dyDescent="0.25">
      <c r="A19" s="13" t="s">
        <v>16</v>
      </c>
      <c r="B19" s="16">
        <f>IF(E9=3,SLOPE(D13:D15,C13:C15),IF(E9=4,SLOPE(D13:D16,C13:C16),IF(E9=5,SLOPE(D13:D17,C13:C17))))</f>
        <v>7.8262041892417143E-4</v>
      </c>
      <c r="E19" s="15"/>
      <c r="F19" s="13" t="s">
        <v>16</v>
      </c>
      <c r="G19" s="16">
        <f>IF(J9=3,SLOPE(I13:I15,H13:H15),IF(J9=4,SLOPE(I13:I16,H13:H16),IF(J9=5,SLOPE(I13:I17,H13:H17))))</f>
        <v>1.8821655074464364E-5</v>
      </c>
      <c r="J19" s="15"/>
    </row>
    <row r="20" spans="1:10" s="14" customFormat="1" x14ac:dyDescent="0.25">
      <c r="A20" s="13" t="s">
        <v>17</v>
      </c>
      <c r="B20" s="16">
        <f>IF(E9=3,INTERCEPT(D13:D15,C13:C15),IF(E9=4,INTERCEPT(D13:D16,C13:C16),IF(E9=5,INTERCEPT(D13:D16,C13:C16))))</f>
        <v>-8.9341631970150104E-2</v>
      </c>
      <c r="E20" s="15"/>
      <c r="F20" s="13" t="s">
        <v>17</v>
      </c>
      <c r="G20" s="16">
        <f>IF(J9=3,INTERCEPT(I13:I15,H13:H15),IF(J9=4,INTERCEPT(I13:I16,H13:H16),IF(J9=5,INTERCEPT(I13:I16,H13:H16))))</f>
        <v>4.1784646520820701E-2</v>
      </c>
      <c r="J20" s="15"/>
    </row>
    <row r="21" spans="1:10" s="14" customFormat="1" x14ac:dyDescent="0.25">
      <c r="A21" s="13" t="s">
        <v>45</v>
      </c>
      <c r="B21" s="16">
        <f>IF(E9=3,CORREL(D13:D15,C13:C15),IF(E9=4,CORREL(D13:D16,C13:C16),IF(E9=5,CORREL(D13:D17,C13:C17))))</f>
        <v>0.99999981897739665</v>
      </c>
      <c r="E21" s="15"/>
      <c r="F21" s="13" t="s">
        <v>45</v>
      </c>
      <c r="G21" s="16">
        <f>IF(J9=3,CORREL(I13:I15,H13:H15),IF(J9=4,CORREL(I13:I16,H13:H16),IF(J9=5,CORREL(I13:I17,H13:H17))))</f>
        <v>0.99994183676501636</v>
      </c>
      <c r="J21" s="15"/>
    </row>
    <row r="22" spans="1:10" s="14" customFormat="1" x14ac:dyDescent="0.25">
      <c r="A22" s="13"/>
      <c r="E22" s="15"/>
      <c r="F22" s="13"/>
      <c r="J22" s="15"/>
    </row>
    <row r="23" spans="1:10" s="14" customFormat="1" x14ac:dyDescent="0.25">
      <c r="A23" s="13"/>
      <c r="E23" s="15"/>
      <c r="F23" s="13"/>
      <c r="J23" s="15"/>
    </row>
    <row r="24" spans="1:10" s="14" customFormat="1" x14ac:dyDescent="0.25">
      <c r="A24" s="13"/>
      <c r="E24" s="15"/>
      <c r="F24" s="13"/>
      <c r="J24" s="15"/>
    </row>
    <row r="25" spans="1:10" s="14" customFormat="1" x14ac:dyDescent="0.25">
      <c r="A25" s="13"/>
      <c r="E25" s="15"/>
      <c r="F25" s="13"/>
      <c r="J25" s="15"/>
    </row>
    <row r="26" spans="1:10" s="14" customFormat="1" x14ac:dyDescent="0.25">
      <c r="A26" s="13"/>
      <c r="E26" s="15"/>
      <c r="F26" s="13"/>
      <c r="J26" s="15"/>
    </row>
    <row r="27" spans="1:10" s="14" customFormat="1" x14ac:dyDescent="0.25">
      <c r="A27" s="13"/>
      <c r="E27" s="15"/>
      <c r="F27" s="13"/>
      <c r="J27" s="15"/>
    </row>
    <row r="28" spans="1:10" s="14" customFormat="1" x14ac:dyDescent="0.25">
      <c r="A28" s="13"/>
      <c r="E28" s="15"/>
      <c r="F28" s="13"/>
      <c r="J28" s="15"/>
    </row>
    <row r="29" spans="1:10" s="14" customFormat="1" x14ac:dyDescent="0.25">
      <c r="A29" s="13"/>
      <c r="E29" s="15"/>
      <c r="F29" s="13"/>
      <c r="J29" s="15"/>
    </row>
    <row r="30" spans="1:10" s="14" customFormat="1" x14ac:dyDescent="0.25">
      <c r="A30" s="13"/>
      <c r="E30" s="15"/>
      <c r="F30" s="13"/>
      <c r="J30" s="15"/>
    </row>
    <row r="31" spans="1:10" s="14" customFormat="1" x14ac:dyDescent="0.25">
      <c r="A31" s="13"/>
      <c r="E31" s="15"/>
      <c r="F31" s="13"/>
      <c r="J31" s="15"/>
    </row>
    <row r="32" spans="1:10" s="14" customFormat="1" ht="15.75" thickBot="1" x14ac:dyDescent="0.3">
      <c r="A32" s="17" t="s">
        <v>18</v>
      </c>
      <c r="B32" s="18"/>
      <c r="C32" s="18"/>
      <c r="D32" s="18">
        <f>IF(E9=5,AVERAGE(E13:E17),IF(E9=4,AVERAGE(E13:E16),IF(E9=3,(AVERAGE(E13:E15)))))</f>
        <v>2.9465948308858569E-2</v>
      </c>
      <c r="E32" s="19"/>
      <c r="F32" s="17" t="s">
        <v>18</v>
      </c>
      <c r="G32" s="18"/>
      <c r="H32" s="18"/>
      <c r="I32" s="18">
        <f>IF(J9=5,AVERAGE(J13:J17),IF(J9=4,AVERAGE(J13:J16),IF(J9=3,(AVERAGE(J13:J15)))))</f>
        <v>3.5658020365766591E-3</v>
      </c>
      <c r="J32" s="19"/>
    </row>
    <row r="33" spans="1:10" s="14" customFormat="1" ht="15.75" thickBot="1" x14ac:dyDescent="0.3"/>
    <row r="34" spans="1:10" ht="19.5" thickBot="1" x14ac:dyDescent="0.35">
      <c r="A34" s="11" t="s">
        <v>2</v>
      </c>
      <c r="B34" s="21" t="str">
        <f>Calculations!M8</f>
        <v>Cr</v>
      </c>
      <c r="C34" s="12"/>
      <c r="D34" s="12" t="s">
        <v>25</v>
      </c>
      <c r="E34" s="75">
        <v>5</v>
      </c>
      <c r="F34" s="11" t="s">
        <v>2</v>
      </c>
      <c r="G34" s="21" t="str">
        <f>Calculations!P8</f>
        <v>Cu</v>
      </c>
      <c r="H34" s="12"/>
      <c r="I34" s="12" t="s">
        <v>25</v>
      </c>
      <c r="J34" s="75">
        <v>5</v>
      </c>
    </row>
    <row r="35" spans="1:10" ht="15.75" thickBot="1" x14ac:dyDescent="0.3">
      <c r="A35" s="13"/>
      <c r="B35" s="14"/>
      <c r="C35" s="14"/>
      <c r="D35" s="14"/>
      <c r="E35" s="15"/>
      <c r="F35" s="13"/>
      <c r="G35" s="14"/>
      <c r="H35" s="14"/>
      <c r="I35" s="14"/>
      <c r="J35" s="15"/>
    </row>
    <row r="36" spans="1:10" ht="15.75" thickBot="1" x14ac:dyDescent="0.3">
      <c r="A36" s="13" t="s">
        <v>22</v>
      </c>
      <c r="B36" s="75">
        <v>5078.4399999999996</v>
      </c>
      <c r="C36" s="14" t="s">
        <v>23</v>
      </c>
      <c r="D36" s="75">
        <v>6.5</v>
      </c>
      <c r="E36" s="15"/>
      <c r="F36" s="13" t="s">
        <v>22</v>
      </c>
      <c r="G36" s="75">
        <v>4467.6000000000004</v>
      </c>
      <c r="H36" s="14" t="s">
        <v>23</v>
      </c>
      <c r="I36" s="75">
        <v>3.4</v>
      </c>
      <c r="J36" s="15"/>
    </row>
    <row r="37" spans="1:10" ht="15.75" thickBot="1" x14ac:dyDescent="0.3">
      <c r="A37" s="13"/>
      <c r="B37" s="14" t="s">
        <v>13</v>
      </c>
      <c r="C37" s="14" t="s">
        <v>14</v>
      </c>
      <c r="D37" s="14" t="s">
        <v>15</v>
      </c>
      <c r="E37" s="41" t="s">
        <v>7</v>
      </c>
      <c r="F37" s="13"/>
      <c r="G37" s="14" t="s">
        <v>13</v>
      </c>
      <c r="H37" s="14" t="s">
        <v>14</v>
      </c>
      <c r="I37" s="14" t="s">
        <v>15</v>
      </c>
      <c r="J37" s="41" t="s">
        <v>7</v>
      </c>
    </row>
    <row r="38" spans="1:10" x14ac:dyDescent="0.25">
      <c r="A38" s="13" t="s">
        <v>9</v>
      </c>
      <c r="B38" s="76">
        <v>46113.42</v>
      </c>
      <c r="C38" s="5">
        <f>B38-$B$36</f>
        <v>41034.979999999996</v>
      </c>
      <c r="D38" s="79">
        <v>1.0124738947652561</v>
      </c>
      <c r="E38" s="6">
        <f>D38*(3*$D$36)/(B38-$B$36)</f>
        <v>4.8113197442578251E-4</v>
      </c>
      <c r="F38" s="14" t="s">
        <v>9</v>
      </c>
      <c r="G38" s="76">
        <v>46039.45</v>
      </c>
      <c r="H38" s="5">
        <f>G38-$G$36</f>
        <v>41571.85</v>
      </c>
      <c r="I38" s="79">
        <v>1.0224001094198174</v>
      </c>
      <c r="J38" s="6">
        <f>I38*(3*$I$36)/(G38-$G$36)</f>
        <v>2.5085439103821787E-4</v>
      </c>
    </row>
    <row r="39" spans="1:10" x14ac:dyDescent="0.25">
      <c r="A39" s="13" t="s">
        <v>10</v>
      </c>
      <c r="B39" s="77">
        <v>408754.83</v>
      </c>
      <c r="C39" s="3">
        <f>B39-$B$36</f>
        <v>403676.39</v>
      </c>
      <c r="D39" s="80">
        <v>10.109238836499559</v>
      </c>
      <c r="E39" s="7">
        <f t="shared" ref="E39:E42" si="2">D39*(3*$D$36)/(B39-$B$36)</f>
        <v>4.8833709920895142E-4</v>
      </c>
      <c r="F39" s="14" t="s">
        <v>10</v>
      </c>
      <c r="G39" s="77">
        <v>432868.41</v>
      </c>
      <c r="H39" s="3">
        <f>G39-$G$36</f>
        <v>428400.81</v>
      </c>
      <c r="I39" s="80">
        <v>10.109238836499559</v>
      </c>
      <c r="J39" s="7">
        <f t="shared" ref="J39:J42" si="3">I39*(3*$I$36)/(G39-$G$36)</f>
        <v>2.4069570767687272E-4</v>
      </c>
    </row>
    <row r="40" spans="1:10" x14ac:dyDescent="0.25">
      <c r="A40" s="13" t="s">
        <v>11</v>
      </c>
      <c r="B40" s="77">
        <v>812959.69</v>
      </c>
      <c r="C40" s="3">
        <f>B40-$B$36</f>
        <v>807881.25</v>
      </c>
      <c r="D40" s="80">
        <v>19.99088427280493</v>
      </c>
      <c r="E40" s="7">
        <f t="shared" si="2"/>
        <v>4.8252418696398283E-4</v>
      </c>
      <c r="F40" s="14" t="s">
        <v>11</v>
      </c>
      <c r="G40" s="77">
        <v>868911.63</v>
      </c>
      <c r="H40" s="3">
        <f>G40-$G$36</f>
        <v>864444.03</v>
      </c>
      <c r="I40" s="80">
        <v>20.186873334303016</v>
      </c>
      <c r="J40" s="7">
        <f t="shared" si="3"/>
        <v>2.3819484068840263E-4</v>
      </c>
    </row>
    <row r="41" spans="1:10" x14ac:dyDescent="0.25">
      <c r="A41" s="13" t="s">
        <v>12</v>
      </c>
      <c r="B41" s="77">
        <v>2085848.43</v>
      </c>
      <c r="C41" s="3">
        <f>B41-$B$36</f>
        <v>2080769.99</v>
      </c>
      <c r="D41" s="80">
        <v>50.274814554406767</v>
      </c>
      <c r="E41" s="7">
        <f t="shared" si="2"/>
        <v>4.7115197187697425E-4</v>
      </c>
      <c r="F41" s="14" t="s">
        <v>12</v>
      </c>
      <c r="G41" s="77">
        <v>2211318.27</v>
      </c>
      <c r="H41" s="3">
        <f>G41-$G$36</f>
        <v>2206850.67</v>
      </c>
      <c r="I41" s="80">
        <v>51.372082332379932</v>
      </c>
      <c r="J41" s="7">
        <f t="shared" si="3"/>
        <v>2.374402794504783E-4</v>
      </c>
    </row>
    <row r="42" spans="1:10" ht="15.75" thickBot="1" x14ac:dyDescent="0.3">
      <c r="A42" s="13" t="s">
        <v>24</v>
      </c>
      <c r="B42" s="78">
        <v>4079265.43</v>
      </c>
      <c r="C42" s="23">
        <f>B42-$B$36</f>
        <v>4074186.99</v>
      </c>
      <c r="D42" s="81">
        <v>101.92142627930184</v>
      </c>
      <c r="E42" s="24">
        <f t="shared" si="2"/>
        <v>4.8781948823767307E-4</v>
      </c>
      <c r="F42" s="14" t="s">
        <v>24</v>
      </c>
      <c r="G42" s="78">
        <v>4299910.2</v>
      </c>
      <c r="H42" s="23">
        <f>G42-$G$36</f>
        <v>4295442.6000000006</v>
      </c>
      <c r="I42" s="81">
        <v>102.81985217206751</v>
      </c>
      <c r="J42" s="24">
        <f t="shared" si="3"/>
        <v>2.4415702636908438E-4</v>
      </c>
    </row>
    <row r="43" spans="1:10" x14ac:dyDescent="0.25">
      <c r="A43" s="13"/>
      <c r="B43" s="14"/>
      <c r="C43" s="14"/>
      <c r="D43" s="14"/>
      <c r="E43" s="15"/>
      <c r="F43" s="13"/>
      <c r="G43" s="14"/>
      <c r="H43" s="14"/>
      <c r="I43" s="14"/>
      <c r="J43" s="15"/>
    </row>
    <row r="44" spans="1:10" x14ac:dyDescent="0.25">
      <c r="A44" s="13" t="s">
        <v>16</v>
      </c>
      <c r="B44" s="16">
        <f>IF(E34=3,SLOPE(D38:D40,C38:C40),IF(E34=4,SLOPE(D38:D41,C38:C41),IF(E34=5,SLOPE(D38:D42,C38:C42))))</f>
        <v>2.4931967736735188E-5</v>
      </c>
      <c r="C44" s="14"/>
      <c r="D44" s="14"/>
      <c r="E44" s="15"/>
      <c r="F44" s="13" t="s">
        <v>16</v>
      </c>
      <c r="G44" s="16">
        <f>IF(J34=3,SLOPE(I38:I40,H38:H40),IF(J34=4,SLOPE(I38:I41,H38:H41),IF(J34=5,SLOPE(I38:I42,H38:H42))))</f>
        <v>2.3899350580336635E-5</v>
      </c>
      <c r="H44" s="14"/>
      <c r="I44" s="14"/>
      <c r="J44" s="15"/>
    </row>
    <row r="45" spans="1:10" x14ac:dyDescent="0.25">
      <c r="A45" s="13" t="s">
        <v>17</v>
      </c>
      <c r="B45" s="16">
        <f>IF(E34=3,INTERCEPT(D38:D40,C38:C40),IF(E34=4,INTERCEPT(D38:D41,C38:C41),IF(E34=5,INTERCEPT(D38:D41,C38:C41))))</f>
        <v>0.27581662756149328</v>
      </c>
      <c r="C45" s="14"/>
      <c r="D45" s="14"/>
      <c r="E45" s="15"/>
      <c r="F45" s="13" t="s">
        <v>17</v>
      </c>
      <c r="G45" s="16">
        <f>IF(J34=3,INTERCEPT(I38:I40,H38:H40),IF(J34=4,INTERCEPT(I38:I41,H38:H41),IF(J34=5,INTERCEPT(I38:I41,H38:H41))))</f>
        <v>0.10032318164196852</v>
      </c>
      <c r="H45" s="14"/>
      <c r="I45" s="14"/>
      <c r="J45" s="15"/>
    </row>
    <row r="46" spans="1:10" x14ac:dyDescent="0.25">
      <c r="A46" s="13" t="s">
        <v>45</v>
      </c>
      <c r="B46" s="16">
        <f>IF(E34=3,CORREL(D38:D40,C38:C40),IF(E34=4,CORREL(D38:D41,C38:C41),IF(E34=5,CORREL(D38:D42,C38:C42))))</f>
        <v>0.99982576587108229</v>
      </c>
      <c r="C46" s="14"/>
      <c r="D46" s="14"/>
      <c r="E46" s="15"/>
      <c r="F46" s="13" t="s">
        <v>45</v>
      </c>
      <c r="G46" s="16">
        <f>IF(J34=3,CORREL(I38:I40,H38:H40),IF(J34=4,CORREL(I38:I41,H38:H41),IF(J34=5,CORREL(I38:I42,H38:H42))))</f>
        <v>0.99988962090395339</v>
      </c>
      <c r="H46" s="14"/>
      <c r="I46" s="14"/>
      <c r="J46" s="15"/>
    </row>
    <row r="47" spans="1:10" x14ac:dyDescent="0.25">
      <c r="A47" s="13"/>
      <c r="B47" s="14"/>
      <c r="C47" s="14"/>
      <c r="D47" s="14"/>
      <c r="E47" s="15"/>
      <c r="F47" s="13"/>
      <c r="G47" s="14"/>
      <c r="H47" s="14"/>
      <c r="I47" s="14"/>
      <c r="J47" s="15"/>
    </row>
    <row r="48" spans="1:10" x14ac:dyDescent="0.25">
      <c r="A48" s="13"/>
      <c r="B48" s="14"/>
      <c r="C48" s="14"/>
      <c r="D48" s="14"/>
      <c r="E48" s="15"/>
      <c r="F48" s="13"/>
      <c r="G48" s="14"/>
      <c r="H48" s="14"/>
      <c r="I48" s="14"/>
      <c r="J48" s="15"/>
    </row>
    <row r="49" spans="1:10" x14ac:dyDescent="0.25">
      <c r="A49" s="13"/>
      <c r="B49" s="14"/>
      <c r="C49" s="14"/>
      <c r="D49" s="14"/>
      <c r="E49" s="15"/>
      <c r="F49" s="13"/>
      <c r="G49" s="14"/>
      <c r="H49" s="14"/>
      <c r="I49" s="14"/>
      <c r="J49" s="15"/>
    </row>
    <row r="50" spans="1:10" x14ac:dyDescent="0.25">
      <c r="A50" s="13"/>
      <c r="B50" s="14"/>
      <c r="C50" s="14"/>
      <c r="D50" s="14"/>
      <c r="E50" s="15"/>
      <c r="F50" s="13"/>
      <c r="G50" s="14"/>
      <c r="H50" s="14"/>
      <c r="I50" s="14"/>
      <c r="J50" s="15"/>
    </row>
    <row r="51" spans="1:10" x14ac:dyDescent="0.25">
      <c r="A51" s="13"/>
      <c r="B51" s="14"/>
      <c r="C51" s="14"/>
      <c r="D51" s="14"/>
      <c r="E51" s="15"/>
      <c r="F51" s="13"/>
      <c r="G51" s="14"/>
      <c r="H51" s="14"/>
      <c r="I51" s="14"/>
      <c r="J51" s="15"/>
    </row>
    <row r="52" spans="1:10" x14ac:dyDescent="0.25">
      <c r="A52" s="13"/>
      <c r="B52" s="14"/>
      <c r="C52" s="14"/>
      <c r="D52" s="14"/>
      <c r="E52" s="15"/>
      <c r="F52" s="13"/>
      <c r="G52" s="14"/>
      <c r="H52" s="14"/>
      <c r="I52" s="14"/>
      <c r="J52" s="15"/>
    </row>
    <row r="53" spans="1:10" x14ac:dyDescent="0.25">
      <c r="A53" s="13"/>
      <c r="B53" s="14"/>
      <c r="C53" s="14"/>
      <c r="D53" s="14"/>
      <c r="E53" s="15"/>
      <c r="F53" s="13"/>
      <c r="G53" s="14"/>
      <c r="H53" s="14"/>
      <c r="I53" s="14"/>
      <c r="J53" s="15"/>
    </row>
    <row r="54" spans="1:10" x14ac:dyDescent="0.25">
      <c r="A54" s="13"/>
      <c r="B54" s="14"/>
      <c r="C54" s="14"/>
      <c r="D54" s="14"/>
      <c r="E54" s="15"/>
      <c r="F54" s="13"/>
      <c r="G54" s="14"/>
      <c r="H54" s="14"/>
      <c r="I54" s="14"/>
      <c r="J54" s="15"/>
    </row>
    <row r="55" spans="1:10" x14ac:dyDescent="0.25">
      <c r="A55" s="13"/>
      <c r="B55" s="14"/>
      <c r="C55" s="14"/>
      <c r="D55" s="14"/>
      <c r="E55" s="15"/>
      <c r="F55" s="13"/>
      <c r="G55" s="14"/>
      <c r="H55" s="14"/>
      <c r="I55" s="14"/>
      <c r="J55" s="15"/>
    </row>
    <row r="56" spans="1:10" x14ac:dyDescent="0.25">
      <c r="A56" s="13"/>
      <c r="B56" s="14"/>
      <c r="C56" s="14"/>
      <c r="D56" s="14"/>
      <c r="E56" s="15"/>
      <c r="F56" s="13"/>
      <c r="G56" s="14"/>
      <c r="H56" s="14"/>
      <c r="I56" s="14"/>
      <c r="J56" s="15"/>
    </row>
    <row r="57" spans="1:10" ht="15.75" thickBot="1" x14ac:dyDescent="0.3">
      <c r="A57" s="17" t="s">
        <v>18</v>
      </c>
      <c r="B57" s="18"/>
      <c r="C57" s="18"/>
      <c r="D57" s="18">
        <f>IF(E34=5,AVERAGE(E38:E42),IF(E34=4,AVERAGE(E38:E41),IF(E34=3,(AVERAGE(E38:E40)))))</f>
        <v>4.8219294414267278E-4</v>
      </c>
      <c r="E57" s="19"/>
      <c r="F57" s="17" t="s">
        <v>18</v>
      </c>
      <c r="G57" s="18"/>
      <c r="H57" s="18"/>
      <c r="I57" s="18">
        <f>IF(J34=5,AVERAGE(J38:J42),IF(J34=4,AVERAGE(J38:J41),IF(J34=3,(AVERAGE(J38:J40)))))</f>
        <v>2.4226844904461117E-4</v>
      </c>
      <c r="J57" s="19"/>
    </row>
    <row r="58" spans="1:10" ht="15.75" thickBot="1" x14ac:dyDescent="0.3"/>
    <row r="59" spans="1:10" ht="19.5" thickBot="1" x14ac:dyDescent="0.35">
      <c r="A59" s="11" t="s">
        <v>2</v>
      </c>
      <c r="B59" s="21" t="str">
        <f>Calculations!S8</f>
        <v>Cd</v>
      </c>
      <c r="C59" s="12"/>
      <c r="D59" s="12" t="s">
        <v>25</v>
      </c>
      <c r="E59" s="75">
        <v>5</v>
      </c>
    </row>
    <row r="60" spans="1:10" ht="15.75" thickBot="1" x14ac:dyDescent="0.3">
      <c r="A60" s="13"/>
      <c r="B60" s="14"/>
      <c r="C60" s="14"/>
      <c r="D60" s="14"/>
      <c r="E60" s="15"/>
    </row>
    <row r="61" spans="1:10" ht="15.75" thickBot="1" x14ac:dyDescent="0.3">
      <c r="A61" s="13" t="s">
        <v>22</v>
      </c>
      <c r="B61" s="75">
        <v>12.01</v>
      </c>
      <c r="C61" s="14" t="s">
        <v>23</v>
      </c>
      <c r="D61" s="75">
        <v>136.9</v>
      </c>
      <c r="E61" s="15"/>
    </row>
    <row r="62" spans="1:10" ht="15.75" thickBot="1" x14ac:dyDescent="0.3">
      <c r="A62" s="13"/>
      <c r="B62" s="14" t="s">
        <v>13</v>
      </c>
      <c r="C62" s="14" t="s">
        <v>14</v>
      </c>
      <c r="D62" s="14" t="s">
        <v>15</v>
      </c>
      <c r="E62" s="41" t="s">
        <v>7</v>
      </c>
    </row>
    <row r="63" spans="1:10" x14ac:dyDescent="0.25">
      <c r="A63" s="13" t="s">
        <v>9</v>
      </c>
      <c r="B63" s="76">
        <v>9154.83</v>
      </c>
      <c r="C63" s="5">
        <f>B63-$B$61</f>
        <v>9142.82</v>
      </c>
      <c r="D63" s="79">
        <v>1.0094960303688876</v>
      </c>
      <c r="E63" s="6">
        <f>D63*(3*$D$61)/(B63-$B$61)</f>
        <v>4.5347061374116759E-2</v>
      </c>
    </row>
    <row r="64" spans="1:10" x14ac:dyDescent="0.25">
      <c r="A64" s="13" t="s">
        <v>10</v>
      </c>
      <c r="B64" s="77">
        <v>88768.14</v>
      </c>
      <c r="C64" s="3">
        <f>B64-$B$61</f>
        <v>88756.13</v>
      </c>
      <c r="D64" s="80">
        <v>9.9816465016699532</v>
      </c>
      <c r="E64" s="7">
        <f t="shared" ref="E64:E67" si="4">D64*(3*$D$61)/(B64-$B$61)</f>
        <v>4.6187933365682457E-2</v>
      </c>
    </row>
    <row r="65" spans="1:5" x14ac:dyDescent="0.25">
      <c r="A65" s="13" t="s">
        <v>11</v>
      </c>
      <c r="B65" s="77">
        <v>178088.57</v>
      </c>
      <c r="C65" s="3">
        <f>B65-$B$61</f>
        <v>178076.56</v>
      </c>
      <c r="D65" s="80">
        <v>19.932087554355501</v>
      </c>
      <c r="E65" s="7">
        <f t="shared" si="4"/>
        <v>4.5969600707548512E-2</v>
      </c>
    </row>
    <row r="66" spans="1:5" x14ac:dyDescent="0.25">
      <c r="A66" s="13" t="s">
        <v>12</v>
      </c>
      <c r="B66" s="77">
        <v>453510.47</v>
      </c>
      <c r="C66" s="3">
        <f>B66-$B$61</f>
        <v>453498.45999999996</v>
      </c>
      <c r="D66" s="80">
        <v>50.723696827213971</v>
      </c>
      <c r="E66" s="7">
        <f t="shared" si="4"/>
        <v>4.5936699072664504E-2</v>
      </c>
    </row>
    <row r="67" spans="1:5" ht="15.75" thickBot="1" x14ac:dyDescent="0.3">
      <c r="A67" s="13" t="s">
        <v>24</v>
      </c>
      <c r="B67" s="78">
        <v>900997.57</v>
      </c>
      <c r="C67" s="23">
        <f>B67-$B$61</f>
        <v>900985.55999999994</v>
      </c>
      <c r="D67" s="81">
        <v>101.52212588251713</v>
      </c>
      <c r="E67" s="24">
        <f t="shared" si="4"/>
        <v>4.6277253433395525E-2</v>
      </c>
    </row>
    <row r="68" spans="1:5" x14ac:dyDescent="0.25">
      <c r="A68" s="13"/>
      <c r="B68" s="14"/>
      <c r="C68" s="14"/>
      <c r="D68" s="14"/>
      <c r="E68" s="15"/>
    </row>
    <row r="69" spans="1:5" x14ac:dyDescent="0.25">
      <c r="A69" s="13" t="s">
        <v>16</v>
      </c>
      <c r="B69" s="16">
        <f>IF(E59=3,SLOPE(D63:D65,C63:C65),IF(E59=4,SLOPE(D63:D66,C63:C66),IF(E59=5,SLOPE(D63:D67,C63:C67))))</f>
        <v>1.1264657623827062E-4</v>
      </c>
      <c r="C69" s="14"/>
      <c r="D69" s="14"/>
      <c r="E69" s="15"/>
    </row>
    <row r="70" spans="1:5" x14ac:dyDescent="0.25">
      <c r="A70" s="13" t="s">
        <v>17</v>
      </c>
      <c r="B70" s="16">
        <f>IF(E59=3,INTERCEPT(D63:D65,C63:C65),IF(E59=4,INTERCEPT(D63:D66,C63:C66),IF(E59=5,INTERCEPT(D63:D66,C63:C66))))</f>
        <v>1.8519171910416077E-2</v>
      </c>
      <c r="C70" s="14"/>
      <c r="D70" s="14"/>
      <c r="E70" s="15"/>
    </row>
    <row r="71" spans="1:5" x14ac:dyDescent="0.25">
      <c r="A71" s="13" t="s">
        <v>45</v>
      </c>
      <c r="B71" s="16">
        <f>IF(E59=3,CORREL(D63:D65,C63:C65),IF(E59=4,CORREL(D63:D66,C63:C66),IF(E59=5,CORREL(D63:D67,C63:C67))))</f>
        <v>0.99999257024039756</v>
      </c>
      <c r="C71" s="14"/>
      <c r="D71" s="14"/>
      <c r="E71" s="15"/>
    </row>
    <row r="72" spans="1:5" x14ac:dyDescent="0.25">
      <c r="A72" s="13"/>
      <c r="B72" s="14"/>
      <c r="C72" s="14"/>
      <c r="D72" s="14"/>
      <c r="E72" s="15"/>
    </row>
    <row r="73" spans="1:5" x14ac:dyDescent="0.25">
      <c r="A73" s="13"/>
      <c r="B73" s="14"/>
      <c r="C73" s="14"/>
      <c r="D73" s="14"/>
      <c r="E73" s="15"/>
    </row>
    <row r="74" spans="1:5" x14ac:dyDescent="0.25">
      <c r="A74" s="13"/>
      <c r="B74" s="14"/>
      <c r="C74" s="14"/>
      <c r="D74" s="14"/>
      <c r="E74" s="15"/>
    </row>
    <row r="75" spans="1:5" x14ac:dyDescent="0.25">
      <c r="A75" s="13"/>
      <c r="B75" s="14"/>
      <c r="C75" s="14"/>
      <c r="D75" s="14"/>
      <c r="E75" s="15"/>
    </row>
    <row r="76" spans="1:5" x14ac:dyDescent="0.25">
      <c r="A76" s="13"/>
      <c r="B76" s="14"/>
      <c r="C76" s="14"/>
      <c r="D76" s="14"/>
      <c r="E76" s="15"/>
    </row>
    <row r="77" spans="1:5" x14ac:dyDescent="0.25">
      <c r="A77" s="13"/>
      <c r="B77" s="14"/>
      <c r="C77" s="14"/>
      <c r="D77" s="14"/>
      <c r="E77" s="15"/>
    </row>
    <row r="78" spans="1:5" x14ac:dyDescent="0.25">
      <c r="A78" s="13"/>
      <c r="B78" s="14"/>
      <c r="C78" s="14"/>
      <c r="D78" s="14"/>
      <c r="E78" s="15"/>
    </row>
    <row r="79" spans="1:5" x14ac:dyDescent="0.25">
      <c r="A79" s="13"/>
      <c r="B79" s="14"/>
      <c r="C79" s="14"/>
      <c r="D79" s="14"/>
      <c r="E79" s="15"/>
    </row>
    <row r="80" spans="1:5" x14ac:dyDescent="0.25">
      <c r="A80" s="13"/>
      <c r="B80" s="14"/>
      <c r="C80" s="14"/>
      <c r="D80" s="14"/>
      <c r="E80" s="15"/>
    </row>
    <row r="81" spans="1:5" x14ac:dyDescent="0.25">
      <c r="A81" s="13"/>
      <c r="B81" s="14"/>
      <c r="C81" s="14"/>
      <c r="D81" s="14"/>
      <c r="E81" s="15"/>
    </row>
    <row r="82" spans="1:5" ht="15.75" thickBot="1" x14ac:dyDescent="0.3">
      <c r="A82" s="17" t="s">
        <v>18</v>
      </c>
      <c r="B82" s="18"/>
      <c r="C82" s="18"/>
      <c r="D82" s="18">
        <f>IF(E59=5,AVERAGE(E63:E67),IF(E59=4,AVERAGE(E63:E66),IF(E59=3,(AVERAGE(E63:E65)))))</f>
        <v>4.5943709590681552E-2</v>
      </c>
      <c r="E82" s="19"/>
    </row>
  </sheetData>
  <sheetProtection password="CDCC" sheet="1" objects="1" scenarios="1" formatCells="0" formatColumns="0" formatRows="0"/>
  <pageMargins left="0.7" right="0.7" top="0.75" bottom="0.75" header="0.3" footer="0.3"/>
  <pageSetup paperSize="9" scale="5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Validation</vt:lpstr>
      <vt:lpstr>Calculations</vt:lpstr>
      <vt:lpstr>LOD calculation</vt:lpstr>
      <vt:lpstr>Calculations!Print_Area</vt:lpstr>
      <vt:lpstr>'LOD calculation'!Print_Area</vt:lpstr>
    </vt:vector>
  </TitlesOfParts>
  <Company>National Oceanography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pawcaa</cp:lastModifiedBy>
  <cp:lastPrinted>2019-01-31T14:43:10Z</cp:lastPrinted>
  <dcterms:created xsi:type="dcterms:W3CDTF">2015-01-14T15:50:14Z</dcterms:created>
  <dcterms:modified xsi:type="dcterms:W3CDTF">2021-09-21T11:14:21Z</dcterms:modified>
</cp:coreProperties>
</file>