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drawings/drawing2.xml" ContentType="application/vnd.openxmlformats-officedocument.drawing+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charts/chart8.xml" ContentType="application/vnd.openxmlformats-officedocument.drawingml.chart+xml"/>
  <Override PartName="/xl/charts/style6.xml" ContentType="application/vnd.ms-office.chartstyle+xml"/>
  <Override PartName="/xl/charts/colors6.xml" ContentType="application/vnd.ms-office.chartcolorstyle+xml"/>
  <Override PartName="/xl/charts/chart9.xml" ContentType="application/vnd.openxmlformats-officedocument.drawingml.chart+xml"/>
  <Override PartName="/xl/charts/style7.xml" ContentType="application/vnd.ms-office.chartstyle+xml"/>
  <Override PartName="/xl/charts/colors7.xml" ContentType="application/vnd.ms-office.chartcolorstyle+xml"/>
  <Override PartName="/xl/charts/chart10.xml" ContentType="application/vnd.openxmlformats-officedocument.drawingml.chart+xml"/>
  <Override PartName="/xl/charts/style8.xml" ContentType="application/vnd.ms-office.chartstyle+xml"/>
  <Override PartName="/xl/charts/colors8.xml" ContentType="application/vnd.ms-office.chartcolorstyle+xml"/>
  <Override PartName="/xl/drawings/drawing3.xml" ContentType="application/vnd.openxmlformats-officedocument.drawing+xml"/>
  <Override PartName="/xl/charts/chart11.xml" ContentType="application/vnd.openxmlformats-officedocument.drawingml.chart+xml"/>
  <Override PartName="/xl/charts/style9.xml" ContentType="application/vnd.ms-office.chartstyle+xml"/>
  <Override PartName="/xl/charts/colors9.xml" ContentType="application/vnd.ms-office.chartcolorstyle+xml"/>
  <Override PartName="/xl/charts/chart12.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4.xml" ContentType="application/vnd.openxmlformats-officedocument.drawing+xml"/>
  <Override PartName="/xl/charts/chart13.xml" ContentType="application/vnd.openxmlformats-officedocument.drawingml.chart+xml"/>
  <Override PartName="/xl/charts/style11.xml" ContentType="application/vnd.ms-office.chartstyle+xml"/>
  <Override PartName="/xl/charts/colors11.xml" ContentType="application/vnd.ms-office.chartcolorstyle+xml"/>
  <Override PartName="/xl/charts/chart14.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5.xml" ContentType="application/vnd.openxmlformats-officedocument.drawing+xml"/>
  <Override PartName="/xl/charts/chart15.xml" ContentType="application/vnd.openxmlformats-officedocument.drawingml.chart+xml"/>
  <Override PartName="/xl/charts/style13.xml" ContentType="application/vnd.ms-office.chartstyle+xml"/>
  <Override PartName="/xl/charts/colors13.xml" ContentType="application/vnd.ms-office.chartcolorstyle+xml"/>
  <Override PartName="/xl/charts/chart16.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6.xml" ContentType="application/vnd.openxmlformats-officedocument.drawing+xml"/>
  <Override PartName="/xl/charts/chart17.xml" ContentType="application/vnd.openxmlformats-officedocument.drawingml.chart+xml"/>
  <Override PartName="/xl/charts/style15.xml" ContentType="application/vnd.ms-office.chartstyle+xml"/>
  <Override PartName="/xl/charts/colors15.xml" ContentType="application/vnd.ms-office.chartcolorstyle+xml"/>
  <Override PartName="/xl/charts/chart18.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7.xml" ContentType="application/vnd.openxmlformats-officedocument.drawing+xml"/>
  <Override PartName="/xl/charts/chart19.xml" ContentType="application/vnd.openxmlformats-officedocument.drawingml.chart+xml"/>
  <Override PartName="/xl/charts/style17.xml" ContentType="application/vnd.ms-office.chartstyle+xml"/>
  <Override PartName="/xl/charts/colors17.xml" ContentType="application/vnd.ms-office.chartcolorstyle+xml"/>
  <Override PartName="/xl/charts/chart20.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8.xml" ContentType="application/vnd.openxmlformats-officedocument.drawing+xml"/>
  <Override PartName="/xl/charts/chart21.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9.xml" ContentType="application/vnd.openxmlformats-officedocument.drawing+xml"/>
  <Override PartName="/xl/charts/chart22.xml" ContentType="application/vnd.openxmlformats-officedocument.drawingml.chart+xml"/>
  <Override PartName="/xl/charts/style20.xml" ContentType="application/vnd.ms-office.chartstyle+xml"/>
  <Override PartName="/xl/charts/colors20.xml" ContentType="application/vnd.ms-office.chartcolorstyle+xml"/>
  <Override PartName="/xl/charts/chart23.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0.xml" ContentType="application/vnd.openxmlformats-officedocument.drawing+xml"/>
  <Override PartName="/xl/charts/chart24.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1.xml" ContentType="application/vnd.openxmlformats-officedocument.drawing+xml"/>
  <Override PartName="/xl/charts/chart25.xml" ContentType="application/vnd.openxmlformats-officedocument.drawingml.chart+xml"/>
  <Override PartName="/xl/charts/style23.xml" ContentType="application/vnd.ms-office.chartstyle+xml"/>
  <Override PartName="/xl/charts/colors2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sotonac-my.sharepoint.com/personal/aj1g19_soton_ac_uk/Documents/PhD/Written Work/Year 4/PHD/FINAL SUBMISSION/DATA/HartlepoolBiofilms/"/>
    </mc:Choice>
  </mc:AlternateContent>
  <xr:revisionPtr revIDLastSave="762" documentId="13_ncr:1_{53590EAC-72E9-4756-9FCD-B1097157CA90}" xr6:coauthVersionLast="47" xr6:coauthVersionMax="47" xr10:uidLastSave="{6655472A-CDED-4DF1-96D2-1768052AB825}"/>
  <bookViews>
    <workbookView minimized="1" xWindow="7930" yWindow="1610" windowWidth="9600" windowHeight="4910" tabRatio="755" xr2:uid="{0E0915A4-3517-4DC3-BED3-26FD889BAF26}"/>
  </bookViews>
  <sheets>
    <sheet name="ReadMe" sheetId="11" r:id="rId1"/>
    <sheet name="Seawater" sheetId="108" r:id="rId2"/>
    <sheet name="Plots" sheetId="19" r:id="rId3"/>
    <sheet name="1lowflow" sheetId="135" r:id="rId4"/>
    <sheet name="2lowflow" sheetId="139" r:id="rId5"/>
    <sheet name="LF averages" sheetId="142" r:id="rId6"/>
    <sheet name="1highflow" sheetId="136" r:id="rId7"/>
    <sheet name="2highflow" sheetId="138" r:id="rId8"/>
    <sheet name="HF averages" sheetId="143" r:id="rId9"/>
    <sheet name="smoothPVC" sheetId="137" r:id="rId10"/>
    <sheet name="smoothPVC (2)" sheetId="140" r:id="rId11"/>
    <sheet name="smoothPVC (3)" sheetId="141" r:id="rId12"/>
    <sheet name="smoothPVC averages" sheetId="144" r:id="rId13"/>
  </sheets>
  <externalReferences>
    <externalReference r:id="rId14"/>
    <externalReference r:id="rId15"/>
  </externalReferences>
  <calcPr calcId="191029"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13" i="142" l="1"/>
  <c r="M8" i="139"/>
  <c r="O8" i="139"/>
  <c r="C7" i="144"/>
  <c r="D7" i="144"/>
  <c r="E7" i="144"/>
  <c r="F7" i="144"/>
  <c r="G7" i="144"/>
  <c r="H7" i="144"/>
  <c r="I7" i="144"/>
  <c r="J7" i="144"/>
  <c r="K7" i="144"/>
  <c r="L7" i="144"/>
  <c r="M7" i="144"/>
  <c r="N7" i="144"/>
  <c r="O7" i="144"/>
  <c r="P7" i="144"/>
  <c r="C8" i="144"/>
  <c r="D8" i="144"/>
  <c r="E8" i="144"/>
  <c r="F8" i="144"/>
  <c r="G8" i="144"/>
  <c r="H8" i="144"/>
  <c r="I8" i="144"/>
  <c r="J8" i="144"/>
  <c r="K8" i="144"/>
  <c r="L8" i="144"/>
  <c r="M8" i="144"/>
  <c r="N8" i="144"/>
  <c r="O8" i="144"/>
  <c r="P8" i="144"/>
  <c r="C9" i="144"/>
  <c r="D9" i="144"/>
  <c r="E9" i="144"/>
  <c r="F9" i="144"/>
  <c r="G9" i="144"/>
  <c r="H9" i="144"/>
  <c r="I9" i="144"/>
  <c r="J9" i="144"/>
  <c r="K9" i="144"/>
  <c r="L9" i="144"/>
  <c r="M9" i="144"/>
  <c r="N9" i="144"/>
  <c r="O9" i="144"/>
  <c r="P9" i="144"/>
  <c r="C10" i="144"/>
  <c r="D10" i="144"/>
  <c r="E10" i="144"/>
  <c r="F10" i="144"/>
  <c r="G10" i="144"/>
  <c r="H10" i="144"/>
  <c r="I10" i="144"/>
  <c r="J10" i="144"/>
  <c r="K10" i="144"/>
  <c r="L10" i="144"/>
  <c r="M10" i="144"/>
  <c r="N10" i="144"/>
  <c r="O10" i="144"/>
  <c r="P10" i="144"/>
  <c r="C11" i="144"/>
  <c r="D11" i="144"/>
  <c r="E11" i="144"/>
  <c r="F11" i="144"/>
  <c r="G11" i="144"/>
  <c r="H11" i="144"/>
  <c r="I11" i="144"/>
  <c r="J11" i="144"/>
  <c r="K11" i="144"/>
  <c r="L11" i="144"/>
  <c r="M11" i="144"/>
  <c r="N11" i="144"/>
  <c r="O11" i="144"/>
  <c r="P11" i="144"/>
  <c r="C12" i="144"/>
  <c r="D12" i="144"/>
  <c r="E12" i="144"/>
  <c r="F12" i="144"/>
  <c r="G12" i="144"/>
  <c r="H12" i="144"/>
  <c r="I12" i="144"/>
  <c r="J12" i="144"/>
  <c r="K12" i="144"/>
  <c r="L12" i="144"/>
  <c r="M12" i="144"/>
  <c r="N12" i="144"/>
  <c r="O12" i="144"/>
  <c r="P12" i="144"/>
  <c r="C13" i="144"/>
  <c r="D13" i="144"/>
  <c r="E13" i="144"/>
  <c r="F13" i="144"/>
  <c r="G13" i="144"/>
  <c r="H13" i="144"/>
  <c r="I13" i="144"/>
  <c r="J13" i="144"/>
  <c r="K13" i="144"/>
  <c r="L13" i="144"/>
  <c r="M13" i="144"/>
  <c r="N13" i="144"/>
  <c r="O13" i="144"/>
  <c r="P13" i="144"/>
  <c r="C14" i="144"/>
  <c r="D14" i="144"/>
  <c r="E14" i="144"/>
  <c r="F14" i="144"/>
  <c r="G14" i="144"/>
  <c r="H14" i="144"/>
  <c r="I14" i="144"/>
  <c r="J14" i="144"/>
  <c r="K14" i="144"/>
  <c r="L14" i="144"/>
  <c r="M14" i="144"/>
  <c r="N14" i="144"/>
  <c r="O14" i="144"/>
  <c r="P14" i="144"/>
  <c r="C15" i="144"/>
  <c r="D15" i="144"/>
  <c r="E15" i="144"/>
  <c r="F15" i="144"/>
  <c r="G15" i="144"/>
  <c r="H15" i="144"/>
  <c r="I15" i="144"/>
  <c r="J15" i="144"/>
  <c r="K15" i="144"/>
  <c r="L15" i="144"/>
  <c r="M15" i="144"/>
  <c r="N15" i="144"/>
  <c r="O15" i="144"/>
  <c r="P15" i="144"/>
  <c r="C16" i="144"/>
  <c r="D16" i="144"/>
  <c r="E16" i="144"/>
  <c r="F16" i="144"/>
  <c r="G16" i="144"/>
  <c r="H16" i="144"/>
  <c r="I16" i="144"/>
  <c r="J16" i="144"/>
  <c r="K16" i="144"/>
  <c r="L16" i="144"/>
  <c r="M16" i="144"/>
  <c r="N16" i="144"/>
  <c r="O16" i="144"/>
  <c r="P16" i="144"/>
  <c r="C17" i="144"/>
  <c r="D17" i="144"/>
  <c r="E17" i="144"/>
  <c r="F17" i="144"/>
  <c r="G17" i="144"/>
  <c r="H17" i="144"/>
  <c r="I17" i="144"/>
  <c r="J17" i="144"/>
  <c r="K17" i="144"/>
  <c r="L17" i="144"/>
  <c r="M17" i="144"/>
  <c r="N17" i="144"/>
  <c r="O17" i="144"/>
  <c r="P17" i="144"/>
  <c r="C18" i="144"/>
  <c r="D18" i="144"/>
  <c r="E18" i="144"/>
  <c r="F18" i="144"/>
  <c r="G18" i="144"/>
  <c r="H18" i="144"/>
  <c r="I18" i="144"/>
  <c r="J18" i="144"/>
  <c r="K18" i="144"/>
  <c r="L18" i="144"/>
  <c r="M18" i="144"/>
  <c r="N18" i="144"/>
  <c r="O18" i="144"/>
  <c r="P18" i="144"/>
  <c r="C19" i="144"/>
  <c r="D19" i="144"/>
  <c r="E19" i="144"/>
  <c r="F19" i="144"/>
  <c r="G19" i="144"/>
  <c r="H19" i="144"/>
  <c r="I19" i="144"/>
  <c r="J19" i="144"/>
  <c r="K19" i="144"/>
  <c r="L19" i="144"/>
  <c r="M19" i="144"/>
  <c r="N19" i="144"/>
  <c r="O19" i="144"/>
  <c r="P19" i="144"/>
  <c r="C20" i="144"/>
  <c r="D20" i="144"/>
  <c r="E20" i="144"/>
  <c r="F20" i="144"/>
  <c r="G20" i="144"/>
  <c r="H20" i="144"/>
  <c r="I20" i="144"/>
  <c r="J20" i="144"/>
  <c r="K20" i="144"/>
  <c r="L20" i="144"/>
  <c r="M20" i="144"/>
  <c r="N20" i="144"/>
  <c r="O20" i="144"/>
  <c r="P20" i="144"/>
  <c r="C21" i="144"/>
  <c r="D21" i="144"/>
  <c r="E21" i="144"/>
  <c r="F21" i="144"/>
  <c r="G21" i="144"/>
  <c r="H21" i="144"/>
  <c r="I21" i="144"/>
  <c r="J21" i="144"/>
  <c r="K21" i="144"/>
  <c r="L21" i="144"/>
  <c r="M21" i="144"/>
  <c r="N21" i="144"/>
  <c r="O21" i="144"/>
  <c r="P21" i="144"/>
  <c r="C22" i="144"/>
  <c r="D22" i="144"/>
  <c r="E22" i="144"/>
  <c r="F22" i="144"/>
  <c r="G22" i="144"/>
  <c r="H22" i="144"/>
  <c r="I22" i="144"/>
  <c r="J22" i="144"/>
  <c r="K22" i="144"/>
  <c r="L22" i="144"/>
  <c r="M22" i="144"/>
  <c r="N22" i="144"/>
  <c r="O22" i="144"/>
  <c r="P22" i="144"/>
  <c r="C23" i="144"/>
  <c r="D23" i="144"/>
  <c r="E23" i="144"/>
  <c r="F23" i="144"/>
  <c r="G23" i="144"/>
  <c r="H23" i="144"/>
  <c r="I23" i="144"/>
  <c r="J23" i="144"/>
  <c r="K23" i="144"/>
  <c r="L23" i="144"/>
  <c r="M23" i="144"/>
  <c r="N23" i="144"/>
  <c r="O23" i="144"/>
  <c r="P23" i="144"/>
  <c r="C24" i="144"/>
  <c r="D24" i="144"/>
  <c r="E24" i="144"/>
  <c r="F24" i="144"/>
  <c r="G24" i="144"/>
  <c r="H24" i="144"/>
  <c r="I24" i="144"/>
  <c r="J24" i="144"/>
  <c r="K24" i="144"/>
  <c r="L24" i="144"/>
  <c r="M24" i="144"/>
  <c r="N24" i="144"/>
  <c r="O24" i="144"/>
  <c r="P24" i="144"/>
  <c r="C25" i="144"/>
  <c r="D25" i="144"/>
  <c r="E25" i="144"/>
  <c r="F25" i="144"/>
  <c r="G25" i="144"/>
  <c r="H25" i="144"/>
  <c r="I25" i="144"/>
  <c r="J25" i="144"/>
  <c r="K25" i="144"/>
  <c r="L25" i="144"/>
  <c r="M25" i="144"/>
  <c r="N25" i="144"/>
  <c r="O25" i="144"/>
  <c r="P25" i="144"/>
  <c r="C26" i="144"/>
  <c r="D26" i="144"/>
  <c r="E26" i="144"/>
  <c r="F26" i="144"/>
  <c r="G26" i="144"/>
  <c r="H26" i="144"/>
  <c r="I26" i="144"/>
  <c r="J26" i="144"/>
  <c r="K26" i="144"/>
  <c r="L26" i="144"/>
  <c r="M26" i="144"/>
  <c r="N26" i="144"/>
  <c r="O26" i="144"/>
  <c r="P26" i="144"/>
  <c r="C27" i="144"/>
  <c r="D27" i="144"/>
  <c r="E27" i="144"/>
  <c r="F27" i="144"/>
  <c r="G27" i="144"/>
  <c r="H27" i="144"/>
  <c r="I27" i="144"/>
  <c r="J27" i="144"/>
  <c r="K27" i="144"/>
  <c r="L27" i="144"/>
  <c r="M27" i="144"/>
  <c r="N27" i="144"/>
  <c r="O27" i="144"/>
  <c r="P27" i="144"/>
  <c r="C28" i="144"/>
  <c r="D28" i="144"/>
  <c r="E28" i="144"/>
  <c r="F28" i="144"/>
  <c r="G28" i="144"/>
  <c r="H28" i="144"/>
  <c r="I28" i="144"/>
  <c r="J28" i="144"/>
  <c r="K28" i="144"/>
  <c r="L28" i="144"/>
  <c r="M28" i="144"/>
  <c r="N28" i="144"/>
  <c r="O28" i="144"/>
  <c r="P28" i="144"/>
  <c r="B8" i="144"/>
  <c r="B9" i="144"/>
  <c r="B10" i="144"/>
  <c r="B11" i="144"/>
  <c r="B12" i="144"/>
  <c r="B13" i="144"/>
  <c r="B14" i="144"/>
  <c r="B15" i="144"/>
  <c r="B16" i="144"/>
  <c r="B17" i="144"/>
  <c r="B18" i="144"/>
  <c r="B19" i="144"/>
  <c r="B20" i="144"/>
  <c r="B21" i="144"/>
  <c r="B22" i="144"/>
  <c r="B23" i="144"/>
  <c r="B24" i="144"/>
  <c r="B25" i="144"/>
  <c r="B26" i="144"/>
  <c r="B27" i="144"/>
  <c r="B28" i="144"/>
  <c r="B7" i="144"/>
  <c r="AA25" i="144"/>
  <c r="AA24" i="144"/>
  <c r="X21" i="144"/>
  <c r="X22" i="144" s="1"/>
  <c r="X17" i="144"/>
  <c r="X13" i="144" s="1"/>
  <c r="X16" i="144"/>
  <c r="Y12" i="144"/>
  <c r="X12" i="144"/>
  <c r="S16" i="144" s="1"/>
  <c r="X8" i="144"/>
  <c r="B9" i="143"/>
  <c r="C9" i="143"/>
  <c r="D9" i="143"/>
  <c r="E9" i="143"/>
  <c r="F9" i="143"/>
  <c r="G9" i="143"/>
  <c r="H9" i="143"/>
  <c r="I9" i="143"/>
  <c r="J9" i="143"/>
  <c r="K9" i="143"/>
  <c r="L9" i="143"/>
  <c r="M9" i="143"/>
  <c r="N9" i="143"/>
  <c r="O9" i="143"/>
  <c r="P9" i="143"/>
  <c r="Q9" i="143"/>
  <c r="R9" i="143"/>
  <c r="B10" i="143"/>
  <c r="C10" i="143"/>
  <c r="D10" i="143"/>
  <c r="E10" i="143"/>
  <c r="F10" i="143"/>
  <c r="G10" i="143"/>
  <c r="H10" i="143"/>
  <c r="I10" i="143"/>
  <c r="J10" i="143"/>
  <c r="K10" i="143"/>
  <c r="L10" i="143"/>
  <c r="M10" i="143"/>
  <c r="N10" i="143"/>
  <c r="O10" i="143"/>
  <c r="P10" i="143"/>
  <c r="Q10" i="143"/>
  <c r="R10" i="143"/>
  <c r="B11" i="143"/>
  <c r="C11" i="143"/>
  <c r="D11" i="143"/>
  <c r="E11" i="143"/>
  <c r="F11" i="143"/>
  <c r="G11" i="143"/>
  <c r="H11" i="143"/>
  <c r="I11" i="143"/>
  <c r="J11" i="143"/>
  <c r="K11" i="143"/>
  <c r="L11" i="143"/>
  <c r="M11" i="143"/>
  <c r="N11" i="143"/>
  <c r="O11" i="143"/>
  <c r="P11" i="143"/>
  <c r="Q11" i="143"/>
  <c r="R11" i="143"/>
  <c r="B12" i="143"/>
  <c r="C12" i="143"/>
  <c r="D12" i="143"/>
  <c r="E12" i="143"/>
  <c r="F12" i="143"/>
  <c r="G12" i="143"/>
  <c r="H12" i="143"/>
  <c r="I12" i="143"/>
  <c r="J12" i="143"/>
  <c r="K12" i="143"/>
  <c r="L12" i="143"/>
  <c r="M12" i="143"/>
  <c r="N12" i="143"/>
  <c r="O12" i="143"/>
  <c r="P12" i="143"/>
  <c r="Q12" i="143"/>
  <c r="R12" i="143"/>
  <c r="B13" i="143"/>
  <c r="C13" i="143"/>
  <c r="D13" i="143"/>
  <c r="E13" i="143"/>
  <c r="F13" i="143"/>
  <c r="G13" i="143"/>
  <c r="H13" i="143"/>
  <c r="I13" i="143"/>
  <c r="J13" i="143"/>
  <c r="K13" i="143"/>
  <c r="L13" i="143"/>
  <c r="M13" i="143"/>
  <c r="N13" i="143"/>
  <c r="O13" i="143"/>
  <c r="P13" i="143"/>
  <c r="Q13" i="143"/>
  <c r="R13" i="143"/>
  <c r="B14" i="143"/>
  <c r="C14" i="143"/>
  <c r="D14" i="143"/>
  <c r="E14" i="143"/>
  <c r="F14" i="143"/>
  <c r="G14" i="143"/>
  <c r="H14" i="143"/>
  <c r="I14" i="143"/>
  <c r="J14" i="143"/>
  <c r="K14" i="143"/>
  <c r="L14" i="143"/>
  <c r="M14" i="143"/>
  <c r="N14" i="143"/>
  <c r="O14" i="143"/>
  <c r="P14" i="143"/>
  <c r="Q14" i="143"/>
  <c r="R14" i="143"/>
  <c r="B15" i="143"/>
  <c r="C15" i="143"/>
  <c r="D15" i="143"/>
  <c r="E15" i="143"/>
  <c r="F15" i="143"/>
  <c r="G15" i="143"/>
  <c r="H15" i="143"/>
  <c r="I15" i="143"/>
  <c r="J15" i="143"/>
  <c r="K15" i="143"/>
  <c r="L15" i="143"/>
  <c r="M15" i="143"/>
  <c r="N15" i="143"/>
  <c r="O15" i="143"/>
  <c r="P15" i="143"/>
  <c r="Q15" i="143"/>
  <c r="R15" i="143"/>
  <c r="B16" i="143"/>
  <c r="C16" i="143"/>
  <c r="D16" i="143"/>
  <c r="E16" i="143"/>
  <c r="F16" i="143"/>
  <c r="G16" i="143"/>
  <c r="H16" i="143"/>
  <c r="I16" i="143"/>
  <c r="J16" i="143"/>
  <c r="K16" i="143"/>
  <c r="L16" i="143"/>
  <c r="M16" i="143"/>
  <c r="N16" i="143"/>
  <c r="O16" i="143"/>
  <c r="P16" i="143"/>
  <c r="Q16" i="143"/>
  <c r="R16" i="143"/>
  <c r="B17" i="143"/>
  <c r="C17" i="143"/>
  <c r="D17" i="143"/>
  <c r="E17" i="143"/>
  <c r="F17" i="143"/>
  <c r="G17" i="143"/>
  <c r="H17" i="143"/>
  <c r="I17" i="143"/>
  <c r="J17" i="143"/>
  <c r="K17" i="143"/>
  <c r="L17" i="143"/>
  <c r="M17" i="143"/>
  <c r="N17" i="143"/>
  <c r="O17" i="143"/>
  <c r="P17" i="143"/>
  <c r="Q17" i="143"/>
  <c r="R17" i="143"/>
  <c r="B18" i="143"/>
  <c r="C18" i="143"/>
  <c r="D18" i="143"/>
  <c r="E18" i="143"/>
  <c r="F18" i="143"/>
  <c r="G18" i="143"/>
  <c r="H18" i="143"/>
  <c r="I18" i="143"/>
  <c r="J18" i="143"/>
  <c r="K18" i="143"/>
  <c r="L18" i="143"/>
  <c r="M18" i="143"/>
  <c r="N18" i="143"/>
  <c r="O18" i="143"/>
  <c r="P18" i="143"/>
  <c r="Q18" i="143"/>
  <c r="R18" i="143"/>
  <c r="B19" i="143"/>
  <c r="C19" i="143"/>
  <c r="D19" i="143"/>
  <c r="E19" i="143"/>
  <c r="F19" i="143"/>
  <c r="G19" i="143"/>
  <c r="H19" i="143"/>
  <c r="I19" i="143"/>
  <c r="J19" i="143"/>
  <c r="K19" i="143"/>
  <c r="L19" i="143"/>
  <c r="M19" i="143"/>
  <c r="N19" i="143"/>
  <c r="O19" i="143"/>
  <c r="P19" i="143"/>
  <c r="Q19" i="143"/>
  <c r="R19" i="143"/>
  <c r="B20" i="143"/>
  <c r="C20" i="143"/>
  <c r="D20" i="143"/>
  <c r="E20" i="143"/>
  <c r="F20" i="143"/>
  <c r="G20" i="143"/>
  <c r="H20" i="143"/>
  <c r="I20" i="143"/>
  <c r="J20" i="143"/>
  <c r="K20" i="143"/>
  <c r="L20" i="143"/>
  <c r="M20" i="143"/>
  <c r="N20" i="143"/>
  <c r="O20" i="143"/>
  <c r="P20" i="143"/>
  <c r="Q20" i="143"/>
  <c r="R20" i="143"/>
  <c r="B21" i="143"/>
  <c r="C21" i="143"/>
  <c r="D21" i="143"/>
  <c r="E21" i="143"/>
  <c r="F21" i="143"/>
  <c r="G21" i="143"/>
  <c r="H21" i="143"/>
  <c r="I21" i="143"/>
  <c r="J21" i="143"/>
  <c r="K21" i="143"/>
  <c r="L21" i="143"/>
  <c r="M21" i="143"/>
  <c r="N21" i="143"/>
  <c r="O21" i="143"/>
  <c r="P21" i="143"/>
  <c r="Q21" i="143"/>
  <c r="R21" i="143"/>
  <c r="B22" i="143"/>
  <c r="C22" i="143"/>
  <c r="D22" i="143"/>
  <c r="E22" i="143"/>
  <c r="F22" i="143"/>
  <c r="G22" i="143"/>
  <c r="H22" i="143"/>
  <c r="I22" i="143"/>
  <c r="J22" i="143"/>
  <c r="K22" i="143"/>
  <c r="L22" i="143"/>
  <c r="M22" i="143"/>
  <c r="N22" i="143"/>
  <c r="O22" i="143"/>
  <c r="P22" i="143"/>
  <c r="Q22" i="143"/>
  <c r="R22" i="143"/>
  <c r="B23" i="143"/>
  <c r="C23" i="143"/>
  <c r="D23" i="143"/>
  <c r="E23" i="143"/>
  <c r="F23" i="143"/>
  <c r="G23" i="143"/>
  <c r="H23" i="143"/>
  <c r="I23" i="143"/>
  <c r="J23" i="143"/>
  <c r="K23" i="143"/>
  <c r="L23" i="143"/>
  <c r="M23" i="143"/>
  <c r="N23" i="143"/>
  <c r="O23" i="143"/>
  <c r="P23" i="143"/>
  <c r="Q23" i="143"/>
  <c r="R23" i="143"/>
  <c r="B24" i="143"/>
  <c r="C24" i="143"/>
  <c r="D24" i="143"/>
  <c r="E24" i="143"/>
  <c r="F24" i="143"/>
  <c r="G24" i="143"/>
  <c r="H24" i="143"/>
  <c r="I24" i="143"/>
  <c r="J24" i="143"/>
  <c r="K24" i="143"/>
  <c r="L24" i="143"/>
  <c r="M24" i="143"/>
  <c r="N24" i="143"/>
  <c r="O24" i="143"/>
  <c r="P24" i="143"/>
  <c r="Q24" i="143"/>
  <c r="R24" i="143"/>
  <c r="B25" i="143"/>
  <c r="C25" i="143"/>
  <c r="D25" i="143"/>
  <c r="E25" i="143"/>
  <c r="F25" i="143"/>
  <c r="G25" i="143"/>
  <c r="H25" i="143"/>
  <c r="I25" i="143"/>
  <c r="J25" i="143"/>
  <c r="K25" i="143"/>
  <c r="L25" i="143"/>
  <c r="M25" i="143"/>
  <c r="N25" i="143"/>
  <c r="O25" i="143"/>
  <c r="P25" i="143"/>
  <c r="Q25" i="143"/>
  <c r="R25" i="143"/>
  <c r="B26" i="143"/>
  <c r="C26" i="143"/>
  <c r="D26" i="143"/>
  <c r="E26" i="143"/>
  <c r="F26" i="143"/>
  <c r="G26" i="143"/>
  <c r="H26" i="143"/>
  <c r="I26" i="143"/>
  <c r="J26" i="143"/>
  <c r="K26" i="143"/>
  <c r="L26" i="143"/>
  <c r="M26" i="143"/>
  <c r="N26" i="143"/>
  <c r="O26" i="143"/>
  <c r="P26" i="143"/>
  <c r="Q26" i="143"/>
  <c r="R26" i="143"/>
  <c r="B27" i="143"/>
  <c r="C27" i="143"/>
  <c r="D27" i="143"/>
  <c r="E27" i="143"/>
  <c r="F27" i="143"/>
  <c r="G27" i="143"/>
  <c r="H27" i="143"/>
  <c r="I27" i="143"/>
  <c r="J27" i="143"/>
  <c r="K27" i="143"/>
  <c r="L27" i="143"/>
  <c r="M27" i="143"/>
  <c r="N27" i="143"/>
  <c r="O27" i="143"/>
  <c r="P27" i="143"/>
  <c r="Q27" i="143"/>
  <c r="R27" i="143"/>
  <c r="B28" i="143"/>
  <c r="C28" i="143"/>
  <c r="D28" i="143"/>
  <c r="E28" i="143"/>
  <c r="F28" i="143"/>
  <c r="G28" i="143"/>
  <c r="H28" i="143"/>
  <c r="I28" i="143"/>
  <c r="J28" i="143"/>
  <c r="K28" i="143"/>
  <c r="L28" i="143"/>
  <c r="M28" i="143"/>
  <c r="N28" i="143"/>
  <c r="O28" i="143"/>
  <c r="P28" i="143"/>
  <c r="Q28" i="143"/>
  <c r="R28" i="143"/>
  <c r="C8" i="143"/>
  <c r="D8" i="143"/>
  <c r="E8" i="143"/>
  <c r="F8" i="143"/>
  <c r="G8" i="143"/>
  <c r="H8" i="143"/>
  <c r="I8" i="143"/>
  <c r="J8" i="143"/>
  <c r="K8" i="143"/>
  <c r="L8" i="143"/>
  <c r="M8" i="143"/>
  <c r="N8" i="143"/>
  <c r="O8" i="143"/>
  <c r="P8" i="143"/>
  <c r="Q8" i="143"/>
  <c r="R8" i="143"/>
  <c r="B8" i="143"/>
  <c r="B7" i="143"/>
  <c r="D7" i="143" s="1"/>
  <c r="E7" i="143" s="1"/>
  <c r="F7" i="143" s="1"/>
  <c r="H7" i="143" s="1"/>
  <c r="AC25" i="143"/>
  <c r="AC24" i="143"/>
  <c r="Z22" i="143"/>
  <c r="Z21" i="143"/>
  <c r="Z17" i="143"/>
  <c r="Z13" i="143" s="1"/>
  <c r="Z16" i="143"/>
  <c r="AA12" i="143"/>
  <c r="Z12" i="143"/>
  <c r="Z8" i="143"/>
  <c r="K7" i="143"/>
  <c r="J7" i="143"/>
  <c r="C7" i="142"/>
  <c r="D7" i="142"/>
  <c r="E7" i="142"/>
  <c r="F7" i="142"/>
  <c r="G7" i="142"/>
  <c r="H7" i="142"/>
  <c r="I7" i="142"/>
  <c r="J7" i="142"/>
  <c r="K7" i="142"/>
  <c r="L7" i="142"/>
  <c r="M7" i="142"/>
  <c r="N7" i="142"/>
  <c r="O7" i="142"/>
  <c r="P7" i="142"/>
  <c r="Q7" i="142"/>
  <c r="R7" i="142"/>
  <c r="C8" i="142"/>
  <c r="D8" i="142"/>
  <c r="E8" i="142"/>
  <c r="F8" i="142"/>
  <c r="G8" i="142"/>
  <c r="H8" i="142"/>
  <c r="I8" i="142"/>
  <c r="J8" i="142"/>
  <c r="K8" i="142"/>
  <c r="C9" i="142"/>
  <c r="D9" i="142"/>
  <c r="E9" i="142"/>
  <c r="F9" i="142"/>
  <c r="G9" i="142"/>
  <c r="H9" i="142"/>
  <c r="I9" i="142"/>
  <c r="J9" i="142"/>
  <c r="K9" i="142"/>
  <c r="C10" i="142"/>
  <c r="D10" i="142"/>
  <c r="E10" i="142"/>
  <c r="F10" i="142"/>
  <c r="G10" i="142"/>
  <c r="H10" i="142"/>
  <c r="I10" i="142"/>
  <c r="J10" i="142"/>
  <c r="K10" i="142"/>
  <c r="C11" i="142"/>
  <c r="D11" i="142"/>
  <c r="E11" i="142"/>
  <c r="F11" i="142"/>
  <c r="G11" i="142"/>
  <c r="H11" i="142"/>
  <c r="I11" i="142"/>
  <c r="J11" i="142"/>
  <c r="K11" i="142"/>
  <c r="C12" i="142"/>
  <c r="D12" i="142"/>
  <c r="E12" i="142"/>
  <c r="F12" i="142"/>
  <c r="G12" i="142"/>
  <c r="H12" i="142"/>
  <c r="I12" i="142"/>
  <c r="J12" i="142"/>
  <c r="K12" i="142"/>
  <c r="C13" i="142"/>
  <c r="D13" i="142"/>
  <c r="E13" i="142"/>
  <c r="F13" i="142"/>
  <c r="G13" i="142"/>
  <c r="H13" i="142"/>
  <c r="I13" i="142"/>
  <c r="J13" i="142"/>
  <c r="K13" i="142"/>
  <c r="C14" i="142"/>
  <c r="D14" i="142"/>
  <c r="E14" i="142"/>
  <c r="F14" i="142"/>
  <c r="G14" i="142"/>
  <c r="H14" i="142"/>
  <c r="I14" i="142"/>
  <c r="J14" i="142"/>
  <c r="K14" i="142"/>
  <c r="C15" i="142"/>
  <c r="D15" i="142"/>
  <c r="E15" i="142"/>
  <c r="F15" i="142"/>
  <c r="G15" i="142"/>
  <c r="H15" i="142"/>
  <c r="I15" i="142"/>
  <c r="J15" i="142"/>
  <c r="K15" i="142"/>
  <c r="C16" i="142"/>
  <c r="D16" i="142"/>
  <c r="E16" i="142"/>
  <c r="F16" i="142"/>
  <c r="G16" i="142"/>
  <c r="H16" i="142"/>
  <c r="I16" i="142"/>
  <c r="J16" i="142"/>
  <c r="K16" i="142"/>
  <c r="C17" i="142"/>
  <c r="D17" i="142"/>
  <c r="E17" i="142"/>
  <c r="F17" i="142"/>
  <c r="G17" i="142"/>
  <c r="H17" i="142"/>
  <c r="I17" i="142"/>
  <c r="J17" i="142"/>
  <c r="K17" i="142"/>
  <c r="C18" i="142"/>
  <c r="D18" i="142"/>
  <c r="E18" i="142"/>
  <c r="F18" i="142"/>
  <c r="G18" i="142"/>
  <c r="H18" i="142"/>
  <c r="I18" i="142"/>
  <c r="J18" i="142"/>
  <c r="K18" i="142"/>
  <c r="C19" i="142"/>
  <c r="D19" i="142"/>
  <c r="E19" i="142"/>
  <c r="F19" i="142"/>
  <c r="G19" i="142"/>
  <c r="H19" i="142"/>
  <c r="I19" i="142"/>
  <c r="J19" i="142"/>
  <c r="K19" i="142"/>
  <c r="C20" i="142"/>
  <c r="D20" i="142"/>
  <c r="E20" i="142"/>
  <c r="F20" i="142"/>
  <c r="G20" i="142"/>
  <c r="H20" i="142"/>
  <c r="I20" i="142"/>
  <c r="J20" i="142"/>
  <c r="K20" i="142"/>
  <c r="C21" i="142"/>
  <c r="D21" i="142"/>
  <c r="E21" i="142"/>
  <c r="F21" i="142"/>
  <c r="G21" i="142"/>
  <c r="H21" i="142"/>
  <c r="I21" i="142"/>
  <c r="J21" i="142"/>
  <c r="K21" i="142"/>
  <c r="C22" i="142"/>
  <c r="D22" i="142"/>
  <c r="E22" i="142"/>
  <c r="F22" i="142"/>
  <c r="G22" i="142"/>
  <c r="H22" i="142"/>
  <c r="I22" i="142"/>
  <c r="J22" i="142"/>
  <c r="K22" i="142"/>
  <c r="C23" i="142"/>
  <c r="D23" i="142"/>
  <c r="E23" i="142"/>
  <c r="F23" i="142"/>
  <c r="G23" i="142"/>
  <c r="H23" i="142"/>
  <c r="I23" i="142"/>
  <c r="J23" i="142"/>
  <c r="K23" i="142"/>
  <c r="C24" i="142"/>
  <c r="D24" i="142"/>
  <c r="E24" i="142"/>
  <c r="F24" i="142"/>
  <c r="G24" i="142"/>
  <c r="H24" i="142"/>
  <c r="I24" i="142"/>
  <c r="J24" i="142"/>
  <c r="K24" i="142"/>
  <c r="C25" i="142"/>
  <c r="D25" i="142"/>
  <c r="E25" i="142"/>
  <c r="F25" i="142"/>
  <c r="G25" i="142"/>
  <c r="H25" i="142"/>
  <c r="I25" i="142"/>
  <c r="J25" i="142"/>
  <c r="K25" i="142"/>
  <c r="C26" i="142"/>
  <c r="D26" i="142"/>
  <c r="E26" i="142"/>
  <c r="F26" i="142"/>
  <c r="G26" i="142"/>
  <c r="H26" i="142"/>
  <c r="I26" i="142"/>
  <c r="J26" i="142"/>
  <c r="K26" i="142"/>
  <c r="C27" i="142"/>
  <c r="D27" i="142"/>
  <c r="E27" i="142"/>
  <c r="F27" i="142"/>
  <c r="G27" i="142"/>
  <c r="H27" i="142"/>
  <c r="I27" i="142"/>
  <c r="J27" i="142"/>
  <c r="K27" i="142"/>
  <c r="C28" i="142"/>
  <c r="D28" i="142"/>
  <c r="E28" i="142"/>
  <c r="F28" i="142"/>
  <c r="G28" i="142"/>
  <c r="H28" i="142"/>
  <c r="I28" i="142"/>
  <c r="J28" i="142"/>
  <c r="K28" i="142"/>
  <c r="B8" i="142"/>
  <c r="B9" i="142"/>
  <c r="B10" i="142"/>
  <c r="B11" i="142"/>
  <c r="B12" i="142"/>
  <c r="B13" i="142"/>
  <c r="B14" i="142"/>
  <c r="B15" i="142"/>
  <c r="B16" i="142"/>
  <c r="B17" i="142"/>
  <c r="B18" i="142"/>
  <c r="B19" i="142"/>
  <c r="B20" i="142"/>
  <c r="B21" i="142"/>
  <c r="B22" i="142"/>
  <c r="B23" i="142"/>
  <c r="B24" i="142"/>
  <c r="B25" i="142"/>
  <c r="B26" i="142"/>
  <c r="B27" i="142"/>
  <c r="B28" i="142"/>
  <c r="B7" i="142"/>
  <c r="AC25" i="142"/>
  <c r="AC24" i="142"/>
  <c r="Z22" i="142"/>
  <c r="Z21" i="142"/>
  <c r="Z17" i="142"/>
  <c r="Z16" i="142"/>
  <c r="AA12" i="142"/>
  <c r="Z12" i="142"/>
  <c r="Z8" i="142"/>
  <c r="N9" i="136"/>
  <c r="M9" i="136"/>
  <c r="M8" i="136"/>
  <c r="Q9" i="136"/>
  <c r="Q8" i="136"/>
  <c r="L8" i="136"/>
  <c r="U16" i="144" l="1"/>
  <c r="T16" i="144"/>
  <c r="S7" i="144"/>
  <c r="S9" i="144"/>
  <c r="S8" i="144"/>
  <c r="S17" i="144"/>
  <c r="S18" i="144"/>
  <c r="S19" i="144"/>
  <c r="S20" i="144"/>
  <c r="S21" i="144"/>
  <c r="S22" i="144"/>
  <c r="S23" i="144"/>
  <c r="S24" i="144"/>
  <c r="S10" i="144"/>
  <c r="S11" i="144"/>
  <c r="S12" i="144"/>
  <c r="S25" i="144"/>
  <c r="S26" i="144"/>
  <c r="S27" i="144"/>
  <c r="S28" i="144"/>
  <c r="S13" i="144"/>
  <c r="S14" i="144"/>
  <c r="S15" i="144"/>
  <c r="U7" i="142"/>
  <c r="C7" i="143"/>
  <c r="U13" i="143"/>
  <c r="U10" i="143"/>
  <c r="U23" i="143"/>
  <c r="U9" i="143"/>
  <c r="U15" i="143"/>
  <c r="U11" i="143"/>
  <c r="U20" i="143"/>
  <c r="U12" i="143"/>
  <c r="U17" i="143"/>
  <c r="L7" i="143"/>
  <c r="U8" i="143"/>
  <c r="U7" i="143"/>
  <c r="U26" i="143"/>
  <c r="U19" i="143"/>
  <c r="U14" i="143"/>
  <c r="U21" i="143"/>
  <c r="U24" i="143"/>
  <c r="U27" i="143"/>
  <c r="U18" i="143"/>
  <c r="U28" i="143"/>
  <c r="G7" i="143"/>
  <c r="U22" i="143"/>
  <c r="U25" i="143"/>
  <c r="U16" i="143"/>
  <c r="O9" i="136"/>
  <c r="U24" i="144" l="1"/>
  <c r="T24" i="144"/>
  <c r="U23" i="144"/>
  <c r="T23" i="144"/>
  <c r="U9" i="144"/>
  <c r="T9" i="144"/>
  <c r="U14" i="144"/>
  <c r="T14" i="144"/>
  <c r="T13" i="144"/>
  <c r="U13" i="144"/>
  <c r="U25" i="144"/>
  <c r="T25" i="144"/>
  <c r="U8" i="144"/>
  <c r="T8" i="144"/>
  <c r="U28" i="144"/>
  <c r="T28" i="144"/>
  <c r="U21" i="144"/>
  <c r="T21" i="144"/>
  <c r="U27" i="144"/>
  <c r="T27" i="144"/>
  <c r="U12" i="144"/>
  <c r="T12" i="144"/>
  <c r="U20" i="144"/>
  <c r="T20" i="144"/>
  <c r="U26" i="144"/>
  <c r="T26" i="144"/>
  <c r="U11" i="144"/>
  <c r="T11" i="144"/>
  <c r="U22" i="144"/>
  <c r="T22" i="144"/>
  <c r="U19" i="144"/>
  <c r="T19" i="144"/>
  <c r="U15" i="144"/>
  <c r="T15" i="144"/>
  <c r="U10" i="144"/>
  <c r="T10" i="144"/>
  <c r="U18" i="144"/>
  <c r="T18" i="144"/>
  <c r="U17" i="144"/>
  <c r="T17" i="144"/>
  <c r="U25" i="142"/>
  <c r="W25" i="142" s="1"/>
  <c r="U22" i="142"/>
  <c r="V22" i="142" s="1"/>
  <c r="U8" i="142"/>
  <c r="U28" i="142"/>
  <c r="V28" i="142" s="1"/>
  <c r="U18" i="142"/>
  <c r="U15" i="142"/>
  <c r="V15" i="142" s="1"/>
  <c r="U27" i="142"/>
  <c r="U17" i="142"/>
  <c r="V17" i="142" s="1"/>
  <c r="U9" i="142"/>
  <c r="V9" i="142" s="1"/>
  <c r="U11" i="142"/>
  <c r="V11" i="142" s="1"/>
  <c r="U12" i="142"/>
  <c r="W12" i="142" s="1"/>
  <c r="U19" i="142"/>
  <c r="U26" i="142"/>
  <c r="V26" i="142" s="1"/>
  <c r="U24" i="142"/>
  <c r="W24" i="142" s="1"/>
  <c r="U20" i="142"/>
  <c r="U10" i="142"/>
  <c r="W10" i="142" s="1"/>
  <c r="U21" i="142"/>
  <c r="W21" i="142" s="1"/>
  <c r="U23" i="142"/>
  <c r="W23" i="142" s="1"/>
  <c r="U13" i="142"/>
  <c r="V13" i="142" s="1"/>
  <c r="U16" i="142"/>
  <c r="V16" i="142" s="1"/>
  <c r="U14" i="142"/>
  <c r="V19" i="143"/>
  <c r="W19" i="143"/>
  <c r="W8" i="143"/>
  <c r="V8" i="143"/>
  <c r="W25" i="143"/>
  <c r="V25" i="143"/>
  <c r="W18" i="143"/>
  <c r="V18" i="143"/>
  <c r="W27" i="143"/>
  <c r="V27" i="143"/>
  <c r="W14" i="143"/>
  <c r="V14" i="143"/>
  <c r="W22" i="143"/>
  <c r="V22" i="143"/>
  <c r="W17" i="143"/>
  <c r="V17" i="143"/>
  <c r="W13" i="143"/>
  <c r="V13" i="143"/>
  <c r="V26" i="143"/>
  <c r="W26" i="143"/>
  <c r="W23" i="143"/>
  <c r="V23" i="143"/>
  <c r="V10" i="143"/>
  <c r="W10" i="143"/>
  <c r="W24" i="143"/>
  <c r="V24" i="143"/>
  <c r="W12" i="143"/>
  <c r="V12" i="143"/>
  <c r="W15" i="143"/>
  <c r="V15" i="143"/>
  <c r="V16" i="143"/>
  <c r="W16" i="143"/>
  <c r="W9" i="143"/>
  <c r="V9" i="143"/>
  <c r="W20" i="143"/>
  <c r="V20" i="143"/>
  <c r="W28" i="143"/>
  <c r="V28" i="143"/>
  <c r="W21" i="143"/>
  <c r="V21" i="143"/>
  <c r="W11" i="143"/>
  <c r="V11" i="143"/>
  <c r="W18" i="142"/>
  <c r="V18" i="142"/>
  <c r="W8" i="142"/>
  <c r="V8" i="142"/>
  <c r="W28" i="142"/>
  <c r="W27" i="142"/>
  <c r="V27" i="142"/>
  <c r="W14" i="142"/>
  <c r="V14" i="142"/>
  <c r="W26" i="142"/>
  <c r="W17" i="142"/>
  <c r="W9" i="142"/>
  <c r="W22" i="142"/>
  <c r="W20" i="142"/>
  <c r="V20" i="142"/>
  <c r="R30" i="136"/>
  <c r="G8" i="139"/>
  <c r="R30" i="139"/>
  <c r="Z16" i="135"/>
  <c r="V25" i="142" l="1"/>
  <c r="W15" i="142"/>
  <c r="V24" i="142"/>
  <c r="V21" i="142"/>
  <c r="V23" i="142"/>
  <c r="W13" i="142"/>
  <c r="W11" i="142"/>
  <c r="V12" i="142"/>
  <c r="W16" i="142"/>
  <c r="V10" i="142"/>
  <c r="W19" i="142"/>
  <c r="V19" i="142"/>
  <c r="R12" i="135"/>
  <c r="R12" i="142" s="1"/>
  <c r="R19" i="135"/>
  <c r="R19" i="142" s="1"/>
  <c r="R28" i="135"/>
  <c r="R28" i="142" s="1"/>
  <c r="Z12" i="135"/>
  <c r="Q9" i="135"/>
  <c r="Q10" i="135"/>
  <c r="Q11" i="135"/>
  <c r="Q12" i="135"/>
  <c r="Q12" i="142" s="1"/>
  <c r="Q13" i="135"/>
  <c r="Q14" i="135"/>
  <c r="Q15" i="135"/>
  <c r="Q16" i="135"/>
  <c r="Q17" i="135"/>
  <c r="Q18" i="135"/>
  <c r="Q19" i="135"/>
  <c r="Q19" i="142" s="1"/>
  <c r="Q20" i="135"/>
  <c r="Q21" i="135"/>
  <c r="Q22" i="135"/>
  <c r="Q23" i="135"/>
  <c r="Q24" i="135"/>
  <c r="Q25" i="135"/>
  <c r="Q26" i="135"/>
  <c r="Q27" i="135"/>
  <c r="Q28" i="135"/>
  <c r="Q28" i="142" s="1"/>
  <c r="Q8" i="135"/>
  <c r="Q8" i="139"/>
  <c r="L11" i="139"/>
  <c r="Z13" i="139"/>
  <c r="Z12" i="139"/>
  <c r="P24" i="136"/>
  <c r="R15" i="135" l="1"/>
  <c r="R15" i="142" s="1"/>
  <c r="Q15" i="142"/>
  <c r="R27" i="135"/>
  <c r="R27" i="142" s="1"/>
  <c r="Q27" i="142"/>
  <c r="R18" i="135"/>
  <c r="R18" i="142" s="1"/>
  <c r="Q18" i="142"/>
  <c r="R24" i="135"/>
  <c r="R24" i="142" s="1"/>
  <c r="Q24" i="142"/>
  <c r="R16" i="135"/>
  <c r="R16" i="142" s="1"/>
  <c r="Q16" i="142"/>
  <c r="R13" i="135"/>
  <c r="R13" i="142" s="1"/>
  <c r="Q13" i="142"/>
  <c r="R23" i="135"/>
  <c r="R23" i="142" s="1"/>
  <c r="Q23" i="142"/>
  <c r="R22" i="135"/>
  <c r="R22" i="142" s="1"/>
  <c r="Q22" i="142"/>
  <c r="R14" i="135"/>
  <c r="R14" i="142" s="1"/>
  <c r="Q14" i="142"/>
  <c r="R8" i="135"/>
  <c r="R8" i="142" s="1"/>
  <c r="Q8" i="142"/>
  <c r="R21" i="135"/>
  <c r="R21" i="142" s="1"/>
  <c r="Q21" i="142"/>
  <c r="R11" i="135"/>
  <c r="R11" i="142" s="1"/>
  <c r="Q11" i="142"/>
  <c r="R20" i="135"/>
  <c r="R20" i="142" s="1"/>
  <c r="Q20" i="142"/>
  <c r="R26" i="135"/>
  <c r="R26" i="142" s="1"/>
  <c r="Q26" i="142"/>
  <c r="R10" i="135"/>
  <c r="R10" i="142" s="1"/>
  <c r="Q10" i="142"/>
  <c r="R25" i="135"/>
  <c r="R25" i="142" s="1"/>
  <c r="Q25" i="142"/>
  <c r="R17" i="135"/>
  <c r="R17" i="142" s="1"/>
  <c r="Q17" i="142"/>
  <c r="R9" i="135"/>
  <c r="R9" i="142" s="1"/>
  <c r="Q9" i="142"/>
  <c r="F9" i="136"/>
  <c r="N10" i="136"/>
  <c r="N11" i="136"/>
  <c r="N12" i="136"/>
  <c r="N13" i="136"/>
  <c r="N14" i="136"/>
  <c r="N15" i="136"/>
  <c r="N16" i="136"/>
  <c r="N17" i="136"/>
  <c r="N18" i="136"/>
  <c r="N19" i="136"/>
  <c r="N20" i="136"/>
  <c r="N21" i="136"/>
  <c r="N22" i="136"/>
  <c r="N23" i="136"/>
  <c r="N24" i="136"/>
  <c r="N25" i="136"/>
  <c r="N26" i="136"/>
  <c r="N27" i="136"/>
  <c r="N28" i="136"/>
  <c r="N8" i="136"/>
  <c r="Z13" i="136"/>
  <c r="L19" i="136"/>
  <c r="L10" i="136"/>
  <c r="L11" i="136"/>
  <c r="L12" i="136"/>
  <c r="L13" i="136"/>
  <c r="L14" i="136"/>
  <c r="L15" i="136"/>
  <c r="L16" i="136"/>
  <c r="L17" i="136"/>
  <c r="L18" i="136"/>
  <c r="L20" i="136"/>
  <c r="L21" i="136"/>
  <c r="L22" i="136"/>
  <c r="L23" i="136"/>
  <c r="L24" i="136"/>
  <c r="L25" i="136"/>
  <c r="L26" i="136"/>
  <c r="L27" i="136"/>
  <c r="L28" i="136"/>
  <c r="R9" i="136"/>
  <c r="L9" i="136" s="1"/>
  <c r="R10" i="136"/>
  <c r="R11" i="136"/>
  <c r="R12" i="136"/>
  <c r="R13" i="136"/>
  <c r="R14" i="136"/>
  <c r="R15" i="136"/>
  <c r="R16" i="136"/>
  <c r="R17" i="136"/>
  <c r="R18" i="136"/>
  <c r="R19" i="136"/>
  <c r="R20" i="136"/>
  <c r="R21" i="136"/>
  <c r="R22" i="136"/>
  <c r="R23" i="136"/>
  <c r="R24" i="136"/>
  <c r="R25" i="136"/>
  <c r="R26" i="136"/>
  <c r="R27" i="136"/>
  <c r="R28" i="136"/>
  <c r="R8" i="136"/>
  <c r="Q28" i="136"/>
  <c r="Q27" i="136"/>
  <c r="Q26" i="136"/>
  <c r="Q25" i="136"/>
  <c r="Q24" i="136"/>
  <c r="Q23" i="136"/>
  <c r="Q22" i="136"/>
  <c r="Q21" i="136"/>
  <c r="Q20" i="136"/>
  <c r="Q19" i="136"/>
  <c r="Q18" i="136"/>
  <c r="Q17" i="136"/>
  <c r="Q16" i="136"/>
  <c r="Q15" i="136"/>
  <c r="Q14" i="136"/>
  <c r="Q13" i="136"/>
  <c r="Q12" i="136"/>
  <c r="Q11" i="136"/>
  <c r="Q10" i="136"/>
  <c r="N9" i="138"/>
  <c r="N10" i="138"/>
  <c r="N11" i="138"/>
  <c r="N12" i="138"/>
  <c r="N13" i="138"/>
  <c r="N14" i="138"/>
  <c r="N15" i="138"/>
  <c r="N16" i="138"/>
  <c r="N17" i="138"/>
  <c r="N18" i="138"/>
  <c r="N19" i="138"/>
  <c r="N20" i="138"/>
  <c r="N21" i="138"/>
  <c r="N22" i="138"/>
  <c r="N23" i="138"/>
  <c r="N24" i="138"/>
  <c r="N25" i="138"/>
  <c r="N26" i="138"/>
  <c r="N27" i="138"/>
  <c r="N28" i="138"/>
  <c r="N8" i="138"/>
  <c r="L9" i="138"/>
  <c r="L10" i="138"/>
  <c r="L11" i="138"/>
  <c r="L12" i="138"/>
  <c r="L13" i="138"/>
  <c r="L14" i="138"/>
  <c r="L15" i="138"/>
  <c r="L16" i="138"/>
  <c r="L17" i="138"/>
  <c r="L18" i="138"/>
  <c r="L19" i="138"/>
  <c r="L20" i="138"/>
  <c r="L21" i="138"/>
  <c r="L22" i="138"/>
  <c r="L23" i="138"/>
  <c r="L24" i="138"/>
  <c r="L25" i="138"/>
  <c r="L26" i="138"/>
  <c r="L27" i="138"/>
  <c r="L28" i="138"/>
  <c r="L8" i="138"/>
  <c r="Q28" i="138"/>
  <c r="Q27" i="138"/>
  <c r="R27" i="138" s="1"/>
  <c r="Q26" i="138"/>
  <c r="R26" i="138" s="1"/>
  <c r="Q25" i="138"/>
  <c r="R25" i="138" s="1"/>
  <c r="Q24" i="138"/>
  <c r="R24" i="138" s="1"/>
  <c r="Q23" i="138"/>
  <c r="R23" i="138" s="1"/>
  <c r="Q22" i="138"/>
  <c r="R22" i="138" s="1"/>
  <c r="Q21" i="138"/>
  <c r="Q20" i="138"/>
  <c r="R20" i="138" s="1"/>
  <c r="Q19" i="138"/>
  <c r="Q18" i="138"/>
  <c r="R18" i="138" s="1"/>
  <c r="Q17" i="138"/>
  <c r="R17" i="138" s="1"/>
  <c r="Q15" i="138"/>
  <c r="Q14" i="138"/>
  <c r="R14" i="138" s="1"/>
  <c r="Q13" i="138"/>
  <c r="R13" i="138" s="1"/>
  <c r="Q12" i="138"/>
  <c r="R12" i="138" s="1"/>
  <c r="Q11" i="138"/>
  <c r="R11" i="138" s="1"/>
  <c r="Q10" i="138"/>
  <c r="Q9" i="138"/>
  <c r="R9" i="138" s="1"/>
  <c r="R10" i="138"/>
  <c r="R15" i="138"/>
  <c r="R16" i="138"/>
  <c r="R19" i="138"/>
  <c r="R21" i="138"/>
  <c r="R28" i="138"/>
  <c r="R8" i="138"/>
  <c r="Q16" i="138"/>
  <c r="Q8" i="138"/>
  <c r="N8" i="139"/>
  <c r="N28" i="139"/>
  <c r="N25" i="139"/>
  <c r="N23" i="139"/>
  <c r="N22" i="139"/>
  <c r="N21" i="139"/>
  <c r="N20" i="139"/>
  <c r="N16" i="139"/>
  <c r="N15" i="139"/>
  <c r="N14" i="139"/>
  <c r="N13" i="139"/>
  <c r="N12" i="139"/>
  <c r="L10" i="139"/>
  <c r="L12" i="139"/>
  <c r="L13" i="139"/>
  <c r="L14" i="139"/>
  <c r="L15" i="139"/>
  <c r="L16" i="139"/>
  <c r="L17" i="139"/>
  <c r="L18" i="139"/>
  <c r="L19" i="139"/>
  <c r="L20" i="139"/>
  <c r="L21" i="139"/>
  <c r="L22" i="139"/>
  <c r="L23" i="139"/>
  <c r="L24" i="139"/>
  <c r="L25" i="139"/>
  <c r="L26" i="139"/>
  <c r="L27" i="139"/>
  <c r="L28" i="139"/>
  <c r="L8" i="139"/>
  <c r="R8" i="139"/>
  <c r="N24" i="139" s="1"/>
  <c r="Q9" i="139"/>
  <c r="R9" i="139" s="1"/>
  <c r="Q10" i="139"/>
  <c r="R10" i="139" s="1"/>
  <c r="Q11" i="139"/>
  <c r="R11" i="139"/>
  <c r="Q12" i="139"/>
  <c r="R12" i="139" s="1"/>
  <c r="Q13" i="139"/>
  <c r="R13" i="139" s="1"/>
  <c r="Q14" i="139"/>
  <c r="R14" i="139"/>
  <c r="Q15" i="139"/>
  <c r="R15" i="139" s="1"/>
  <c r="Q16" i="139"/>
  <c r="R16" i="139" s="1"/>
  <c r="Q17" i="139"/>
  <c r="R17" i="139"/>
  <c r="Q18" i="139"/>
  <c r="R18" i="139"/>
  <c r="Q19" i="139"/>
  <c r="R19" i="139" s="1"/>
  <c r="Q20" i="139"/>
  <c r="R20" i="139" s="1"/>
  <c r="Q21" i="139"/>
  <c r="R21" i="139"/>
  <c r="Q22" i="139"/>
  <c r="R22" i="139" s="1"/>
  <c r="Q23" i="139"/>
  <c r="R23" i="139"/>
  <c r="Q24" i="139"/>
  <c r="R24" i="139" s="1"/>
  <c r="Q25" i="139"/>
  <c r="R25" i="139"/>
  <c r="Q26" i="139"/>
  <c r="R26" i="139"/>
  <c r="Q27" i="139"/>
  <c r="R27" i="139"/>
  <c r="Q28" i="139"/>
  <c r="R28" i="139" s="1"/>
  <c r="AA12" i="135"/>
  <c r="J8" i="138"/>
  <c r="J8" i="137"/>
  <c r="J8" i="141"/>
  <c r="K8" i="140"/>
  <c r="J9" i="140"/>
  <c r="J10" i="140"/>
  <c r="J11" i="140"/>
  <c r="J12" i="140"/>
  <c r="J13" i="140"/>
  <c r="J14" i="140"/>
  <c r="J15" i="140"/>
  <c r="J16" i="140"/>
  <c r="J17" i="140"/>
  <c r="J18" i="140"/>
  <c r="J19" i="140"/>
  <c r="J20" i="140"/>
  <c r="J21" i="140"/>
  <c r="J22" i="140"/>
  <c r="J23" i="140"/>
  <c r="J24" i="140"/>
  <c r="J25" i="140"/>
  <c r="J26" i="140"/>
  <c r="J27" i="140"/>
  <c r="J28" i="140"/>
  <c r="J8" i="140"/>
  <c r="N10" i="139" l="1"/>
  <c r="N18" i="139"/>
  <c r="N26" i="139"/>
  <c r="N17" i="139"/>
  <c r="N11" i="139"/>
  <c r="N19" i="139"/>
  <c r="N27" i="139"/>
  <c r="J28" i="141"/>
  <c r="K28" i="141" s="1"/>
  <c r="D28" i="141"/>
  <c r="E28" i="141" s="1"/>
  <c r="F28" i="141" s="1"/>
  <c r="C28" i="141"/>
  <c r="J27" i="141"/>
  <c r="K27" i="141" s="1"/>
  <c r="D27" i="141"/>
  <c r="E27" i="141" s="1"/>
  <c r="F27" i="141" s="1"/>
  <c r="C27" i="141"/>
  <c r="J26" i="141"/>
  <c r="K26" i="141" s="1"/>
  <c r="D26" i="141"/>
  <c r="E26" i="141" s="1"/>
  <c r="F26" i="141" s="1"/>
  <c r="C26" i="141"/>
  <c r="AA25" i="141"/>
  <c r="J25" i="141"/>
  <c r="K25" i="141" s="1"/>
  <c r="D25" i="141"/>
  <c r="E25" i="141" s="1"/>
  <c r="F25" i="141" s="1"/>
  <c r="C25" i="141"/>
  <c r="AA24" i="141"/>
  <c r="J24" i="141"/>
  <c r="K24" i="141" s="1"/>
  <c r="D24" i="141"/>
  <c r="E24" i="141" s="1"/>
  <c r="F24" i="141" s="1"/>
  <c r="C24" i="141"/>
  <c r="J23" i="141"/>
  <c r="K23" i="141" s="1"/>
  <c r="D23" i="141"/>
  <c r="E23" i="141" s="1"/>
  <c r="F23" i="141" s="1"/>
  <c r="C23" i="141"/>
  <c r="J22" i="141"/>
  <c r="K22" i="141" s="1"/>
  <c r="D22" i="141"/>
  <c r="E22" i="141" s="1"/>
  <c r="F22" i="141" s="1"/>
  <c r="C22" i="141"/>
  <c r="X21" i="141"/>
  <c r="J21" i="141"/>
  <c r="K21" i="141" s="1"/>
  <c r="D21" i="141"/>
  <c r="E21" i="141" s="1"/>
  <c r="F21" i="141" s="1"/>
  <c r="C21" i="141"/>
  <c r="J20" i="141"/>
  <c r="K20" i="141" s="1"/>
  <c r="D20" i="141"/>
  <c r="E20" i="141" s="1"/>
  <c r="F20" i="141" s="1"/>
  <c r="C20" i="141"/>
  <c r="J19" i="141"/>
  <c r="K19" i="141" s="1"/>
  <c r="D19" i="141"/>
  <c r="E19" i="141" s="1"/>
  <c r="F19" i="141" s="1"/>
  <c r="C19" i="141"/>
  <c r="J18" i="141"/>
  <c r="K18" i="141" s="1"/>
  <c r="D18" i="141"/>
  <c r="E18" i="141" s="1"/>
  <c r="F18" i="141" s="1"/>
  <c r="C18" i="141"/>
  <c r="X17" i="141"/>
  <c r="J17" i="141"/>
  <c r="K17" i="141" s="1"/>
  <c r="D17" i="141"/>
  <c r="E17" i="141" s="1"/>
  <c r="F17" i="141" s="1"/>
  <c r="C17" i="141"/>
  <c r="X16" i="141"/>
  <c r="J16" i="141"/>
  <c r="K16" i="141" s="1"/>
  <c r="D16" i="141"/>
  <c r="E16" i="141" s="1"/>
  <c r="F16" i="141" s="1"/>
  <c r="C16" i="141"/>
  <c r="J15" i="141"/>
  <c r="K15" i="141" s="1"/>
  <c r="D15" i="141"/>
  <c r="E15" i="141" s="1"/>
  <c r="F15" i="141" s="1"/>
  <c r="C15" i="141"/>
  <c r="J14" i="141"/>
  <c r="K14" i="141" s="1"/>
  <c r="D14" i="141"/>
  <c r="E14" i="141" s="1"/>
  <c r="F14" i="141" s="1"/>
  <c r="C14" i="141"/>
  <c r="X13" i="141"/>
  <c r="J13" i="141"/>
  <c r="K13" i="141" s="1"/>
  <c r="D13" i="141"/>
  <c r="E13" i="141" s="1"/>
  <c r="F13" i="141" s="1"/>
  <c r="C13" i="141"/>
  <c r="X12" i="141"/>
  <c r="S14" i="141" s="1"/>
  <c r="J12" i="141"/>
  <c r="K12" i="141" s="1"/>
  <c r="D12" i="141"/>
  <c r="E12" i="141" s="1"/>
  <c r="F12" i="141" s="1"/>
  <c r="C12" i="141"/>
  <c r="J11" i="141"/>
  <c r="K11" i="141" s="1"/>
  <c r="D11" i="141"/>
  <c r="E11" i="141" s="1"/>
  <c r="F11" i="141" s="1"/>
  <c r="C11" i="141"/>
  <c r="J10" i="141"/>
  <c r="K10" i="141" s="1"/>
  <c r="D10" i="141"/>
  <c r="E10" i="141" s="1"/>
  <c r="F10" i="141" s="1"/>
  <c r="C10" i="141"/>
  <c r="J9" i="141"/>
  <c r="K9" i="141" s="1"/>
  <c r="D9" i="141"/>
  <c r="E9" i="141" s="1"/>
  <c r="F9" i="141" s="1"/>
  <c r="C9" i="141"/>
  <c r="X8" i="141"/>
  <c r="K8" i="141"/>
  <c r="D8" i="141"/>
  <c r="E8" i="141" s="1"/>
  <c r="F8" i="141" s="1"/>
  <c r="C8" i="141"/>
  <c r="K7" i="141"/>
  <c r="J7" i="141"/>
  <c r="D7" i="141"/>
  <c r="E7" i="141" s="1"/>
  <c r="F7" i="141" s="1"/>
  <c r="C7" i="141"/>
  <c r="K28" i="140"/>
  <c r="D28" i="140"/>
  <c r="E28" i="140" s="1"/>
  <c r="F28" i="140" s="1"/>
  <c r="C28" i="140"/>
  <c r="K27" i="140"/>
  <c r="D27" i="140"/>
  <c r="E27" i="140" s="1"/>
  <c r="F27" i="140" s="1"/>
  <c r="C27" i="140"/>
  <c r="K26" i="140"/>
  <c r="D26" i="140"/>
  <c r="E26" i="140" s="1"/>
  <c r="F26" i="140" s="1"/>
  <c r="C26" i="140"/>
  <c r="AA25" i="140"/>
  <c r="K25" i="140"/>
  <c r="D25" i="140"/>
  <c r="E25" i="140" s="1"/>
  <c r="F25" i="140" s="1"/>
  <c r="C25" i="140"/>
  <c r="AA24" i="140"/>
  <c r="K24" i="140"/>
  <c r="D24" i="140"/>
  <c r="E24" i="140" s="1"/>
  <c r="F24" i="140" s="1"/>
  <c r="C24" i="140"/>
  <c r="K23" i="140"/>
  <c r="D23" i="140"/>
  <c r="E23" i="140" s="1"/>
  <c r="F23" i="140" s="1"/>
  <c r="C23" i="140"/>
  <c r="K22" i="140"/>
  <c r="D22" i="140"/>
  <c r="E22" i="140" s="1"/>
  <c r="F22" i="140" s="1"/>
  <c r="C22" i="140"/>
  <c r="X21" i="140"/>
  <c r="X22" i="140" s="1"/>
  <c r="K21" i="140"/>
  <c r="D21" i="140"/>
  <c r="E21" i="140" s="1"/>
  <c r="F21" i="140" s="1"/>
  <c r="C21" i="140"/>
  <c r="K20" i="140"/>
  <c r="D20" i="140"/>
  <c r="E20" i="140" s="1"/>
  <c r="F20" i="140" s="1"/>
  <c r="G20" i="140" s="1"/>
  <c r="C20" i="140"/>
  <c r="K19" i="140"/>
  <c r="D19" i="140"/>
  <c r="E19" i="140" s="1"/>
  <c r="F19" i="140" s="1"/>
  <c r="C19" i="140"/>
  <c r="K18" i="140"/>
  <c r="D18" i="140"/>
  <c r="E18" i="140" s="1"/>
  <c r="F18" i="140" s="1"/>
  <c r="G18" i="140" s="1"/>
  <c r="C18" i="140"/>
  <c r="X17" i="140"/>
  <c r="X13" i="140" s="1"/>
  <c r="K17" i="140"/>
  <c r="D17" i="140"/>
  <c r="E17" i="140" s="1"/>
  <c r="F17" i="140" s="1"/>
  <c r="C17" i="140"/>
  <c r="X16" i="140"/>
  <c r="K16" i="140"/>
  <c r="D16" i="140"/>
  <c r="E16" i="140" s="1"/>
  <c r="F16" i="140" s="1"/>
  <c r="C16" i="140"/>
  <c r="K15" i="140"/>
  <c r="D15" i="140"/>
  <c r="E15" i="140" s="1"/>
  <c r="F15" i="140" s="1"/>
  <c r="C15" i="140"/>
  <c r="K14" i="140"/>
  <c r="D14" i="140"/>
  <c r="E14" i="140" s="1"/>
  <c r="F14" i="140" s="1"/>
  <c r="C14" i="140"/>
  <c r="K13" i="140"/>
  <c r="D13" i="140"/>
  <c r="E13" i="140" s="1"/>
  <c r="F13" i="140" s="1"/>
  <c r="C13" i="140"/>
  <c r="Y12" i="140"/>
  <c r="X12" i="140"/>
  <c r="S16" i="140" s="1"/>
  <c r="K12" i="140"/>
  <c r="D12" i="140"/>
  <c r="E12" i="140" s="1"/>
  <c r="F12" i="140" s="1"/>
  <c r="C12" i="140"/>
  <c r="K11" i="140"/>
  <c r="D11" i="140"/>
  <c r="E11" i="140" s="1"/>
  <c r="F11" i="140" s="1"/>
  <c r="C11" i="140"/>
  <c r="K10" i="140"/>
  <c r="D10" i="140"/>
  <c r="E10" i="140" s="1"/>
  <c r="F10" i="140" s="1"/>
  <c r="C10" i="140"/>
  <c r="K9" i="140"/>
  <c r="D9" i="140"/>
  <c r="E9" i="140" s="1"/>
  <c r="F9" i="140" s="1"/>
  <c r="C9" i="140"/>
  <c r="X8" i="140"/>
  <c r="D8" i="140"/>
  <c r="E8" i="140" s="1"/>
  <c r="F8" i="140" s="1"/>
  <c r="C8" i="140"/>
  <c r="J7" i="140"/>
  <c r="K7" i="140" s="1"/>
  <c r="G7" i="140"/>
  <c r="F7" i="140"/>
  <c r="L7" i="140" s="1"/>
  <c r="E7" i="140"/>
  <c r="D7" i="140"/>
  <c r="C7" i="140"/>
  <c r="O11" i="139" l="1"/>
  <c r="M11" i="139"/>
  <c r="L21" i="141"/>
  <c r="H21" i="141"/>
  <c r="G21" i="141"/>
  <c r="L7" i="141"/>
  <c r="H7" i="141"/>
  <c r="G7" i="141"/>
  <c r="H27" i="141"/>
  <c r="L27" i="141"/>
  <c r="G27" i="141"/>
  <c r="H9" i="141"/>
  <c r="G9" i="141"/>
  <c r="L9" i="141"/>
  <c r="G16" i="141"/>
  <c r="N16" i="141" s="1"/>
  <c r="H16" i="141"/>
  <c r="L16" i="141"/>
  <c r="L20" i="141"/>
  <c r="H20" i="141"/>
  <c r="G20" i="141"/>
  <c r="G15" i="141"/>
  <c r="N15" i="141" s="1"/>
  <c r="H15" i="141"/>
  <c r="L15" i="141"/>
  <c r="H12" i="141"/>
  <c r="G12" i="141"/>
  <c r="L12" i="141"/>
  <c r="L18" i="141"/>
  <c r="H18" i="141"/>
  <c r="G18" i="141"/>
  <c r="N18" i="141" s="1"/>
  <c r="L19" i="141"/>
  <c r="G19" i="141"/>
  <c r="H19" i="141"/>
  <c r="H11" i="141"/>
  <c r="G11" i="141"/>
  <c r="L11" i="141"/>
  <c r="L23" i="141"/>
  <c r="H23" i="141"/>
  <c r="G23" i="141"/>
  <c r="H25" i="141"/>
  <c r="G25" i="141"/>
  <c r="L25" i="141"/>
  <c r="N12" i="141"/>
  <c r="G14" i="141"/>
  <c r="H14" i="141"/>
  <c r="L14" i="141"/>
  <c r="L22" i="141"/>
  <c r="H22" i="141"/>
  <c r="G22" i="141"/>
  <c r="L24" i="141"/>
  <c r="H24" i="141"/>
  <c r="G24" i="141"/>
  <c r="N24" i="141" s="1"/>
  <c r="L17" i="141"/>
  <c r="H17" i="141"/>
  <c r="G17" i="141"/>
  <c r="H13" i="141"/>
  <c r="G13" i="141"/>
  <c r="N13" i="141" s="1"/>
  <c r="L13" i="141"/>
  <c r="L8" i="141"/>
  <c r="H8" i="141"/>
  <c r="G8" i="141"/>
  <c r="N8" i="141" s="1"/>
  <c r="H10" i="141"/>
  <c r="G10" i="141"/>
  <c r="L10" i="141"/>
  <c r="T14" i="141"/>
  <c r="U14" i="141"/>
  <c r="H26" i="141"/>
  <c r="G26" i="141"/>
  <c r="L26" i="141"/>
  <c r="H28" i="141"/>
  <c r="L28" i="141"/>
  <c r="G28" i="141"/>
  <c r="N28" i="141" s="1"/>
  <c r="S16" i="141"/>
  <c r="S18" i="141"/>
  <c r="S20" i="141"/>
  <c r="S21" i="141"/>
  <c r="S22" i="141"/>
  <c r="S23" i="141"/>
  <c r="S24" i="141"/>
  <c r="Y12" i="141"/>
  <c r="S19" i="141"/>
  <c r="S8" i="141"/>
  <c r="S9" i="141"/>
  <c r="S10" i="141"/>
  <c r="S11" i="141"/>
  <c r="S12" i="141"/>
  <c r="S25" i="141"/>
  <c r="S15" i="141"/>
  <c r="S17" i="141"/>
  <c r="S7" i="141"/>
  <c r="N23" i="141"/>
  <c r="X22" i="141"/>
  <c r="S26" i="141"/>
  <c r="S27" i="141"/>
  <c r="S28" i="141"/>
  <c r="S13" i="141"/>
  <c r="N19" i="141"/>
  <c r="N20" i="141"/>
  <c r="N21" i="141"/>
  <c r="L19" i="140"/>
  <c r="G19" i="140"/>
  <c r="L22" i="140"/>
  <c r="H22" i="140"/>
  <c r="L21" i="140"/>
  <c r="G21" i="140"/>
  <c r="N18" i="140"/>
  <c r="M18" i="140" s="1"/>
  <c r="N20" i="140"/>
  <c r="M20" i="140" s="1"/>
  <c r="N21" i="140"/>
  <c r="O21" i="140" s="1"/>
  <c r="G17" i="140"/>
  <c r="N17" i="140" s="1"/>
  <c r="L17" i="140"/>
  <c r="H17" i="140"/>
  <c r="H15" i="140"/>
  <c r="L15" i="140"/>
  <c r="G15" i="140"/>
  <c r="N15" i="140" s="1"/>
  <c r="M15" i="140" s="1"/>
  <c r="O18" i="140"/>
  <c r="L24" i="140"/>
  <c r="H24" i="140"/>
  <c r="G24" i="140"/>
  <c r="L9" i="140"/>
  <c r="H9" i="140"/>
  <c r="G9" i="140"/>
  <c r="N9" i="140" s="1"/>
  <c r="H27" i="140"/>
  <c r="G27" i="140"/>
  <c r="N27" i="140" s="1"/>
  <c r="L27" i="140"/>
  <c r="L11" i="140"/>
  <c r="H11" i="140"/>
  <c r="G11" i="140"/>
  <c r="N11" i="140" s="1"/>
  <c r="S24" i="140"/>
  <c r="S23" i="140"/>
  <c r="S8" i="140"/>
  <c r="S22" i="140"/>
  <c r="L20" i="140"/>
  <c r="H26" i="140"/>
  <c r="G26" i="140"/>
  <c r="L26" i="140"/>
  <c r="H13" i="140"/>
  <c r="G13" i="140"/>
  <c r="N13" i="140" s="1"/>
  <c r="L13" i="140"/>
  <c r="L8" i="140"/>
  <c r="H8" i="140"/>
  <c r="G8" i="140"/>
  <c r="N8" i="140" s="1"/>
  <c r="L10" i="140"/>
  <c r="H10" i="140"/>
  <c r="G10" i="140"/>
  <c r="N10" i="140" s="1"/>
  <c r="L12" i="140"/>
  <c r="H12" i="140"/>
  <c r="G12" i="140"/>
  <c r="H16" i="140"/>
  <c r="L16" i="140"/>
  <c r="G16" i="140"/>
  <c r="N16" i="140" s="1"/>
  <c r="L23" i="140"/>
  <c r="H23" i="140"/>
  <c r="G23" i="140"/>
  <c r="N23" i="140" s="1"/>
  <c r="L25" i="140"/>
  <c r="G25" i="140"/>
  <c r="N25" i="140" s="1"/>
  <c r="H25" i="140"/>
  <c r="H28" i="140"/>
  <c r="G28" i="140"/>
  <c r="N28" i="140" s="1"/>
  <c r="L28" i="140"/>
  <c r="H14" i="140"/>
  <c r="L14" i="140"/>
  <c r="G14" i="140"/>
  <c r="N14" i="140" s="1"/>
  <c r="M14" i="140" s="1"/>
  <c r="U16" i="140"/>
  <c r="T16" i="140"/>
  <c r="L18" i="140"/>
  <c r="N26" i="140"/>
  <c r="S17" i="140"/>
  <c r="H7" i="140"/>
  <c r="H18" i="140"/>
  <c r="S18" i="140"/>
  <c r="H19" i="140"/>
  <c r="S19" i="140"/>
  <c r="H20" i="140"/>
  <c r="S20" i="140"/>
  <c r="H21" i="140"/>
  <c r="S21" i="140"/>
  <c r="G22" i="140"/>
  <c r="N22" i="140" s="1"/>
  <c r="S25" i="140"/>
  <c r="S12" i="140"/>
  <c r="S7" i="140"/>
  <c r="S26" i="140"/>
  <c r="S27" i="140"/>
  <c r="S28" i="140"/>
  <c r="S9" i="140"/>
  <c r="S10" i="140"/>
  <c r="S11" i="140"/>
  <c r="S13" i="140"/>
  <c r="S14" i="140"/>
  <c r="S15" i="140"/>
  <c r="P28" i="141" l="1"/>
  <c r="O28" i="141"/>
  <c r="P13" i="141"/>
  <c r="O13" i="141"/>
  <c r="P16" i="141"/>
  <c r="O16" i="141"/>
  <c r="O18" i="141"/>
  <c r="P18" i="141"/>
  <c r="O21" i="141"/>
  <c r="P21" i="141"/>
  <c r="N22" i="141"/>
  <c r="U13" i="141"/>
  <c r="T13" i="141"/>
  <c r="U9" i="141"/>
  <c r="T9" i="141"/>
  <c r="U21" i="141"/>
  <c r="T21" i="141"/>
  <c r="M8" i="141"/>
  <c r="M15" i="141"/>
  <c r="U23" i="141"/>
  <c r="T23" i="141"/>
  <c r="P19" i="141"/>
  <c r="O19" i="141"/>
  <c r="T17" i="141"/>
  <c r="U17" i="141"/>
  <c r="U20" i="141"/>
  <c r="T20" i="141"/>
  <c r="N25" i="141"/>
  <c r="M25" i="141" s="1"/>
  <c r="U24" i="141"/>
  <c r="T24" i="141"/>
  <c r="M18" i="141"/>
  <c r="O20" i="141"/>
  <c r="P20" i="141"/>
  <c r="U28" i="141"/>
  <c r="T28" i="141"/>
  <c r="U8" i="141"/>
  <c r="T8" i="141"/>
  <c r="U27" i="141"/>
  <c r="T27" i="141"/>
  <c r="U15" i="141"/>
  <c r="T15" i="141"/>
  <c r="U19" i="141"/>
  <c r="T19" i="141"/>
  <c r="U18" i="141"/>
  <c r="T18" i="141"/>
  <c r="N14" i="141"/>
  <c r="N10" i="141"/>
  <c r="M23" i="141"/>
  <c r="M19" i="141"/>
  <c r="M12" i="141"/>
  <c r="M20" i="141"/>
  <c r="N17" i="141"/>
  <c r="M17" i="141" s="1"/>
  <c r="P23" i="141"/>
  <c r="O23" i="141"/>
  <c r="U11" i="141"/>
  <c r="T11" i="141"/>
  <c r="U10" i="141"/>
  <c r="T10" i="141"/>
  <c r="U26" i="141"/>
  <c r="T26" i="141"/>
  <c r="O24" i="141"/>
  <c r="P24" i="141"/>
  <c r="N11" i="141"/>
  <c r="M24" i="141"/>
  <c r="N26" i="141"/>
  <c r="M26" i="141" s="1"/>
  <c r="U12" i="141"/>
  <c r="T12" i="141"/>
  <c r="M13" i="141"/>
  <c r="P15" i="141"/>
  <c r="O15" i="141"/>
  <c r="O8" i="141"/>
  <c r="P8" i="141"/>
  <c r="P12" i="141"/>
  <c r="O12" i="141"/>
  <c r="U22" i="141"/>
  <c r="T22" i="141"/>
  <c r="M16" i="141"/>
  <c r="U25" i="141"/>
  <c r="T25" i="141"/>
  <c r="U16" i="141"/>
  <c r="T16" i="141"/>
  <c r="M28" i="141"/>
  <c r="N27" i="141"/>
  <c r="N9" i="141"/>
  <c r="M21" i="141"/>
  <c r="P18" i="140"/>
  <c r="M25" i="140"/>
  <c r="P20" i="140"/>
  <c r="O20" i="140"/>
  <c r="N24" i="140"/>
  <c r="M24" i="140" s="1"/>
  <c r="N19" i="140"/>
  <c r="M19" i="140" s="1"/>
  <c r="M26" i="140"/>
  <c r="M21" i="140"/>
  <c r="M28" i="140"/>
  <c r="P21" i="140"/>
  <c r="N12" i="140"/>
  <c r="P12" i="140" s="1"/>
  <c r="P16" i="140"/>
  <c r="O16" i="140"/>
  <c r="M16" i="140"/>
  <c r="O27" i="140"/>
  <c r="P27" i="140"/>
  <c r="M27" i="140"/>
  <c r="P8" i="140"/>
  <c r="O8" i="140"/>
  <c r="M8" i="140"/>
  <c r="P9" i="140"/>
  <c r="O9" i="140"/>
  <c r="P22" i="140"/>
  <c r="O22" i="140"/>
  <c r="O23" i="140"/>
  <c r="P23" i="140"/>
  <c r="M23" i="140"/>
  <c r="O11" i="140"/>
  <c r="P11" i="140"/>
  <c r="M11" i="140"/>
  <c r="P13" i="140"/>
  <c r="O13" i="140"/>
  <c r="M13" i="140"/>
  <c r="P10" i="140"/>
  <c r="O10" i="140"/>
  <c r="M10" i="140"/>
  <c r="U9" i="140"/>
  <c r="T9" i="140"/>
  <c r="O28" i="140"/>
  <c r="P28" i="140"/>
  <c r="T21" i="140"/>
  <c r="U21" i="140"/>
  <c r="O26" i="140"/>
  <c r="P26" i="140"/>
  <c r="U8" i="140"/>
  <c r="T8" i="140"/>
  <c r="U26" i="140"/>
  <c r="T26" i="140"/>
  <c r="T22" i="140"/>
  <c r="U22" i="140"/>
  <c r="M22" i="140"/>
  <c r="T13" i="140"/>
  <c r="U13" i="140"/>
  <c r="P25" i="140"/>
  <c r="O25" i="140"/>
  <c r="U23" i="140"/>
  <c r="T23" i="140"/>
  <c r="U20" i="140"/>
  <c r="T20" i="140"/>
  <c r="U17" i="140"/>
  <c r="T17" i="140"/>
  <c r="U24" i="140"/>
  <c r="T24" i="140"/>
  <c r="U11" i="140"/>
  <c r="T11" i="140"/>
  <c r="U15" i="140"/>
  <c r="T15" i="140"/>
  <c r="U10" i="140"/>
  <c r="T10" i="140"/>
  <c r="U25" i="140"/>
  <c r="T25" i="140"/>
  <c r="U14" i="140"/>
  <c r="T14" i="140"/>
  <c r="U19" i="140"/>
  <c r="T19" i="140"/>
  <c r="P17" i="140"/>
  <c r="O17" i="140"/>
  <c r="U28" i="140"/>
  <c r="T28" i="140"/>
  <c r="M17" i="140"/>
  <c r="P14" i="140"/>
  <c r="O14" i="140"/>
  <c r="O12" i="140"/>
  <c r="P15" i="140"/>
  <c r="O15" i="140"/>
  <c r="U27" i="140"/>
  <c r="T27" i="140"/>
  <c r="U12" i="140"/>
  <c r="T12" i="140"/>
  <c r="U18" i="140"/>
  <c r="T18" i="140"/>
  <c r="M9" i="140"/>
  <c r="P14" i="141" l="1"/>
  <c r="O14" i="141"/>
  <c r="P22" i="141"/>
  <c r="O22" i="141"/>
  <c r="P10" i="141"/>
  <c r="O10" i="141"/>
  <c r="P9" i="141"/>
  <c r="O9" i="141"/>
  <c r="M14" i="141"/>
  <c r="M10" i="141"/>
  <c r="P27" i="141"/>
  <c r="O27" i="141"/>
  <c r="P17" i="141"/>
  <c r="O17" i="141"/>
  <c r="P11" i="141"/>
  <c r="O11" i="141"/>
  <c r="P26" i="141"/>
  <c r="O26" i="141"/>
  <c r="M9" i="141"/>
  <c r="M27" i="141"/>
  <c r="M11" i="141"/>
  <c r="P25" i="141"/>
  <c r="O25" i="141"/>
  <c r="M22" i="141"/>
  <c r="M12" i="140"/>
  <c r="P24" i="140"/>
  <c r="O24" i="140"/>
  <c r="O19" i="140"/>
  <c r="P19" i="140"/>
  <c r="J28" i="139"/>
  <c r="K28" i="139" s="1"/>
  <c r="D28" i="139"/>
  <c r="E28" i="139" s="1"/>
  <c r="C28" i="139"/>
  <c r="J27" i="139"/>
  <c r="K27" i="139" s="1"/>
  <c r="D27" i="139"/>
  <c r="E27" i="139" s="1"/>
  <c r="C27" i="139"/>
  <c r="J26" i="139"/>
  <c r="K26" i="139" s="1"/>
  <c r="D26" i="139"/>
  <c r="E26" i="139" s="1"/>
  <c r="C26" i="139"/>
  <c r="AC25" i="139"/>
  <c r="J25" i="139"/>
  <c r="K25" i="139" s="1"/>
  <c r="D25" i="139"/>
  <c r="E25" i="139" s="1"/>
  <c r="C25" i="139"/>
  <c r="AC24" i="139"/>
  <c r="J24" i="139"/>
  <c r="K24" i="139" s="1"/>
  <c r="D24" i="139"/>
  <c r="E24" i="139" s="1"/>
  <c r="C24" i="139"/>
  <c r="J23" i="139"/>
  <c r="K23" i="139" s="1"/>
  <c r="D23" i="139"/>
  <c r="E23" i="139" s="1"/>
  <c r="C23" i="139"/>
  <c r="J22" i="139"/>
  <c r="K22" i="139" s="1"/>
  <c r="D22" i="139"/>
  <c r="E22" i="139" s="1"/>
  <c r="C22" i="139"/>
  <c r="Z21" i="139"/>
  <c r="J21" i="139"/>
  <c r="K21" i="139" s="1"/>
  <c r="D21" i="139"/>
  <c r="E21" i="139" s="1"/>
  <c r="C21" i="139"/>
  <c r="J20" i="139"/>
  <c r="K20" i="139" s="1"/>
  <c r="D20" i="139"/>
  <c r="E20" i="139" s="1"/>
  <c r="C20" i="139"/>
  <c r="J19" i="139"/>
  <c r="K19" i="139" s="1"/>
  <c r="D19" i="139"/>
  <c r="E19" i="139" s="1"/>
  <c r="C19" i="139"/>
  <c r="J18" i="139"/>
  <c r="K18" i="139" s="1"/>
  <c r="D18" i="139"/>
  <c r="E18" i="139" s="1"/>
  <c r="C18" i="139"/>
  <c r="Z17" i="139"/>
  <c r="J17" i="139"/>
  <c r="K17" i="139" s="1"/>
  <c r="D17" i="139"/>
  <c r="E17" i="139" s="1"/>
  <c r="C17" i="139"/>
  <c r="Z16" i="139"/>
  <c r="J16" i="139"/>
  <c r="K16" i="139" s="1"/>
  <c r="D16" i="139"/>
  <c r="E16" i="139" s="1"/>
  <c r="C16" i="139"/>
  <c r="J15" i="139"/>
  <c r="K15" i="139" s="1"/>
  <c r="D15" i="139"/>
  <c r="E15" i="139" s="1"/>
  <c r="C15" i="139"/>
  <c r="J14" i="139"/>
  <c r="K14" i="139" s="1"/>
  <c r="D14" i="139"/>
  <c r="E14" i="139" s="1"/>
  <c r="C14" i="139"/>
  <c r="J13" i="139"/>
  <c r="K13" i="139" s="1"/>
  <c r="D13" i="139"/>
  <c r="E13" i="139" s="1"/>
  <c r="C13" i="139"/>
  <c r="J12" i="139"/>
  <c r="K12" i="139" s="1"/>
  <c r="D12" i="139"/>
  <c r="E12" i="139" s="1"/>
  <c r="C12" i="139"/>
  <c r="J11" i="139"/>
  <c r="K11" i="139" s="1"/>
  <c r="D11" i="139"/>
  <c r="E11" i="139" s="1"/>
  <c r="C11" i="139"/>
  <c r="J10" i="139"/>
  <c r="K10" i="139" s="1"/>
  <c r="D10" i="139"/>
  <c r="E10" i="139" s="1"/>
  <c r="C10" i="139"/>
  <c r="D9" i="139"/>
  <c r="E9" i="139" s="1"/>
  <c r="C9" i="139"/>
  <c r="Z8" i="139"/>
  <c r="J8" i="139"/>
  <c r="K8" i="139" s="1"/>
  <c r="D8" i="139"/>
  <c r="E8" i="139" s="1"/>
  <c r="C8" i="139"/>
  <c r="J7" i="139"/>
  <c r="K7" i="139" s="1"/>
  <c r="D7" i="139"/>
  <c r="E7" i="139" s="1"/>
  <c r="C7" i="139"/>
  <c r="J28" i="138"/>
  <c r="K28" i="138" s="1"/>
  <c r="D28" i="138"/>
  <c r="E28" i="138" s="1"/>
  <c r="C28" i="138"/>
  <c r="J27" i="138"/>
  <c r="K27" i="138" s="1"/>
  <c r="D27" i="138"/>
  <c r="E27" i="138" s="1"/>
  <c r="C27" i="138"/>
  <c r="J26" i="138"/>
  <c r="K26" i="138" s="1"/>
  <c r="D26" i="138"/>
  <c r="E26" i="138" s="1"/>
  <c r="C26" i="138"/>
  <c r="AC25" i="138"/>
  <c r="J25" i="138"/>
  <c r="K25" i="138" s="1"/>
  <c r="D25" i="138"/>
  <c r="E25" i="138" s="1"/>
  <c r="C25" i="138"/>
  <c r="AC24" i="138"/>
  <c r="J24" i="138"/>
  <c r="K24" i="138" s="1"/>
  <c r="D24" i="138"/>
  <c r="E24" i="138" s="1"/>
  <c r="C24" i="138"/>
  <c r="J23" i="138"/>
  <c r="K23" i="138" s="1"/>
  <c r="D23" i="138"/>
  <c r="E23" i="138" s="1"/>
  <c r="C23" i="138"/>
  <c r="J22" i="138"/>
  <c r="K22" i="138" s="1"/>
  <c r="D22" i="138"/>
  <c r="E22" i="138" s="1"/>
  <c r="C22" i="138"/>
  <c r="Z21" i="138"/>
  <c r="J21" i="138"/>
  <c r="K21" i="138" s="1"/>
  <c r="D21" i="138"/>
  <c r="E21" i="138" s="1"/>
  <c r="C21" i="138"/>
  <c r="J20" i="138"/>
  <c r="K20" i="138" s="1"/>
  <c r="D20" i="138"/>
  <c r="E20" i="138" s="1"/>
  <c r="C20" i="138"/>
  <c r="J19" i="138"/>
  <c r="K19" i="138" s="1"/>
  <c r="D19" i="138"/>
  <c r="E19" i="138" s="1"/>
  <c r="C19" i="138"/>
  <c r="J18" i="138"/>
  <c r="K18" i="138" s="1"/>
  <c r="D18" i="138"/>
  <c r="E18" i="138" s="1"/>
  <c r="C18" i="138"/>
  <c r="Z17" i="138"/>
  <c r="J17" i="138"/>
  <c r="K17" i="138" s="1"/>
  <c r="D17" i="138"/>
  <c r="E17" i="138" s="1"/>
  <c r="C17" i="138"/>
  <c r="Z16" i="138"/>
  <c r="J16" i="138"/>
  <c r="K16" i="138" s="1"/>
  <c r="D16" i="138"/>
  <c r="E16" i="138" s="1"/>
  <c r="C16" i="138"/>
  <c r="J15" i="138"/>
  <c r="K15" i="138" s="1"/>
  <c r="D15" i="138"/>
  <c r="E15" i="138" s="1"/>
  <c r="C15" i="138"/>
  <c r="J14" i="138"/>
  <c r="K14" i="138" s="1"/>
  <c r="D14" i="138"/>
  <c r="E14" i="138" s="1"/>
  <c r="C14" i="138"/>
  <c r="J13" i="138"/>
  <c r="K13" i="138" s="1"/>
  <c r="D13" i="138"/>
  <c r="E13" i="138" s="1"/>
  <c r="C13" i="138"/>
  <c r="Z12" i="138"/>
  <c r="J12" i="138"/>
  <c r="K12" i="138" s="1"/>
  <c r="D12" i="138"/>
  <c r="E12" i="138" s="1"/>
  <c r="C12" i="138"/>
  <c r="J11" i="138"/>
  <c r="K11" i="138" s="1"/>
  <c r="D11" i="138"/>
  <c r="E11" i="138" s="1"/>
  <c r="C11" i="138"/>
  <c r="J10" i="138"/>
  <c r="K10" i="138" s="1"/>
  <c r="D10" i="138"/>
  <c r="E10" i="138" s="1"/>
  <c r="C10" i="138"/>
  <c r="J9" i="138"/>
  <c r="K9" i="138" s="1"/>
  <c r="D9" i="138"/>
  <c r="E9" i="138" s="1"/>
  <c r="C9" i="138"/>
  <c r="Z8" i="138"/>
  <c r="K8" i="138"/>
  <c r="D8" i="138"/>
  <c r="E8" i="138" s="1"/>
  <c r="C8" i="138"/>
  <c r="J7" i="138"/>
  <c r="K7" i="138" s="1"/>
  <c r="D7" i="138"/>
  <c r="E7" i="138" s="1"/>
  <c r="C7" i="138"/>
  <c r="Z13" i="138" l="1"/>
  <c r="Z22" i="138"/>
  <c r="F14" i="138"/>
  <c r="H14" i="138" s="1"/>
  <c r="F24" i="138"/>
  <c r="F17" i="138"/>
  <c r="F7" i="138"/>
  <c r="L7" i="138" s="1"/>
  <c r="F12" i="138"/>
  <c r="H12" i="138" s="1"/>
  <c r="F26" i="138"/>
  <c r="H26" i="138" s="1"/>
  <c r="U10" i="138"/>
  <c r="F15" i="138"/>
  <c r="H15" i="138" s="1"/>
  <c r="F22" i="138"/>
  <c r="G22" i="138" s="1"/>
  <c r="M22" i="138" s="1"/>
  <c r="F21" i="138"/>
  <c r="H21" i="138" s="1"/>
  <c r="F20" i="138"/>
  <c r="F27" i="138"/>
  <c r="H27" i="138" s="1"/>
  <c r="F28" i="138"/>
  <c r="G28" i="138" s="1"/>
  <c r="M28" i="138" s="1"/>
  <c r="F9" i="138"/>
  <c r="H9" i="138" s="1"/>
  <c r="F19" i="138"/>
  <c r="F10" i="138"/>
  <c r="F8" i="138"/>
  <c r="F13" i="138"/>
  <c r="H13" i="138" s="1"/>
  <c r="F25" i="138"/>
  <c r="H25" i="138" s="1"/>
  <c r="F11" i="138"/>
  <c r="H11" i="138" s="1"/>
  <c r="F16" i="138"/>
  <c r="G16" i="138" s="1"/>
  <c r="F18" i="138"/>
  <c r="H18" i="138" s="1"/>
  <c r="F23" i="138"/>
  <c r="F9" i="139"/>
  <c r="H9" i="139" s="1"/>
  <c r="F7" i="139"/>
  <c r="F12" i="139"/>
  <c r="H12" i="139" s="1"/>
  <c r="F10" i="139"/>
  <c r="H10" i="139" s="1"/>
  <c r="F17" i="139"/>
  <c r="H17" i="139" s="1"/>
  <c r="F14" i="139"/>
  <c r="G14" i="139" s="1"/>
  <c r="F19" i="139"/>
  <c r="H19" i="139" s="1"/>
  <c r="F28" i="139"/>
  <c r="G28" i="139" s="1"/>
  <c r="F13" i="139"/>
  <c r="H13" i="139" s="1"/>
  <c r="F15" i="139"/>
  <c r="G15" i="139" s="1"/>
  <c r="M15" i="139" s="1"/>
  <c r="F24" i="139"/>
  <c r="G24" i="139" s="1"/>
  <c r="F26" i="139"/>
  <c r="G26" i="139" s="1"/>
  <c r="F8" i="139"/>
  <c r="H8" i="139" s="1"/>
  <c r="F20" i="139"/>
  <c r="H20" i="139" s="1"/>
  <c r="F22" i="139"/>
  <c r="H22" i="139" s="1"/>
  <c r="F11" i="139"/>
  <c r="H11" i="139" s="1"/>
  <c r="F16" i="139"/>
  <c r="G16" i="139" s="1"/>
  <c r="M16" i="139" s="1"/>
  <c r="F18" i="139"/>
  <c r="H18" i="139" s="1"/>
  <c r="F27" i="139"/>
  <c r="G27" i="139" s="1"/>
  <c r="F21" i="139"/>
  <c r="H21" i="139" s="1"/>
  <c r="F23" i="139"/>
  <c r="H23" i="139" s="1"/>
  <c r="F25" i="139"/>
  <c r="G25" i="139" s="1"/>
  <c r="M25" i="139" s="1"/>
  <c r="U23" i="139"/>
  <c r="Z22" i="139"/>
  <c r="AA12" i="139"/>
  <c r="H7" i="139"/>
  <c r="G7" i="139"/>
  <c r="H15" i="139"/>
  <c r="G12" i="139"/>
  <c r="M12" i="139" s="1"/>
  <c r="U13" i="138"/>
  <c r="W13" i="138" s="1"/>
  <c r="G15" i="138"/>
  <c r="H16" i="138"/>
  <c r="H20" i="138"/>
  <c r="G20" i="138"/>
  <c r="G17" i="138"/>
  <c r="H17" i="138"/>
  <c r="U14" i="138"/>
  <c r="U15" i="138"/>
  <c r="U16" i="138"/>
  <c r="AA12" i="138"/>
  <c r="U17" i="138"/>
  <c r="U18" i="138"/>
  <c r="U19" i="138"/>
  <c r="U20" i="138"/>
  <c r="U21" i="138"/>
  <c r="U23" i="138"/>
  <c r="U24" i="138"/>
  <c r="G25" i="138"/>
  <c r="U25" i="138"/>
  <c r="U22" i="138"/>
  <c r="U8" i="138"/>
  <c r="G10" i="138"/>
  <c r="G11" i="138"/>
  <c r="U9" i="138"/>
  <c r="U11" i="138"/>
  <c r="U12" i="138"/>
  <c r="U7" i="138"/>
  <c r="U26" i="138"/>
  <c r="U27" i="138"/>
  <c r="U28" i="138"/>
  <c r="J28" i="137"/>
  <c r="K28" i="137" s="1"/>
  <c r="D28" i="137"/>
  <c r="E28" i="137" s="1"/>
  <c r="F28" i="137" s="1"/>
  <c r="C28" i="137"/>
  <c r="J27" i="137"/>
  <c r="K27" i="137" s="1"/>
  <c r="D27" i="137"/>
  <c r="E27" i="137" s="1"/>
  <c r="F27" i="137" s="1"/>
  <c r="C27" i="137"/>
  <c r="J26" i="137"/>
  <c r="K26" i="137" s="1"/>
  <c r="D26" i="137"/>
  <c r="E26" i="137" s="1"/>
  <c r="F26" i="137" s="1"/>
  <c r="C26" i="137"/>
  <c r="AA25" i="137"/>
  <c r="J25" i="137"/>
  <c r="K25" i="137" s="1"/>
  <c r="D25" i="137"/>
  <c r="E25" i="137" s="1"/>
  <c r="F25" i="137" s="1"/>
  <c r="C25" i="137"/>
  <c r="AA24" i="137"/>
  <c r="J24" i="137"/>
  <c r="K24" i="137" s="1"/>
  <c r="D24" i="137"/>
  <c r="E24" i="137" s="1"/>
  <c r="F24" i="137" s="1"/>
  <c r="C24" i="137"/>
  <c r="J23" i="137"/>
  <c r="K23" i="137" s="1"/>
  <c r="E23" i="137"/>
  <c r="F23" i="137" s="1"/>
  <c r="D23" i="137"/>
  <c r="C23" i="137"/>
  <c r="X22" i="137"/>
  <c r="J22" i="137"/>
  <c r="K22" i="137" s="1"/>
  <c r="D22" i="137"/>
  <c r="E22" i="137" s="1"/>
  <c r="F22" i="137" s="1"/>
  <c r="C22" i="137"/>
  <c r="X21" i="137"/>
  <c r="J21" i="137"/>
  <c r="K21" i="137" s="1"/>
  <c r="D21" i="137"/>
  <c r="E21" i="137" s="1"/>
  <c r="F21" i="137" s="1"/>
  <c r="C21" i="137"/>
  <c r="J20" i="137"/>
  <c r="K20" i="137" s="1"/>
  <c r="D20" i="137"/>
  <c r="E20" i="137" s="1"/>
  <c r="F20" i="137" s="1"/>
  <c r="C20" i="137"/>
  <c r="J19" i="137"/>
  <c r="K19" i="137" s="1"/>
  <c r="D19" i="137"/>
  <c r="E19" i="137" s="1"/>
  <c r="F19" i="137" s="1"/>
  <c r="C19" i="137"/>
  <c r="J18" i="137"/>
  <c r="K18" i="137" s="1"/>
  <c r="D18" i="137"/>
  <c r="E18" i="137" s="1"/>
  <c r="F18" i="137" s="1"/>
  <c r="C18" i="137"/>
  <c r="X17" i="137"/>
  <c r="X13" i="137" s="1"/>
  <c r="J17" i="137"/>
  <c r="K17" i="137" s="1"/>
  <c r="D17" i="137"/>
  <c r="E17" i="137" s="1"/>
  <c r="C17" i="137"/>
  <c r="X16" i="137"/>
  <c r="J16" i="137"/>
  <c r="K16" i="137" s="1"/>
  <c r="D16" i="137"/>
  <c r="E16" i="137" s="1"/>
  <c r="F16" i="137" s="1"/>
  <c r="C16" i="137"/>
  <c r="J15" i="137"/>
  <c r="K15" i="137" s="1"/>
  <c r="D15" i="137"/>
  <c r="E15" i="137" s="1"/>
  <c r="F15" i="137" s="1"/>
  <c r="C15" i="137"/>
  <c r="J14" i="137"/>
  <c r="K14" i="137" s="1"/>
  <c r="D14" i="137"/>
  <c r="E14" i="137" s="1"/>
  <c r="F14" i="137" s="1"/>
  <c r="C14" i="137"/>
  <c r="J13" i="137"/>
  <c r="K13" i="137" s="1"/>
  <c r="D13" i="137"/>
  <c r="E13" i="137" s="1"/>
  <c r="F13" i="137" s="1"/>
  <c r="C13" i="137"/>
  <c r="Y12" i="137"/>
  <c r="X12" i="137"/>
  <c r="J12" i="137"/>
  <c r="K12" i="137" s="1"/>
  <c r="D12" i="137"/>
  <c r="E12" i="137" s="1"/>
  <c r="F12" i="137" s="1"/>
  <c r="C12" i="137"/>
  <c r="J11" i="137"/>
  <c r="K11" i="137" s="1"/>
  <c r="D11" i="137"/>
  <c r="E11" i="137" s="1"/>
  <c r="F11" i="137" s="1"/>
  <c r="C11" i="137"/>
  <c r="J10" i="137"/>
  <c r="K10" i="137" s="1"/>
  <c r="D10" i="137"/>
  <c r="E10" i="137" s="1"/>
  <c r="F10" i="137" s="1"/>
  <c r="C10" i="137"/>
  <c r="J9" i="137"/>
  <c r="K9" i="137" s="1"/>
  <c r="D9" i="137"/>
  <c r="E9" i="137" s="1"/>
  <c r="F9" i="137" s="1"/>
  <c r="C9" i="137"/>
  <c r="X8" i="137"/>
  <c r="K8" i="137"/>
  <c r="E8" i="137"/>
  <c r="F8" i="137" s="1"/>
  <c r="D8" i="137"/>
  <c r="C8" i="137"/>
  <c r="J7" i="137"/>
  <c r="K7" i="137" s="1"/>
  <c r="D7" i="137"/>
  <c r="E7" i="137" s="1"/>
  <c r="F7" i="137" s="1"/>
  <c r="C7" i="137"/>
  <c r="J28" i="136"/>
  <c r="K28" i="136" s="1"/>
  <c r="D28" i="136"/>
  <c r="E28" i="136" s="1"/>
  <c r="C28" i="136"/>
  <c r="J27" i="136"/>
  <c r="K27" i="136" s="1"/>
  <c r="D27" i="136"/>
  <c r="E27" i="136" s="1"/>
  <c r="C27" i="136"/>
  <c r="J26" i="136"/>
  <c r="K26" i="136" s="1"/>
  <c r="D26" i="136"/>
  <c r="E26" i="136" s="1"/>
  <c r="C26" i="136"/>
  <c r="AC25" i="136"/>
  <c r="J25" i="136"/>
  <c r="K25" i="136" s="1"/>
  <c r="D25" i="136"/>
  <c r="E25" i="136" s="1"/>
  <c r="C25" i="136"/>
  <c r="AC24" i="136"/>
  <c r="J24" i="136"/>
  <c r="K24" i="136" s="1"/>
  <c r="D24" i="136"/>
  <c r="E24" i="136" s="1"/>
  <c r="C24" i="136"/>
  <c r="J23" i="136"/>
  <c r="K23" i="136" s="1"/>
  <c r="D23" i="136"/>
  <c r="E23" i="136" s="1"/>
  <c r="C23" i="136"/>
  <c r="J22" i="136"/>
  <c r="K22" i="136" s="1"/>
  <c r="D22" i="136"/>
  <c r="E22" i="136" s="1"/>
  <c r="C22" i="136"/>
  <c r="Z21" i="136"/>
  <c r="J21" i="136"/>
  <c r="K21" i="136" s="1"/>
  <c r="D21" i="136"/>
  <c r="E21" i="136" s="1"/>
  <c r="C21" i="136"/>
  <c r="J20" i="136"/>
  <c r="K20" i="136" s="1"/>
  <c r="D20" i="136"/>
  <c r="E20" i="136" s="1"/>
  <c r="C20" i="136"/>
  <c r="J19" i="136"/>
  <c r="K19" i="136" s="1"/>
  <c r="D19" i="136"/>
  <c r="E19" i="136" s="1"/>
  <c r="C19" i="136"/>
  <c r="J18" i="136"/>
  <c r="K18" i="136" s="1"/>
  <c r="D18" i="136"/>
  <c r="E18" i="136" s="1"/>
  <c r="C18" i="136"/>
  <c r="Z17" i="136"/>
  <c r="J17" i="136"/>
  <c r="K17" i="136" s="1"/>
  <c r="D17" i="136"/>
  <c r="E17" i="136" s="1"/>
  <c r="C17" i="136"/>
  <c r="Z16" i="136"/>
  <c r="J16" i="136"/>
  <c r="K16" i="136" s="1"/>
  <c r="D16" i="136"/>
  <c r="E16" i="136" s="1"/>
  <c r="C16" i="136"/>
  <c r="J15" i="136"/>
  <c r="K15" i="136" s="1"/>
  <c r="D15" i="136"/>
  <c r="E15" i="136" s="1"/>
  <c r="C15" i="136"/>
  <c r="J14" i="136"/>
  <c r="K14" i="136" s="1"/>
  <c r="D14" i="136"/>
  <c r="E14" i="136" s="1"/>
  <c r="F14" i="136" s="1"/>
  <c r="C14" i="136"/>
  <c r="J13" i="136"/>
  <c r="K13" i="136" s="1"/>
  <c r="D13" i="136"/>
  <c r="E13" i="136" s="1"/>
  <c r="F13" i="136" s="1"/>
  <c r="C13" i="136"/>
  <c r="Z12" i="136"/>
  <c r="J12" i="136"/>
  <c r="K12" i="136" s="1"/>
  <c r="D12" i="136"/>
  <c r="E12" i="136" s="1"/>
  <c r="C12" i="136"/>
  <c r="J11" i="136"/>
  <c r="K11" i="136" s="1"/>
  <c r="D11" i="136"/>
  <c r="E11" i="136" s="1"/>
  <c r="C11" i="136"/>
  <c r="J10" i="136"/>
  <c r="K10" i="136" s="1"/>
  <c r="D10" i="136"/>
  <c r="E10" i="136" s="1"/>
  <c r="C10" i="136"/>
  <c r="J9" i="136"/>
  <c r="K9" i="136" s="1"/>
  <c r="D9" i="136"/>
  <c r="E9" i="136" s="1"/>
  <c r="C9" i="136"/>
  <c r="Z8" i="136"/>
  <c r="J8" i="136"/>
  <c r="K8" i="136" s="1"/>
  <c r="D8" i="136"/>
  <c r="E8" i="136" s="1"/>
  <c r="F8" i="136" s="1"/>
  <c r="C8" i="136"/>
  <c r="J7" i="136"/>
  <c r="K7" i="136" s="1"/>
  <c r="D7" i="136"/>
  <c r="E7" i="136" s="1"/>
  <c r="C7" i="136"/>
  <c r="J28" i="135"/>
  <c r="K28" i="135" s="1"/>
  <c r="N28" i="135" s="1"/>
  <c r="N28" i="142" s="1"/>
  <c r="D28" i="135"/>
  <c r="E28" i="135" s="1"/>
  <c r="C28" i="135"/>
  <c r="J27" i="135"/>
  <c r="K27" i="135" s="1"/>
  <c r="N27" i="135" s="1"/>
  <c r="N27" i="142" s="1"/>
  <c r="D27" i="135"/>
  <c r="E27" i="135" s="1"/>
  <c r="C27" i="135"/>
  <c r="J26" i="135"/>
  <c r="K26" i="135" s="1"/>
  <c r="N26" i="135" s="1"/>
  <c r="N26" i="142" s="1"/>
  <c r="D26" i="135"/>
  <c r="E26" i="135" s="1"/>
  <c r="C26" i="135"/>
  <c r="AC25" i="135"/>
  <c r="J25" i="135"/>
  <c r="K25" i="135" s="1"/>
  <c r="N25" i="135" s="1"/>
  <c r="N25" i="142" s="1"/>
  <c r="D25" i="135"/>
  <c r="E25" i="135" s="1"/>
  <c r="C25" i="135"/>
  <c r="AC24" i="135"/>
  <c r="J24" i="135"/>
  <c r="K24" i="135" s="1"/>
  <c r="N24" i="135" s="1"/>
  <c r="N24" i="142" s="1"/>
  <c r="D24" i="135"/>
  <c r="E24" i="135" s="1"/>
  <c r="C24" i="135"/>
  <c r="J23" i="135"/>
  <c r="K23" i="135" s="1"/>
  <c r="N23" i="135" s="1"/>
  <c r="N23" i="142" s="1"/>
  <c r="D23" i="135"/>
  <c r="E23" i="135" s="1"/>
  <c r="C23" i="135"/>
  <c r="J22" i="135"/>
  <c r="K22" i="135" s="1"/>
  <c r="N22" i="135" s="1"/>
  <c r="N22" i="142" s="1"/>
  <c r="D22" i="135"/>
  <c r="E22" i="135" s="1"/>
  <c r="C22" i="135"/>
  <c r="Z21" i="135"/>
  <c r="Z22" i="135" s="1"/>
  <c r="J21" i="135"/>
  <c r="K21" i="135" s="1"/>
  <c r="N21" i="135" s="1"/>
  <c r="N21" i="142" s="1"/>
  <c r="D21" i="135"/>
  <c r="E21" i="135" s="1"/>
  <c r="C21" i="135"/>
  <c r="J20" i="135"/>
  <c r="K20" i="135" s="1"/>
  <c r="N20" i="135" s="1"/>
  <c r="N20" i="142" s="1"/>
  <c r="D20" i="135"/>
  <c r="E20" i="135" s="1"/>
  <c r="C20" i="135"/>
  <c r="J19" i="135"/>
  <c r="K19" i="135" s="1"/>
  <c r="N19" i="135" s="1"/>
  <c r="N19" i="142" s="1"/>
  <c r="D19" i="135"/>
  <c r="E19" i="135" s="1"/>
  <c r="C19" i="135"/>
  <c r="J18" i="135"/>
  <c r="K18" i="135" s="1"/>
  <c r="D18" i="135"/>
  <c r="E18" i="135" s="1"/>
  <c r="C18" i="135"/>
  <c r="Z17" i="135"/>
  <c r="J17" i="135"/>
  <c r="K17" i="135" s="1"/>
  <c r="N17" i="135" s="1"/>
  <c r="N17" i="142" s="1"/>
  <c r="D17" i="135"/>
  <c r="E17" i="135" s="1"/>
  <c r="C17" i="135"/>
  <c r="J16" i="135"/>
  <c r="K16" i="135" s="1"/>
  <c r="N16" i="135" s="1"/>
  <c r="N16" i="142" s="1"/>
  <c r="D16" i="135"/>
  <c r="E16" i="135" s="1"/>
  <c r="C16" i="135"/>
  <c r="J15" i="135"/>
  <c r="K15" i="135" s="1"/>
  <c r="N15" i="135" s="1"/>
  <c r="N15" i="142" s="1"/>
  <c r="D15" i="135"/>
  <c r="E15" i="135" s="1"/>
  <c r="C15" i="135"/>
  <c r="J14" i="135"/>
  <c r="K14" i="135" s="1"/>
  <c r="N14" i="135" s="1"/>
  <c r="D14" i="135"/>
  <c r="E14" i="135" s="1"/>
  <c r="C14" i="135"/>
  <c r="J13" i="135"/>
  <c r="K13" i="135" s="1"/>
  <c r="N13" i="135" s="1"/>
  <c r="N13" i="142" s="1"/>
  <c r="D13" i="135"/>
  <c r="E13" i="135" s="1"/>
  <c r="C13" i="135"/>
  <c r="J12" i="135"/>
  <c r="K12" i="135" s="1"/>
  <c r="N12" i="135" s="1"/>
  <c r="N12" i="142" s="1"/>
  <c r="D12" i="135"/>
  <c r="E12" i="135" s="1"/>
  <c r="C12" i="135"/>
  <c r="J11" i="135"/>
  <c r="K11" i="135" s="1"/>
  <c r="N11" i="135" s="1"/>
  <c r="N11" i="142" s="1"/>
  <c r="D11" i="135"/>
  <c r="E11" i="135" s="1"/>
  <c r="C11" i="135"/>
  <c r="J10" i="135"/>
  <c r="K10" i="135" s="1"/>
  <c r="N10" i="135" s="1"/>
  <c r="N10" i="142" s="1"/>
  <c r="D10" i="135"/>
  <c r="E10" i="135" s="1"/>
  <c r="C10" i="135"/>
  <c r="J9" i="135"/>
  <c r="K9" i="135" s="1"/>
  <c r="N9" i="135" s="1"/>
  <c r="N9" i="142" s="1"/>
  <c r="D9" i="135"/>
  <c r="E9" i="135" s="1"/>
  <c r="C9" i="135"/>
  <c r="Z8" i="135"/>
  <c r="J8" i="135"/>
  <c r="K8" i="135" s="1"/>
  <c r="D8" i="135"/>
  <c r="E8" i="135" s="1"/>
  <c r="C8" i="135"/>
  <c r="J7" i="135"/>
  <c r="K7" i="135" s="1"/>
  <c r="D7" i="135"/>
  <c r="E7" i="135" s="1"/>
  <c r="F7" i="135" s="1"/>
  <c r="C7" i="135"/>
  <c r="O14" i="135" l="1"/>
  <c r="O14" i="142" s="1"/>
  <c r="N14" i="142"/>
  <c r="F7" i="136"/>
  <c r="F12" i="136"/>
  <c r="F10" i="136"/>
  <c r="F25" i="136"/>
  <c r="F11" i="136"/>
  <c r="F16" i="136"/>
  <c r="H16" i="136" s="1"/>
  <c r="F18" i="136"/>
  <c r="H18" i="136" s="1"/>
  <c r="F23" i="136"/>
  <c r="G23" i="136" s="1"/>
  <c r="F28" i="136"/>
  <c r="F26" i="136"/>
  <c r="F24" i="136"/>
  <c r="H24" i="136" s="1"/>
  <c r="F15" i="136"/>
  <c r="F22" i="136"/>
  <c r="H22" i="136" s="1"/>
  <c r="F27" i="136"/>
  <c r="G12" i="138"/>
  <c r="G9" i="138"/>
  <c r="G26" i="138"/>
  <c r="H8" i="138"/>
  <c r="G14" i="138"/>
  <c r="H24" i="138"/>
  <c r="G18" i="138"/>
  <c r="P18" i="138" s="1"/>
  <c r="H28" i="138"/>
  <c r="G23" i="138"/>
  <c r="P23" i="138" s="1"/>
  <c r="G19" i="138"/>
  <c r="O19" i="138" s="1"/>
  <c r="H23" i="138"/>
  <c r="H19" i="138"/>
  <c r="V13" i="138"/>
  <c r="G8" i="138"/>
  <c r="P8" i="138" s="1"/>
  <c r="G27" i="138"/>
  <c r="O27" i="138" s="1"/>
  <c r="G7" i="138"/>
  <c r="G13" i="138"/>
  <c r="M13" i="138" s="1"/>
  <c r="G24" i="138"/>
  <c r="H10" i="138"/>
  <c r="P10" i="138"/>
  <c r="G21" i="138"/>
  <c r="P21" i="138" s="1"/>
  <c r="H7" i="138"/>
  <c r="H22" i="138"/>
  <c r="H28" i="139"/>
  <c r="G11" i="139"/>
  <c r="G10" i="139"/>
  <c r="M10" i="139" s="1"/>
  <c r="H26" i="139"/>
  <c r="H24" i="139"/>
  <c r="G18" i="139"/>
  <c r="G13" i="139"/>
  <c r="U20" i="139"/>
  <c r="V20" i="139" s="1"/>
  <c r="F12" i="135"/>
  <c r="F27" i="135"/>
  <c r="F17" i="135"/>
  <c r="F10" i="135"/>
  <c r="F14" i="135"/>
  <c r="F15" i="135"/>
  <c r="F22" i="135"/>
  <c r="F8" i="135"/>
  <c r="F13" i="135"/>
  <c r="F25" i="135"/>
  <c r="F16" i="135"/>
  <c r="F23" i="135"/>
  <c r="F11" i="135"/>
  <c r="F28" i="135"/>
  <c r="F9" i="135"/>
  <c r="F24" i="135"/>
  <c r="F26" i="135"/>
  <c r="G19" i="139"/>
  <c r="M19" i="139" s="1"/>
  <c r="G17" i="139"/>
  <c r="O17" i="139" s="1"/>
  <c r="H27" i="139"/>
  <c r="G20" i="139"/>
  <c r="O20" i="139" s="1"/>
  <c r="G21" i="139"/>
  <c r="M21" i="139" s="1"/>
  <c r="H14" i="139"/>
  <c r="G23" i="139"/>
  <c r="M23" i="139" s="1"/>
  <c r="H25" i="139"/>
  <c r="G22" i="139"/>
  <c r="M22" i="139" s="1"/>
  <c r="H16" i="139"/>
  <c r="U21" i="139"/>
  <c r="W21" i="139" s="1"/>
  <c r="U22" i="139"/>
  <c r="V22" i="139" s="1"/>
  <c r="P13" i="139"/>
  <c r="U25" i="139"/>
  <c r="W25" i="139" s="1"/>
  <c r="U10" i="139"/>
  <c r="W10" i="139" s="1"/>
  <c r="P25" i="139"/>
  <c r="U16" i="139"/>
  <c r="W16" i="139" s="1"/>
  <c r="L7" i="139"/>
  <c r="U24" i="139"/>
  <c r="W24" i="139" s="1"/>
  <c r="U14" i="139"/>
  <c r="W14" i="139" s="1"/>
  <c r="P15" i="139"/>
  <c r="U15" i="139"/>
  <c r="V15" i="139" s="1"/>
  <c r="U11" i="139"/>
  <c r="W11" i="139" s="1"/>
  <c r="U9" i="139"/>
  <c r="V9" i="139" s="1"/>
  <c r="U17" i="139"/>
  <c r="W17" i="139" s="1"/>
  <c r="U26" i="139"/>
  <c r="V26" i="139" s="1"/>
  <c r="U12" i="139"/>
  <c r="W12" i="139" s="1"/>
  <c r="U8" i="139"/>
  <c r="W8" i="139" s="1"/>
  <c r="P16" i="139"/>
  <c r="P14" i="139"/>
  <c r="U18" i="139"/>
  <c r="W18" i="139" s="1"/>
  <c r="U27" i="139"/>
  <c r="V27" i="139" s="1"/>
  <c r="U7" i="139"/>
  <c r="P11" i="139"/>
  <c r="P24" i="139"/>
  <c r="U19" i="139"/>
  <c r="V19" i="139" s="1"/>
  <c r="U28" i="139"/>
  <c r="V28" i="139" s="1"/>
  <c r="U13" i="139"/>
  <c r="W13" i="139" s="1"/>
  <c r="P9" i="139"/>
  <c r="O15" i="139"/>
  <c r="O28" i="139"/>
  <c r="P28" i="139"/>
  <c r="M28" i="139"/>
  <c r="O13" i="139"/>
  <c r="O18" i="139"/>
  <c r="M27" i="139"/>
  <c r="O24" i="139"/>
  <c r="M24" i="139"/>
  <c r="O14" i="139"/>
  <c r="M14" i="139"/>
  <c r="W23" i="139"/>
  <c r="V23" i="139"/>
  <c r="W9" i="139"/>
  <c r="M13" i="139"/>
  <c r="O16" i="139"/>
  <c r="O25" i="139"/>
  <c r="O12" i="139"/>
  <c r="P12" i="139"/>
  <c r="M23" i="138"/>
  <c r="M11" i="138"/>
  <c r="O12" i="138"/>
  <c r="P12" i="138"/>
  <c r="P25" i="138"/>
  <c r="O25" i="138"/>
  <c r="M25" i="138"/>
  <c r="O17" i="138"/>
  <c r="P17" i="138"/>
  <c r="M17" i="138"/>
  <c r="O20" i="138"/>
  <c r="P20" i="138"/>
  <c r="M20" i="138"/>
  <c r="P15" i="138"/>
  <c r="O15" i="138"/>
  <c r="M15" i="138"/>
  <c r="O10" i="138"/>
  <c r="P16" i="138"/>
  <c r="O16" i="138"/>
  <c r="W11" i="138"/>
  <c r="V11" i="138"/>
  <c r="W16" i="138"/>
  <c r="V16" i="138"/>
  <c r="M16" i="138"/>
  <c r="V27" i="138"/>
  <c r="W27" i="138"/>
  <c r="M14" i="138"/>
  <c r="W23" i="138"/>
  <c r="V23" i="138"/>
  <c r="M10" i="138"/>
  <c r="W25" i="138"/>
  <c r="V25" i="138"/>
  <c r="M24" i="138"/>
  <c r="M12" i="138"/>
  <c r="V26" i="138"/>
  <c r="W26" i="138"/>
  <c r="W12" i="138"/>
  <c r="V12" i="138"/>
  <c r="P26" i="138"/>
  <c r="O26" i="138"/>
  <c r="O23" i="138"/>
  <c r="W10" i="138"/>
  <c r="V10" i="138"/>
  <c r="P28" i="138"/>
  <c r="O28" i="138"/>
  <c r="M26" i="138"/>
  <c r="W15" i="138"/>
  <c r="V15" i="138"/>
  <c r="W9" i="138"/>
  <c r="V9" i="138"/>
  <c r="W22" i="138"/>
  <c r="V22" i="138"/>
  <c r="V21" i="138"/>
  <c r="W21" i="138"/>
  <c r="V17" i="138"/>
  <c r="W17" i="138"/>
  <c r="W14" i="138"/>
  <c r="V14" i="138"/>
  <c r="W8" i="138"/>
  <c r="V8" i="138"/>
  <c r="V20" i="138"/>
  <c r="W20" i="138"/>
  <c r="W19" i="138"/>
  <c r="V19" i="138"/>
  <c r="P22" i="138"/>
  <c r="O22" i="138"/>
  <c r="W28" i="138"/>
  <c r="V28" i="138"/>
  <c r="W24" i="138"/>
  <c r="V24" i="138"/>
  <c r="W18" i="138"/>
  <c r="V18" i="138"/>
  <c r="F17" i="137"/>
  <c r="H17" i="137" s="1"/>
  <c r="H28" i="137"/>
  <c r="G28" i="137"/>
  <c r="N28" i="137" s="1"/>
  <c r="L28" i="137"/>
  <c r="L12" i="137"/>
  <c r="H12" i="137"/>
  <c r="G12" i="137"/>
  <c r="L10" i="137"/>
  <c r="H10" i="137"/>
  <c r="G10" i="137"/>
  <c r="S16" i="137"/>
  <c r="L18" i="137"/>
  <c r="H18" i="137"/>
  <c r="G18" i="137"/>
  <c r="L20" i="137"/>
  <c r="H20" i="137"/>
  <c r="G20" i="137"/>
  <c r="N20" i="137" s="1"/>
  <c r="L22" i="137"/>
  <c r="H22" i="137"/>
  <c r="G22" i="137"/>
  <c r="H14" i="137"/>
  <c r="G14" i="137"/>
  <c r="N14" i="137" s="1"/>
  <c r="L14" i="137"/>
  <c r="N18" i="137"/>
  <c r="N22" i="137"/>
  <c r="H27" i="137"/>
  <c r="G27" i="137"/>
  <c r="L27" i="137"/>
  <c r="S13" i="137"/>
  <c r="S7" i="137"/>
  <c r="S17" i="137"/>
  <c r="H26" i="137"/>
  <c r="G26" i="137"/>
  <c r="L26" i="137"/>
  <c r="L8" i="137"/>
  <c r="H8" i="137"/>
  <c r="G8" i="137"/>
  <c r="N8" i="137" s="1"/>
  <c r="M8" i="137" s="1"/>
  <c r="L25" i="137"/>
  <c r="H25" i="137"/>
  <c r="G25" i="137"/>
  <c r="G17" i="137"/>
  <c r="N17" i="137" s="1"/>
  <c r="L17" i="137"/>
  <c r="H15" i="137"/>
  <c r="G15" i="137"/>
  <c r="N15" i="137" s="1"/>
  <c r="L15" i="137"/>
  <c r="L24" i="137"/>
  <c r="H24" i="137"/>
  <c r="G24" i="137"/>
  <c r="N24" i="137" s="1"/>
  <c r="N27" i="137"/>
  <c r="M27" i="137" s="1"/>
  <c r="H16" i="137"/>
  <c r="G16" i="137"/>
  <c r="N16" i="137" s="1"/>
  <c r="M16" i="137" s="1"/>
  <c r="L16" i="137"/>
  <c r="L23" i="137"/>
  <c r="H23" i="137"/>
  <c r="G23" i="137"/>
  <c r="N26" i="137"/>
  <c r="N12" i="137"/>
  <c r="L7" i="137"/>
  <c r="G7" i="137"/>
  <c r="H7" i="137"/>
  <c r="L11" i="137"/>
  <c r="H11" i="137"/>
  <c r="G11" i="137"/>
  <c r="N11" i="137" s="1"/>
  <c r="H13" i="137"/>
  <c r="G13" i="137"/>
  <c r="N13" i="137" s="1"/>
  <c r="L13" i="137"/>
  <c r="L9" i="137"/>
  <c r="H9" i="137"/>
  <c r="G9" i="137"/>
  <c r="N9" i="137" s="1"/>
  <c r="L19" i="137"/>
  <c r="H19" i="137"/>
  <c r="G19" i="137"/>
  <c r="N19" i="137" s="1"/>
  <c r="L21" i="137"/>
  <c r="H21" i="137"/>
  <c r="G21" i="137"/>
  <c r="N21" i="137" s="1"/>
  <c r="S18" i="137"/>
  <c r="S19" i="137"/>
  <c r="S20" i="137"/>
  <c r="S21" i="137"/>
  <c r="S22" i="137"/>
  <c r="S23" i="137"/>
  <c r="S24" i="137"/>
  <c r="S8" i="137"/>
  <c r="S9" i="137"/>
  <c r="S10" i="137"/>
  <c r="S11" i="137"/>
  <c r="S12" i="137"/>
  <c r="S25" i="137"/>
  <c r="S26" i="137"/>
  <c r="S27" i="137"/>
  <c r="S28" i="137"/>
  <c r="S14" i="137"/>
  <c r="S15" i="137"/>
  <c r="F21" i="136"/>
  <c r="H13" i="136"/>
  <c r="G13" i="136"/>
  <c r="G16" i="136"/>
  <c r="H10" i="136"/>
  <c r="G10" i="136"/>
  <c r="H12" i="136"/>
  <c r="G12" i="136"/>
  <c r="G14" i="136"/>
  <c r="H14" i="136"/>
  <c r="H27" i="136"/>
  <c r="G27" i="136"/>
  <c r="H25" i="136"/>
  <c r="G25" i="136"/>
  <c r="H8" i="136"/>
  <c r="G8" i="136"/>
  <c r="G18" i="136"/>
  <c r="G24" i="136"/>
  <c r="M13" i="136"/>
  <c r="G22" i="136"/>
  <c r="U14" i="136"/>
  <c r="H15" i="136"/>
  <c r="G15" i="136"/>
  <c r="H7" i="136"/>
  <c r="G7" i="136"/>
  <c r="H9" i="136"/>
  <c r="G9" i="136"/>
  <c r="H11" i="136"/>
  <c r="G11" i="136"/>
  <c r="H26" i="136"/>
  <c r="G26" i="136"/>
  <c r="H28" i="136"/>
  <c r="G28" i="136"/>
  <c r="AA12" i="136"/>
  <c r="U15" i="136"/>
  <c r="F19" i="136"/>
  <c r="U17" i="136"/>
  <c r="U18" i="136"/>
  <c r="U19" i="136"/>
  <c r="U20" i="136"/>
  <c r="U23" i="136"/>
  <c r="U24" i="136"/>
  <c r="U8" i="136"/>
  <c r="U9" i="136"/>
  <c r="U10" i="136"/>
  <c r="U11" i="136"/>
  <c r="U25" i="136"/>
  <c r="U7" i="136"/>
  <c r="Z22" i="136"/>
  <c r="U26" i="136"/>
  <c r="U27" i="136"/>
  <c r="U28" i="136"/>
  <c r="U13" i="136"/>
  <c r="F17" i="136"/>
  <c r="F20" i="136"/>
  <c r="Z13" i="135"/>
  <c r="U22" i="135" s="1"/>
  <c r="F19" i="135"/>
  <c r="H10" i="135"/>
  <c r="G14" i="135"/>
  <c r="H14" i="135"/>
  <c r="H27" i="135"/>
  <c r="G27" i="135"/>
  <c r="H12" i="135"/>
  <c r="G12" i="135"/>
  <c r="H23" i="135"/>
  <c r="H9" i="135"/>
  <c r="G9" i="135"/>
  <c r="G17" i="135"/>
  <c r="G22" i="135"/>
  <c r="H24" i="135"/>
  <c r="G24" i="135"/>
  <c r="H7" i="135"/>
  <c r="G7" i="135"/>
  <c r="H26" i="135"/>
  <c r="G26" i="135"/>
  <c r="U14" i="135"/>
  <c r="F18" i="135"/>
  <c r="F20" i="135"/>
  <c r="F21" i="135"/>
  <c r="U20" i="135"/>
  <c r="F4" i="108"/>
  <c r="G8" i="135" l="1"/>
  <c r="N8" i="135" s="1"/>
  <c r="N8" i="142" s="1"/>
  <c r="L8" i="135"/>
  <c r="L8" i="142" s="1"/>
  <c r="H8" i="135"/>
  <c r="U8" i="135"/>
  <c r="W8" i="135" s="1"/>
  <c r="L10" i="135"/>
  <c r="L10" i="142" s="1"/>
  <c r="L18" i="135"/>
  <c r="L18" i="142" s="1"/>
  <c r="L26" i="135"/>
  <c r="L26" i="142" s="1"/>
  <c r="L11" i="135"/>
  <c r="L11" i="142" s="1"/>
  <c r="L19" i="135"/>
  <c r="L19" i="142" s="1"/>
  <c r="L27" i="135"/>
  <c r="L27" i="142" s="1"/>
  <c r="L12" i="135"/>
  <c r="L20" i="135"/>
  <c r="L20" i="142" s="1"/>
  <c r="L28" i="135"/>
  <c r="L28" i="142" s="1"/>
  <c r="L13" i="135"/>
  <c r="L13" i="142" s="1"/>
  <c r="L21" i="135"/>
  <c r="L21" i="142" s="1"/>
  <c r="L14" i="135"/>
  <c r="L14" i="142" s="1"/>
  <c r="L22" i="135"/>
  <c r="L15" i="135"/>
  <c r="L15" i="142" s="1"/>
  <c r="L23" i="135"/>
  <c r="L23" i="142" s="1"/>
  <c r="L16" i="135"/>
  <c r="L16" i="142" s="1"/>
  <c r="L24" i="135"/>
  <c r="L24" i="142" s="1"/>
  <c r="L9" i="135"/>
  <c r="L9" i="142" s="1"/>
  <c r="L17" i="135"/>
  <c r="L25" i="135"/>
  <c r="L25" i="142" s="1"/>
  <c r="H23" i="136"/>
  <c r="P15" i="136"/>
  <c r="P23" i="136"/>
  <c r="O21" i="138"/>
  <c r="O8" i="138"/>
  <c r="M21" i="138"/>
  <c r="O13" i="138"/>
  <c r="M18" i="138"/>
  <c r="M8" i="138"/>
  <c r="O18" i="138"/>
  <c r="P19" i="138"/>
  <c r="M19" i="138"/>
  <c r="P13" i="138"/>
  <c r="P17" i="139"/>
  <c r="V25" i="139"/>
  <c r="W20" i="139"/>
  <c r="M17" i="139"/>
  <c r="O21" i="139"/>
  <c r="G23" i="135"/>
  <c r="M23" i="135" s="1"/>
  <c r="M23" i="142" s="1"/>
  <c r="G10" i="135"/>
  <c r="H19" i="135"/>
  <c r="G16" i="135"/>
  <c r="O16" i="135" s="1"/>
  <c r="O16" i="142" s="1"/>
  <c r="H17" i="135"/>
  <c r="H25" i="135"/>
  <c r="G28" i="135"/>
  <c r="H28" i="135"/>
  <c r="H11" i="135"/>
  <c r="M20" i="139"/>
  <c r="H13" i="135"/>
  <c r="G15" i="135"/>
  <c r="O15" i="135" s="1"/>
  <c r="O15" i="142" s="1"/>
  <c r="P18" i="139"/>
  <c r="P21" i="139"/>
  <c r="G11" i="135"/>
  <c r="H15" i="135"/>
  <c r="V14" i="139"/>
  <c r="M18" i="139"/>
  <c r="H22" i="135"/>
  <c r="M14" i="135"/>
  <c r="M14" i="142" s="1"/>
  <c r="U27" i="135"/>
  <c r="U11" i="135"/>
  <c r="W11" i="135" s="1"/>
  <c r="G25" i="135"/>
  <c r="U9" i="135"/>
  <c r="U16" i="135"/>
  <c r="G13" i="135"/>
  <c r="U10" i="135"/>
  <c r="U15" i="135"/>
  <c r="U21" i="135"/>
  <c r="H16" i="135"/>
  <c r="W19" i="139"/>
  <c r="P19" i="139"/>
  <c r="O19" i="139"/>
  <c r="W27" i="139"/>
  <c r="P20" i="139"/>
  <c r="P8" i="139"/>
  <c r="V13" i="139"/>
  <c r="W22" i="139"/>
  <c r="V10" i="139"/>
  <c r="P22" i="139"/>
  <c r="V8" i="139"/>
  <c r="O22" i="139"/>
  <c r="W15" i="139"/>
  <c r="V16" i="139"/>
  <c r="V11" i="139"/>
  <c r="V17" i="139"/>
  <c r="W28" i="139"/>
  <c r="W26" i="139"/>
  <c r="O11" i="138"/>
  <c r="V12" i="139"/>
  <c r="V21" i="139"/>
  <c r="V24" i="139"/>
  <c r="V18" i="139"/>
  <c r="P23" i="139"/>
  <c r="O23" i="139"/>
  <c r="O26" i="139"/>
  <c r="P26" i="139"/>
  <c r="P10" i="139"/>
  <c r="O10" i="139"/>
  <c r="O27" i="139"/>
  <c r="P27" i="139"/>
  <c r="M26" i="139"/>
  <c r="P27" i="138"/>
  <c r="P11" i="138"/>
  <c r="M27" i="138"/>
  <c r="O24" i="138"/>
  <c r="P24" i="138"/>
  <c r="P14" i="138"/>
  <c r="O14" i="138"/>
  <c r="O9" i="138"/>
  <c r="P9" i="138"/>
  <c r="M9" i="138"/>
  <c r="M19" i="137"/>
  <c r="N23" i="137"/>
  <c r="M23" i="137" s="1"/>
  <c r="M24" i="137"/>
  <c r="M26" i="137"/>
  <c r="P28" i="137"/>
  <c r="O28" i="137"/>
  <c r="M28" i="137"/>
  <c r="O9" i="137"/>
  <c r="P9" i="137"/>
  <c r="O21" i="137"/>
  <c r="P21" i="137"/>
  <c r="M21" i="137"/>
  <c r="P14" i="137"/>
  <c r="O14" i="137"/>
  <c r="M14" i="137"/>
  <c r="P13" i="137"/>
  <c r="O13" i="137"/>
  <c r="P15" i="137"/>
  <c r="O15" i="137"/>
  <c r="O20" i="137"/>
  <c r="P20" i="137"/>
  <c r="U9" i="137"/>
  <c r="T9" i="137"/>
  <c r="P17" i="137"/>
  <c r="O17" i="137"/>
  <c r="M20" i="137"/>
  <c r="M11" i="137"/>
  <c r="U25" i="137"/>
  <c r="T25" i="137"/>
  <c r="U23" i="137"/>
  <c r="T23" i="137"/>
  <c r="U21" i="137"/>
  <c r="T21" i="137"/>
  <c r="U17" i="137"/>
  <c r="T17" i="137"/>
  <c r="M18" i="137"/>
  <c r="P26" i="137"/>
  <c r="O26" i="137"/>
  <c r="U8" i="137"/>
  <c r="T8" i="137"/>
  <c r="P22" i="137"/>
  <c r="O22" i="137"/>
  <c r="M22" i="137"/>
  <c r="M17" i="137"/>
  <c r="U20" i="137"/>
  <c r="T20" i="137"/>
  <c r="O19" i="137"/>
  <c r="P19" i="137"/>
  <c r="P8" i="137"/>
  <c r="O8" i="137"/>
  <c r="O18" i="137"/>
  <c r="P18" i="137"/>
  <c r="M12" i="137"/>
  <c r="U24" i="137"/>
  <c r="T24" i="137"/>
  <c r="U28" i="137"/>
  <c r="T28" i="137"/>
  <c r="U12" i="137"/>
  <c r="T12" i="137"/>
  <c r="M15" i="137"/>
  <c r="U19" i="137"/>
  <c r="T19" i="137"/>
  <c r="T13" i="137"/>
  <c r="U13" i="137"/>
  <c r="N10" i="137"/>
  <c r="P24" i="137"/>
  <c r="O24" i="137"/>
  <c r="U15" i="137"/>
  <c r="T15" i="137"/>
  <c r="M9" i="137"/>
  <c r="P16" i="137"/>
  <c r="O16" i="137"/>
  <c r="T14" i="137"/>
  <c r="U14" i="137"/>
  <c r="U27" i="137"/>
  <c r="T27" i="137"/>
  <c r="U11" i="137"/>
  <c r="T11" i="137"/>
  <c r="U18" i="137"/>
  <c r="T18" i="137"/>
  <c r="P11" i="137"/>
  <c r="O11" i="137"/>
  <c r="N25" i="137"/>
  <c r="M25" i="137" s="1"/>
  <c r="U26" i="137"/>
  <c r="T26" i="137"/>
  <c r="U10" i="137"/>
  <c r="T10" i="137"/>
  <c r="U22" i="137"/>
  <c r="T22" i="137"/>
  <c r="M13" i="137"/>
  <c r="O12" i="137"/>
  <c r="P12" i="137"/>
  <c r="P27" i="137"/>
  <c r="O27" i="137"/>
  <c r="U16" i="137"/>
  <c r="T16" i="137"/>
  <c r="U22" i="136"/>
  <c r="W22" i="136" s="1"/>
  <c r="P13" i="136"/>
  <c r="U12" i="136"/>
  <c r="W12" i="136" s="1"/>
  <c r="U21" i="136"/>
  <c r="V21" i="136" s="1"/>
  <c r="U16" i="136"/>
  <c r="P11" i="136"/>
  <c r="L7" i="136"/>
  <c r="G21" i="136"/>
  <c r="O21" i="136" s="1"/>
  <c r="H21" i="136"/>
  <c r="M23" i="136"/>
  <c r="P14" i="136"/>
  <c r="M15" i="136"/>
  <c r="M24" i="136"/>
  <c r="O25" i="136"/>
  <c r="P25" i="136"/>
  <c r="M25" i="136"/>
  <c r="P28" i="136"/>
  <c r="O28" i="136"/>
  <c r="M28" i="136"/>
  <c r="O18" i="136"/>
  <c r="P18" i="136"/>
  <c r="M18" i="136"/>
  <c r="P12" i="136"/>
  <c r="O12" i="136"/>
  <c r="M12" i="136"/>
  <c r="O11" i="136"/>
  <c r="P16" i="136"/>
  <c r="O16" i="136"/>
  <c r="W25" i="136"/>
  <c r="V25" i="136"/>
  <c r="P9" i="136"/>
  <c r="P26" i="136"/>
  <c r="O26" i="136"/>
  <c r="W26" i="136"/>
  <c r="V26" i="136"/>
  <c r="W8" i="136"/>
  <c r="V8" i="136"/>
  <c r="V20" i="136"/>
  <c r="W20" i="136"/>
  <c r="H19" i="136"/>
  <c r="G19" i="136"/>
  <c r="W16" i="136"/>
  <c r="V16" i="136"/>
  <c r="O15" i="136"/>
  <c r="W21" i="136"/>
  <c r="V19" i="136"/>
  <c r="W19" i="136"/>
  <c r="W11" i="136"/>
  <c r="V11" i="136"/>
  <c r="W24" i="136"/>
  <c r="V24" i="136"/>
  <c r="V18" i="136"/>
  <c r="W18" i="136"/>
  <c r="M22" i="136"/>
  <c r="O10" i="136"/>
  <c r="P10" i="136"/>
  <c r="W10" i="136"/>
  <c r="V10" i="136"/>
  <c r="W23" i="136"/>
  <c r="V23" i="136"/>
  <c r="O24" i="136"/>
  <c r="G17" i="136"/>
  <c r="H17" i="136"/>
  <c r="W9" i="136"/>
  <c r="V9" i="136"/>
  <c r="W17" i="136"/>
  <c r="V17" i="136"/>
  <c r="O23" i="136"/>
  <c r="O13" i="136"/>
  <c r="W27" i="136"/>
  <c r="V27" i="136"/>
  <c r="M10" i="136"/>
  <c r="W15" i="136"/>
  <c r="V15" i="136"/>
  <c r="P8" i="136"/>
  <c r="O8" i="136"/>
  <c r="H20" i="136"/>
  <c r="G20" i="136"/>
  <c r="V13" i="136"/>
  <c r="W13" i="136"/>
  <c r="M16" i="136"/>
  <c r="W28" i="136"/>
  <c r="V28" i="136"/>
  <c r="M26" i="136"/>
  <c r="M11" i="136"/>
  <c r="W14" i="136"/>
  <c r="V14" i="136"/>
  <c r="U13" i="135"/>
  <c r="V13" i="135" s="1"/>
  <c r="U25" i="135"/>
  <c r="W25" i="135" s="1"/>
  <c r="U19" i="135"/>
  <c r="U17" i="135"/>
  <c r="V17" i="135" s="1"/>
  <c r="V8" i="135"/>
  <c r="U28" i="135"/>
  <c r="W28" i="135" s="1"/>
  <c r="U18" i="135"/>
  <c r="W18" i="135" s="1"/>
  <c r="L7" i="135"/>
  <c r="U12" i="135"/>
  <c r="W12" i="135" s="1"/>
  <c r="P26" i="135"/>
  <c r="P26" i="142" s="1"/>
  <c r="U26" i="135"/>
  <c r="V26" i="135" s="1"/>
  <c r="U24" i="135"/>
  <c r="V24" i="135" s="1"/>
  <c r="U7" i="135"/>
  <c r="U23" i="135"/>
  <c r="W23" i="135" s="1"/>
  <c r="M24" i="135"/>
  <c r="M24" i="142" s="1"/>
  <c r="G19" i="135"/>
  <c r="O22" i="135"/>
  <c r="O22" i="142" s="1"/>
  <c r="O26" i="135"/>
  <c r="O26" i="142" s="1"/>
  <c r="M26" i="135"/>
  <c r="M26" i="142" s="1"/>
  <c r="O12" i="135"/>
  <c r="O12" i="142" s="1"/>
  <c r="M12" i="135"/>
  <c r="M12" i="142" s="1"/>
  <c r="O17" i="135"/>
  <c r="O17" i="142" s="1"/>
  <c r="M17" i="135"/>
  <c r="M17" i="142" s="1"/>
  <c r="H18" i="135"/>
  <c r="G18" i="135"/>
  <c r="N18" i="135" s="1"/>
  <c r="N18" i="142" s="1"/>
  <c r="W9" i="135"/>
  <c r="V9" i="135"/>
  <c r="W19" i="135"/>
  <c r="V19" i="135"/>
  <c r="W15" i="135"/>
  <c r="V15" i="135"/>
  <c r="P27" i="135"/>
  <c r="P27" i="142" s="1"/>
  <c r="O27" i="135"/>
  <c r="O27" i="142" s="1"/>
  <c r="M22" i="135"/>
  <c r="M22" i="142" s="1"/>
  <c r="W22" i="135"/>
  <c r="V22" i="135"/>
  <c r="W14" i="135"/>
  <c r="V14" i="135"/>
  <c r="W10" i="135"/>
  <c r="V10" i="135"/>
  <c r="W20" i="135"/>
  <c r="V20" i="135"/>
  <c r="W16" i="135"/>
  <c r="V16" i="135"/>
  <c r="M27" i="135"/>
  <c r="M27" i="142" s="1"/>
  <c r="H21" i="135"/>
  <c r="G21" i="135"/>
  <c r="V27" i="135"/>
  <c r="W27" i="135"/>
  <c r="V11" i="135"/>
  <c r="W21" i="135"/>
  <c r="V21" i="135"/>
  <c r="H20" i="135"/>
  <c r="G20" i="135"/>
  <c r="W17" i="135"/>
  <c r="W26" i="135"/>
  <c r="P17" i="135" l="1"/>
  <c r="P17" i="142" s="1"/>
  <c r="L17" i="142"/>
  <c r="P12" i="135"/>
  <c r="P12" i="142" s="1"/>
  <c r="L12" i="142"/>
  <c r="P22" i="135"/>
  <c r="P22" i="142" s="1"/>
  <c r="L22" i="142"/>
  <c r="M8" i="135"/>
  <c r="M8" i="142" s="1"/>
  <c r="O8" i="135"/>
  <c r="O8" i="142" s="1"/>
  <c r="P25" i="135"/>
  <c r="P25" i="142" s="1"/>
  <c r="P28" i="135"/>
  <c r="P28" i="142" s="1"/>
  <c r="O14" i="136"/>
  <c r="V12" i="136"/>
  <c r="P14" i="135"/>
  <c r="P14" i="142" s="1"/>
  <c r="M16" i="135"/>
  <c r="M16" i="142" s="1"/>
  <c r="P8" i="135"/>
  <c r="P8" i="142" s="1"/>
  <c r="P16" i="135"/>
  <c r="P16" i="142" s="1"/>
  <c r="O28" i="135"/>
  <c r="O28" i="142" s="1"/>
  <c r="P15" i="135"/>
  <c r="P15" i="142" s="1"/>
  <c r="O25" i="135"/>
  <c r="O25" i="142" s="1"/>
  <c r="P19" i="135"/>
  <c r="P19" i="142" s="1"/>
  <c r="M10" i="135"/>
  <c r="M10" i="142" s="1"/>
  <c r="M15" i="135"/>
  <c r="M15" i="142" s="1"/>
  <c r="M28" i="135"/>
  <c r="M28" i="142" s="1"/>
  <c r="M25" i="135"/>
  <c r="M25" i="142" s="1"/>
  <c r="V12" i="135"/>
  <c r="W24" i="135"/>
  <c r="V28" i="135"/>
  <c r="M21" i="136"/>
  <c r="O23" i="137"/>
  <c r="P23" i="137"/>
  <c r="O10" i="137"/>
  <c r="P10" i="137"/>
  <c r="M10" i="137"/>
  <c r="P25" i="137"/>
  <c r="O25" i="137"/>
  <c r="V22" i="136"/>
  <c r="P21" i="136"/>
  <c r="M14" i="136"/>
  <c r="M20" i="136"/>
  <c r="P27" i="136"/>
  <c r="O27" i="136"/>
  <c r="P22" i="136"/>
  <c r="O22" i="136"/>
  <c r="M19" i="136"/>
  <c r="M27" i="136"/>
  <c r="M17" i="136"/>
  <c r="O19" i="135"/>
  <c r="O19" i="142" s="1"/>
  <c r="V18" i="135"/>
  <c r="W13" i="135"/>
  <c r="V25" i="135"/>
  <c r="V23" i="135"/>
  <c r="O24" i="135"/>
  <c r="O24" i="142" s="1"/>
  <c r="P24" i="135"/>
  <c r="P24" i="142" s="1"/>
  <c r="M18" i="135"/>
  <c r="M18" i="142" s="1"/>
  <c r="P23" i="135"/>
  <c r="P23" i="142" s="1"/>
  <c r="O23" i="135"/>
  <c r="O23" i="142" s="1"/>
  <c r="M20" i="135"/>
  <c r="M20" i="142" s="1"/>
  <c r="O9" i="135"/>
  <c r="O9" i="142" s="1"/>
  <c r="P9" i="135"/>
  <c r="P9" i="142" s="1"/>
  <c r="M9" i="135"/>
  <c r="M9" i="142" s="1"/>
  <c r="M19" i="135" l="1"/>
  <c r="M19" i="142" s="1"/>
  <c r="O13" i="135"/>
  <c r="O13" i="142" s="1"/>
  <c r="P13" i="135"/>
  <c r="P13" i="142" s="1"/>
  <c r="M13" i="135"/>
  <c r="M13" i="142" s="1"/>
  <c r="O11" i="135"/>
  <c r="O11" i="142" s="1"/>
  <c r="P11" i="135"/>
  <c r="P11" i="142" s="1"/>
  <c r="M11" i="135"/>
  <c r="M11" i="142" s="1"/>
  <c r="P10" i="135"/>
  <c r="P10" i="142" s="1"/>
  <c r="O10" i="135"/>
  <c r="O10" i="142" s="1"/>
  <c r="O19" i="136"/>
  <c r="P19" i="136"/>
  <c r="P17" i="136"/>
  <c r="O17" i="136"/>
  <c r="O20" i="136"/>
  <c r="P20" i="136"/>
  <c r="O20" i="135"/>
  <c r="O20" i="142" s="1"/>
  <c r="P20" i="135"/>
  <c r="P20" i="142" s="1"/>
  <c r="O18" i="135"/>
  <c r="O18" i="142" s="1"/>
  <c r="P18" i="135"/>
  <c r="P18" i="142" s="1"/>
  <c r="O21" i="135"/>
  <c r="O21" i="142" s="1"/>
  <c r="P21" i="135"/>
  <c r="P21" i="142" s="1"/>
  <c r="M21" i="135"/>
  <c r="M21" i="142" s="1"/>
  <c r="F7" i="108" l="1"/>
  <c r="F34" i="108" l="1"/>
  <c r="F33" i="108"/>
  <c r="F32" i="108"/>
  <c r="F31" i="108"/>
  <c r="F30" i="108"/>
  <c r="F29" i="108"/>
  <c r="F28" i="108"/>
  <c r="F27" i="108"/>
  <c r="F26" i="108"/>
  <c r="F25" i="108"/>
  <c r="F24" i="108"/>
  <c r="F23" i="108"/>
  <c r="F22" i="108"/>
  <c r="F21" i="108"/>
  <c r="F20" i="108"/>
  <c r="F19" i="108"/>
  <c r="F18" i="108"/>
  <c r="F17" i="108"/>
  <c r="F16" i="108"/>
  <c r="F15" i="108"/>
  <c r="F14" i="108"/>
  <c r="F13" i="108"/>
  <c r="F12" i="108"/>
  <c r="F11" i="108"/>
  <c r="F10" i="108"/>
  <c r="F9" i="108"/>
  <c r="F8" i="108"/>
  <c r="F6" i="108"/>
  <c r="F5" i="108"/>
</calcChain>
</file>

<file path=xl/sharedStrings.xml><?xml version="1.0" encoding="utf-8"?>
<sst xmlns="http://schemas.openxmlformats.org/spreadsheetml/2006/main" count="787" uniqueCount="122">
  <si>
    <t>top and bottom plate were coated and clean.</t>
  </si>
  <si>
    <t>BP=</t>
  </si>
  <si>
    <t>bypass open</t>
  </si>
  <si>
    <t>PORTS AE</t>
  </si>
  <si>
    <t>Q (L/h)</t>
  </si>
  <si>
    <t>Q (L/min)</t>
  </si>
  <si>
    <t>Q (L/s)</t>
  </si>
  <si>
    <t>u (m/s)</t>
  </si>
  <si>
    <t>knots</t>
  </si>
  <si>
    <t>ΔP(Pa)</t>
  </si>
  <si>
    <t>Re</t>
  </si>
  <si>
    <t>f (DARCY)</t>
  </si>
  <si>
    <t>relative sandgrain roughness</t>
  </si>
  <si>
    <t>u</t>
  </si>
  <si>
    <t xml:space="preserve">f (Dean) </t>
  </si>
  <si>
    <t>f(Blasius)</t>
  </si>
  <si>
    <t>B = bypass OPEN</t>
  </si>
  <si>
    <t>STOP</t>
  </si>
  <si>
    <t>Area section [m]</t>
  </si>
  <si>
    <t>Channel Dimensions</t>
  </si>
  <si>
    <t>Width  [m]</t>
  </si>
  <si>
    <t>Depth [m]</t>
  </si>
  <si>
    <t>Darcy friction factor</t>
  </si>
  <si>
    <t>Fanning friction factor</t>
  </si>
  <si>
    <t>Length streamwise [m]</t>
  </si>
  <si>
    <t xml:space="preserve">Haaland </t>
  </si>
  <si>
    <t>Density [kg/m3]</t>
  </si>
  <si>
    <t>Absolute viscosity [kg/ms]</t>
  </si>
  <si>
    <t>SEAWATER</t>
  </si>
  <si>
    <t>Temp</t>
  </si>
  <si>
    <t>Visc</t>
  </si>
  <si>
    <t>Density</t>
  </si>
  <si>
    <t>Kin Visc</t>
  </si>
  <si>
    <t>roughness =m</t>
  </si>
  <si>
    <t>(oC)</t>
  </si>
  <si>
    <t>(Kg/ms)</t>
  </si>
  <si>
    <t>(kg/m3)</t>
  </si>
  <si>
    <t>(m2/s)</t>
  </si>
  <si>
    <t>relative roughness</t>
  </si>
  <si>
    <t xml:space="preserve">   </t>
  </si>
  <si>
    <t>L25</t>
  </si>
  <si>
    <t>L30</t>
  </si>
  <si>
    <t>L35</t>
  </si>
  <si>
    <t>L40</t>
  </si>
  <si>
    <t>L45</t>
  </si>
  <si>
    <t>U45</t>
  </si>
  <si>
    <t>U40</t>
  </si>
  <si>
    <t>U35</t>
  </si>
  <si>
    <t>U30</t>
  </si>
  <si>
    <t>U25</t>
  </si>
  <si>
    <t>L50GD</t>
  </si>
  <si>
    <t>hhjbhbhj</t>
  </si>
  <si>
    <t>Temperature</t>
  </si>
  <si>
    <t>Saturation Pressure</t>
  </si>
  <si>
    <t>Specific Heat</t>
  </si>
  <si>
    <t>Absolute (Dynamic) Viscosity</t>
  </si>
  <si>
    <t>Kinematic viscosity</t>
  </si>
  <si>
    <t>(°C)</t>
  </si>
  <si>
    <t>(bar)</t>
  </si>
  <si>
    <t>- ρ -</t>
  </si>
  <si>
    <t>- cp -</t>
  </si>
  <si>
    <t xml:space="preserve">- µ - </t>
  </si>
  <si>
    <t>v</t>
  </si>
  <si>
    <t>(kJ/(kg K))</t>
  </si>
  <si>
    <t>(Ns/m2)</t>
  </si>
  <si>
    <t>ν = μ / ρ                                                               (2)</t>
  </si>
  <si>
    <t>where</t>
  </si>
  <si>
    <t>ν = kinematic viscosity (m2/s)</t>
  </si>
  <si>
    <t>μ = absolute or dynamic viscosity (N s/m2)</t>
  </si>
  <si>
    <t>ρ = density (kg/m3)</t>
  </si>
  <si>
    <t>Temperatre (oC)</t>
  </si>
  <si>
    <t>Dh [m]</t>
  </si>
  <si>
    <t>Kinematic viscosity [m2/s]</t>
  </si>
  <si>
    <t>ΔP=(f Lρu2) /(2Dh)</t>
  </si>
  <si>
    <t>f= (8τ)/(ρu2)</t>
  </si>
  <si>
    <t>Cf=f/4</t>
  </si>
  <si>
    <t>1/sqr(f)=-1.8log[(6.9/Re) + ((ε/Dh)/3.7)^1.11]</t>
  </si>
  <si>
    <t>https://www.engineeringtoolbox.com/sea-water-properties-d_840.html</t>
  </si>
  <si>
    <t>U27.5</t>
  </si>
  <si>
    <t>U32.5</t>
  </si>
  <si>
    <t>U37.5</t>
  </si>
  <si>
    <t>U42.5</t>
  </si>
  <si>
    <t>U47.5</t>
  </si>
  <si>
    <t>L47.5</t>
  </si>
  <si>
    <t>L42.5</t>
  </si>
  <si>
    <t>L37.5</t>
  </si>
  <si>
    <t>L32.5</t>
  </si>
  <si>
    <t>L27.5</t>
  </si>
  <si>
    <t>Cf (fanning)</t>
  </si>
  <si>
    <t>τw (Pa)</t>
  </si>
  <si>
    <t>ΔP (mBar)</t>
  </si>
  <si>
    <t>ΔP (Volts)</t>
  </si>
  <si>
    <t>u2</t>
  </si>
  <si>
    <t>Q (m3/s)</t>
  </si>
  <si>
    <t>smoothPVC tested 9th August 2022 before lowflow3 and highflow3 were tested</t>
  </si>
  <si>
    <t>smoothPVC tested 10th August 2022 before lowflow4 and highflow4 were tested</t>
  </si>
  <si>
    <t>smoothPVC rerun tested 10th August 2022 before lowflow4 and highflow4 were tested</t>
  </si>
  <si>
    <t>Dh (m)</t>
  </si>
  <si>
    <t>Depth (channel - biofilm avg thickness) (m)</t>
  </si>
  <si>
    <t>Hartlepool Biofilms Low Flow number 3 - grown under ~ 2000 L/H, April 2022 - August 8th 2022, tested 9th August</t>
  </si>
  <si>
    <t>Hartlepool Biofilms High Flow number 3 - grown under ~ 4000 L/H, April 2022 - August 8th 2022, tested 9th August</t>
  </si>
  <si>
    <t>Data collected: April to August 2022</t>
  </si>
  <si>
    <t>Author: Alexandra Snowdon</t>
  </si>
  <si>
    <t>Two flow cells were set up, one set to 'low flow': ~ 2000 L/H and the other set to 'high flow':~ 4000 L/H</t>
  </si>
  <si>
    <t xml:space="preserve">Once biofilms had developed the panels were transferred to AkzoNobel for testing under a hydrodynamic regime in a clean flow cell. </t>
  </si>
  <si>
    <t>Hartlepool Biofilms High Flow number 1 - grown under ~ 4000 L/H, April 2022 - August 8th 2022, tested 9th August</t>
  </si>
  <si>
    <t>Hartlepool Biofilms High Flow number 2 - grown under ~ 4000 L/H, April 2022 - August 8th 2022, tested 9th August</t>
  </si>
  <si>
    <t>Hartlepool Biofilms Low Flow number 2 - grown under ~XL/H, April 2022 - August 8th 2022, tested 9th August</t>
  </si>
  <si>
    <t>Hartlepool Biofilms Low Flow number 1 - grown under ~2000 L/H, April 2022 - August 8th 2022, tested 9th August</t>
  </si>
  <si>
    <t xml:space="preserve">Biofilms were grown on coated PVC panels (85 cm x 5.5cm) under flow in a marine biofouling flow cell at Hartlepool Marina. The fouling period was from April to August 2022. </t>
  </si>
  <si>
    <t>Key</t>
  </si>
  <si>
    <t>Q = flow rate</t>
  </si>
  <si>
    <t xml:space="preserve">u = flow velocity </t>
  </si>
  <si>
    <t xml:space="preserve"> ΔP = pressure drop</t>
  </si>
  <si>
    <t>Re = Reynolds number</t>
  </si>
  <si>
    <t xml:space="preserve">tw = shear stress </t>
  </si>
  <si>
    <t xml:space="preserve">f = Darcy friction factor </t>
  </si>
  <si>
    <t>Cf = Fanning friction factor</t>
  </si>
  <si>
    <t>Dh = Hydraulic diameter</t>
  </si>
  <si>
    <t>Each worksheet has been labelled with a replicate number and flow conditions. For each flow condition an 'averages' spreadsheet has been made. Within each worksheet the calculation for Cf can be seen as can two figures: Cf vs Re (the drag curve) and ΔP vs u2. The line of best fit in the latter feeds into the SingleFrictionFactor.xlsx file. Please refer to the key below for column names:</t>
  </si>
  <si>
    <t xml:space="preserve">Smooth PVC panels were also tested under a hydrodynamic regime as a smooth unfouled control. </t>
  </si>
  <si>
    <t xml:space="preserve">The flow cycle involved incrementally changin the pump setting by 2.5 Hz from 25 Hz to 50 Hz, which subsequently altered the flow velocity. Each step was held for 120 seconds so that OCT images could be taken. Also, at each step flow velocity temperature and pressure drop was recorded.The latter allowed a fanning friction factor (Cf) to be calculated as can be seen in each spreadsheet.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</si>
</sst>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E+00"/>
    <numFmt numFmtId="165" formatCode="0.000"/>
    <numFmt numFmtId="166" formatCode="0.0"/>
    <numFmt numFmtId="167" formatCode="0.00000"/>
  </numFmts>
  <fonts count="11" x14ac:knownFonts="1">
    <font>
      <sz val="12"/>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2"/>
      <name val="Arial"/>
      <family val="2"/>
    </font>
    <font>
      <b/>
      <sz val="12"/>
      <name val="Arial"/>
      <family val="2"/>
    </font>
    <font>
      <sz val="12"/>
      <color rgb="FFFF0000"/>
      <name val="Arial"/>
      <family val="2"/>
    </font>
    <font>
      <b/>
      <sz val="11"/>
      <color theme="1"/>
      <name val="Calibri"/>
      <family val="2"/>
      <scheme val="minor"/>
    </font>
  </fonts>
  <fills count="4">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s>
  <borders count="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top"/>
    </xf>
    <xf numFmtId="0" fontId="6" fillId="0" borderId="0"/>
    <xf numFmtId="0" fontId="5" fillId="0" borderId="0"/>
    <xf numFmtId="0" fontId="4" fillId="0" borderId="0"/>
  </cellStyleXfs>
  <cellXfs count="53">
    <xf numFmtId="0" fontId="0" fillId="0" borderId="0" xfId="0">
      <alignment vertical="top"/>
    </xf>
    <xf numFmtId="0" fontId="0" fillId="0" borderId="0" xfId="0" applyAlignment="1">
      <alignment vertical="top" wrapText="1"/>
    </xf>
    <xf numFmtId="15" fontId="0" fillId="0" borderId="0" xfId="0" applyNumberFormat="1" applyAlignment="1">
      <alignment horizontal="left" vertical="top" wrapText="1"/>
    </xf>
    <xf numFmtId="0" fontId="4" fillId="0" borderId="0" xfId="3"/>
    <xf numFmtId="165" fontId="4" fillId="0" borderId="0" xfId="3" applyNumberFormat="1"/>
    <xf numFmtId="164" fontId="4" fillId="0" borderId="0" xfId="3" applyNumberFormat="1"/>
    <xf numFmtId="167" fontId="8" fillId="0" borderId="0" xfId="3" applyNumberFormat="1" applyFont="1"/>
    <xf numFmtId="2" fontId="4" fillId="0" borderId="0" xfId="3" applyNumberFormat="1"/>
    <xf numFmtId="11" fontId="4" fillId="0" borderId="0" xfId="3" applyNumberFormat="1"/>
    <xf numFmtId="0" fontId="7" fillId="0" borderId="0" xfId="3" applyFont="1"/>
    <xf numFmtId="167" fontId="7" fillId="0" borderId="0" xfId="3" applyNumberFormat="1" applyFont="1"/>
    <xf numFmtId="165" fontId="7" fillId="0" borderId="0" xfId="3" applyNumberFormat="1" applyFont="1"/>
    <xf numFmtId="0" fontId="9" fillId="0" borderId="0" xfId="3" applyFont="1"/>
    <xf numFmtId="11" fontId="9" fillId="3" borderId="0" xfId="3" applyNumberFormat="1" applyFont="1" applyFill="1"/>
    <xf numFmtId="0" fontId="9" fillId="3" borderId="0" xfId="3" applyFont="1" applyFill="1"/>
    <xf numFmtId="1" fontId="4" fillId="0" borderId="0" xfId="3" applyNumberFormat="1"/>
    <xf numFmtId="2" fontId="4" fillId="0" borderId="0" xfId="3" applyNumberFormat="1" applyAlignment="1">
      <alignment horizontal="center"/>
    </xf>
    <xf numFmtId="2" fontId="8" fillId="0" borderId="0" xfId="3" applyNumberFormat="1" applyFont="1"/>
    <xf numFmtId="49" fontId="7" fillId="0" borderId="0" xfId="3" applyNumberFormat="1" applyFont="1"/>
    <xf numFmtId="0" fontId="9" fillId="3" borderId="0" xfId="3" applyFont="1" applyFill="1" applyAlignment="1">
      <alignment horizontal="right"/>
    </xf>
    <xf numFmtId="0" fontId="7" fillId="2" borderId="2" xfId="3" applyFont="1" applyFill="1" applyBorder="1"/>
    <xf numFmtId="0" fontId="4" fillId="2" borderId="2" xfId="3" applyFill="1" applyBorder="1"/>
    <xf numFmtId="49" fontId="4" fillId="0" borderId="0" xfId="3" applyNumberFormat="1"/>
    <xf numFmtId="165" fontId="8" fillId="0" borderId="0" xfId="3" applyNumberFormat="1" applyFont="1"/>
    <xf numFmtId="165" fontId="7" fillId="0" borderId="2" xfId="3" applyNumberFormat="1" applyFont="1" applyBorder="1"/>
    <xf numFmtId="166" fontId="7" fillId="0" borderId="2" xfId="3" applyNumberFormat="1" applyFont="1" applyBorder="1"/>
    <xf numFmtId="164" fontId="7" fillId="0" borderId="2" xfId="3" applyNumberFormat="1" applyFont="1" applyBorder="1" applyAlignment="1">
      <alignment horizontal="center"/>
    </xf>
    <xf numFmtId="0" fontId="7" fillId="0" borderId="2" xfId="3" applyFont="1" applyBorder="1" applyAlignment="1">
      <alignment horizontal="center"/>
    </xf>
    <xf numFmtId="49" fontId="7" fillId="0" borderId="2" xfId="3" applyNumberFormat="1" applyFont="1" applyBorder="1"/>
    <xf numFmtId="0" fontId="4" fillId="0" borderId="1" xfId="3" applyBorder="1"/>
    <xf numFmtId="0" fontId="4" fillId="2" borderId="0" xfId="3" applyFill="1" applyAlignment="1">
      <alignment horizontal="center"/>
    </xf>
    <xf numFmtId="0" fontId="4" fillId="0" borderId="0" xfId="3" applyAlignment="1">
      <alignment horizontal="center"/>
    </xf>
    <xf numFmtId="0" fontId="4" fillId="2" borderId="0" xfId="3" applyFill="1" applyAlignment="1">
      <alignment horizontal="center"/>
    </xf>
    <xf numFmtId="0" fontId="4" fillId="0" borderId="0" xfId="3" applyAlignment="1">
      <alignment horizontal="center"/>
    </xf>
    <xf numFmtId="0" fontId="3" fillId="0" borderId="0" xfId="3" applyFont="1"/>
    <xf numFmtId="0" fontId="4" fillId="2" borderId="0" xfId="3" applyFill="1" applyAlignment="1">
      <alignment horizontal="center"/>
    </xf>
    <xf numFmtId="0" fontId="4" fillId="0" borderId="0" xfId="3" applyAlignment="1">
      <alignment horizontal="center"/>
    </xf>
    <xf numFmtId="0" fontId="2" fillId="0" borderId="0" xfId="3" applyFont="1"/>
    <xf numFmtId="0" fontId="4" fillId="0" borderId="0" xfId="3" applyAlignment="1">
      <alignment horizontal="center"/>
    </xf>
    <xf numFmtId="0" fontId="4" fillId="2" borderId="0" xfId="3" applyFill="1" applyAlignment="1">
      <alignment horizontal="center"/>
    </xf>
    <xf numFmtId="0" fontId="4" fillId="0" borderId="0" xfId="3" applyAlignment="1">
      <alignment horizontal="center"/>
    </xf>
    <xf numFmtId="0" fontId="4" fillId="2" borderId="0" xfId="3" applyFill="1" applyAlignment="1">
      <alignment horizontal="center"/>
    </xf>
    <xf numFmtId="0" fontId="4" fillId="2" borderId="0" xfId="3" applyFill="1" applyAlignment="1">
      <alignment horizontal="center"/>
    </xf>
    <xf numFmtId="0" fontId="4" fillId="0" borderId="0" xfId="3" applyAlignment="1">
      <alignment horizontal="center"/>
    </xf>
    <xf numFmtId="0" fontId="10" fillId="0" borderId="0" xfId="3" applyFont="1"/>
    <xf numFmtId="165" fontId="10" fillId="0" borderId="0" xfId="3" applyNumberFormat="1" applyFont="1"/>
    <xf numFmtId="0" fontId="8" fillId="0" borderId="0" xfId="3" applyFont="1"/>
    <xf numFmtId="0" fontId="8" fillId="2" borderId="2" xfId="3" applyFont="1" applyFill="1" applyBorder="1"/>
    <xf numFmtId="0" fontId="1" fillId="0" borderId="0" xfId="3" applyFont="1"/>
    <xf numFmtId="0" fontId="8" fillId="0" borderId="0" xfId="0" applyFont="1" applyAlignment="1">
      <alignment vertical="top" wrapText="1"/>
    </xf>
    <xf numFmtId="0" fontId="7" fillId="0" borderId="0" xfId="0" applyFont="1" applyAlignment="1">
      <alignment vertical="top" wrapText="1"/>
    </xf>
    <xf numFmtId="0" fontId="4" fillId="2" borderId="0" xfId="3" applyFill="1" applyAlignment="1">
      <alignment horizontal="center"/>
    </xf>
    <xf numFmtId="0" fontId="4" fillId="0" borderId="0" xfId="3" applyAlignment="1">
      <alignment horizontal="center"/>
    </xf>
  </cellXfs>
  <cellStyles count="4">
    <cellStyle name="Normal" xfId="0" builtinId="0"/>
    <cellStyle name="Normal 2" xfId="1" xr:uid="{7B7D812A-0B30-4560-9BC9-B5660C14C959}"/>
    <cellStyle name="Normal 3" xfId="2" xr:uid="{25645AD9-7736-4C51-8625-CF4E0C37592A}"/>
    <cellStyle name="Normal 4" xfId="3" xr:uid="{A93C644E-DFB9-46C9-9337-6E9FF5B09D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1.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2.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3.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4.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5.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6.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7.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8.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9.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1.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2.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3.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4.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5.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7.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8.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9.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All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2.4254287174439736E-2"/>
          <c:y val="1.7436144578313252E-2"/>
          <c:w val="0.88839836033046071"/>
          <c:h val="0.82038447088315702"/>
        </c:manualLayout>
      </c:layout>
      <c:scatterChart>
        <c:scatterStyle val="lineMarker"/>
        <c:varyColors val="0"/>
        <c:ser>
          <c:idx val="2"/>
          <c:order val="0"/>
          <c:tx>
            <c:v>high flow 3</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wer"/>
            <c:dispRSqr val="0"/>
            <c:dispEq val="0"/>
          </c:trendline>
          <c:xVal>
            <c:numRef>
              <c:f>'1highflow'!$L$8:$L$18</c:f>
              <c:numCache>
                <c:formatCode>0.0E+00</c:formatCode>
                <c:ptCount val="11"/>
                <c:pt idx="0">
                  <c:v>15454.936159680115</c:v>
                </c:pt>
                <c:pt idx="1">
                  <c:v>18524.368264082797</c:v>
                </c:pt>
                <c:pt idx="2">
                  <c:v>20631.751727995339</c:v>
                </c:pt>
                <c:pt idx="3">
                  <c:v>25048.996447219975</c:v>
                </c:pt>
                <c:pt idx="4">
                  <c:v>28198.78454255719</c:v>
                </c:pt>
                <c:pt idx="5">
                  <c:v>31265.403834949855</c:v>
                </c:pt>
                <c:pt idx="6">
                  <c:v>34259.694948025433</c:v>
                </c:pt>
                <c:pt idx="7">
                  <c:v>37034.499620913441</c:v>
                </c:pt>
                <c:pt idx="8">
                  <c:v>40360.125820300396</c:v>
                </c:pt>
                <c:pt idx="9">
                  <c:v>43639.079495168728</c:v>
                </c:pt>
                <c:pt idx="10">
                  <c:v>47969.923211297224</c:v>
                </c:pt>
              </c:numCache>
            </c:numRef>
          </c:xVal>
          <c:yVal>
            <c:numRef>
              <c:f>'1highflow'!$O$8:$O$18</c:f>
              <c:numCache>
                <c:formatCode>0.000</c:formatCode>
                <c:ptCount val="11"/>
                <c:pt idx="0">
                  <c:v>1.301532022368841E-2</c:v>
                </c:pt>
                <c:pt idx="1">
                  <c:v>1.3772420210359812E-2</c:v>
                </c:pt>
                <c:pt idx="2">
                  <c:v>1.2928900059818687E-2</c:v>
                </c:pt>
                <c:pt idx="3">
                  <c:v>1.2553876981203574E-2</c:v>
                </c:pt>
                <c:pt idx="4">
                  <c:v>1.2347665741863396E-2</c:v>
                </c:pt>
                <c:pt idx="5">
                  <c:v>1.1853528700416524E-2</c:v>
                </c:pt>
                <c:pt idx="6">
                  <c:v>1.222348438009928E-2</c:v>
                </c:pt>
                <c:pt idx="7">
                  <c:v>1.1963731172165487E-2</c:v>
                </c:pt>
                <c:pt idx="8">
                  <c:v>1.1166421961693098E-2</c:v>
                </c:pt>
                <c:pt idx="9">
                  <c:v>9.8737152118695114E-3</c:v>
                </c:pt>
                <c:pt idx="10">
                  <c:v>9.0094798904756575E-3</c:v>
                </c:pt>
              </c:numCache>
            </c:numRef>
          </c:yVal>
          <c:smooth val="0"/>
          <c:extLst>
            <c:ext xmlns:c16="http://schemas.microsoft.com/office/drawing/2014/chart" uri="{C3380CC4-5D6E-409C-BE32-E72D297353CC}">
              <c16:uniqueId val="{00000003-54FE-4F79-B1C3-54659719A53C}"/>
            </c:ext>
          </c:extLst>
        </c:ser>
        <c:ser>
          <c:idx val="3"/>
          <c:order val="1"/>
          <c:tx>
            <c:v>high flow 4</c:v>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wer"/>
            <c:dispRSqr val="0"/>
            <c:dispEq val="0"/>
          </c:trendline>
          <c:xVal>
            <c:numRef>
              <c:f>'2highflow'!$L$8:$L$18</c:f>
              <c:numCache>
                <c:formatCode>0.0E+00</c:formatCode>
                <c:ptCount val="11"/>
                <c:pt idx="0">
                  <c:v>14235.074615581883</c:v>
                </c:pt>
                <c:pt idx="1">
                  <c:v>17784.19117252437</c:v>
                </c:pt>
                <c:pt idx="2">
                  <c:v>20635.121088169126</c:v>
                </c:pt>
                <c:pt idx="3">
                  <c:v>25328.87781493273</c:v>
                </c:pt>
                <c:pt idx="4">
                  <c:v>29245.84218112973</c:v>
                </c:pt>
                <c:pt idx="5">
                  <c:v>32490.733597588063</c:v>
                </c:pt>
                <c:pt idx="6">
                  <c:v>35642.4334047722</c:v>
                </c:pt>
                <c:pt idx="7">
                  <c:v>38930.57589305914</c:v>
                </c:pt>
                <c:pt idx="8">
                  <c:v>40193.15185576061</c:v>
                </c:pt>
                <c:pt idx="9">
                  <c:v>45478.337961884761</c:v>
                </c:pt>
                <c:pt idx="10">
                  <c:v>48810.402891542297</c:v>
                </c:pt>
              </c:numCache>
            </c:numRef>
          </c:xVal>
          <c:yVal>
            <c:numRef>
              <c:f>'2highflow'!$O$8:$O$18</c:f>
              <c:numCache>
                <c:formatCode>0.000</c:formatCode>
                <c:ptCount val="11"/>
                <c:pt idx="0">
                  <c:v>1.1409161196247434E-2</c:v>
                </c:pt>
                <c:pt idx="1">
                  <c:v>1.1699816313497532E-2</c:v>
                </c:pt>
                <c:pt idx="2">
                  <c:v>1.1209504197456456E-2</c:v>
                </c:pt>
                <c:pt idx="3">
                  <c:v>1.1019084061312811E-2</c:v>
                </c:pt>
                <c:pt idx="4">
                  <c:v>1.0880741885077198E-2</c:v>
                </c:pt>
                <c:pt idx="5">
                  <c:v>1.1258111775358919E-2</c:v>
                </c:pt>
                <c:pt idx="6">
                  <c:v>1.0952949418663966E-2</c:v>
                </c:pt>
                <c:pt idx="7">
                  <c:v>1.1001071484525187E-2</c:v>
                </c:pt>
                <c:pt idx="8">
                  <c:v>1.0102294114435416E-2</c:v>
                </c:pt>
                <c:pt idx="9">
                  <c:v>9.9405038134654424E-3</c:v>
                </c:pt>
                <c:pt idx="10">
                  <c:v>9.0759036659764942E-3</c:v>
                </c:pt>
              </c:numCache>
            </c:numRef>
          </c:yVal>
          <c:smooth val="0"/>
          <c:extLst>
            <c:ext xmlns:c16="http://schemas.microsoft.com/office/drawing/2014/chart" uri="{C3380CC4-5D6E-409C-BE32-E72D297353CC}">
              <c16:uniqueId val="{00000004-54FE-4F79-B1C3-54659719A53C}"/>
            </c:ext>
          </c:extLst>
        </c:ser>
        <c:ser>
          <c:idx val="4"/>
          <c:order val="2"/>
          <c:tx>
            <c:v>low flow 3</c:v>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wer"/>
            <c:dispRSqr val="0"/>
            <c:dispEq val="0"/>
          </c:trendline>
          <c:xVal>
            <c:numRef>
              <c:f>'1lowflow'!$L$8:$L$18</c:f>
              <c:numCache>
                <c:formatCode>0.0E+00</c:formatCode>
                <c:ptCount val="11"/>
                <c:pt idx="0">
                  <c:v>15086.426160303949</c:v>
                </c:pt>
                <c:pt idx="1">
                  <c:v>18557.509953635461</c:v>
                </c:pt>
                <c:pt idx="2">
                  <c:v>23060.553536426025</c:v>
                </c:pt>
                <c:pt idx="3">
                  <c:v>26502.360622555469</c:v>
                </c:pt>
                <c:pt idx="4">
                  <c:v>29410.854076769891</c:v>
                </c:pt>
                <c:pt idx="5">
                  <c:v>33375.548729294744</c:v>
                </c:pt>
                <c:pt idx="6">
                  <c:v>37354.431473417128</c:v>
                </c:pt>
                <c:pt idx="7">
                  <c:v>40297.735531614446</c:v>
                </c:pt>
                <c:pt idx="8">
                  <c:v>43781.931758187238</c:v>
                </c:pt>
                <c:pt idx="9">
                  <c:v>46688.956144955337</c:v>
                </c:pt>
                <c:pt idx="10">
                  <c:v>49806.545409764061</c:v>
                </c:pt>
              </c:numCache>
            </c:numRef>
          </c:xVal>
          <c:yVal>
            <c:numRef>
              <c:f>'1lowflow'!$O$8:$O$18</c:f>
              <c:numCache>
                <c:formatCode>0.000</c:formatCode>
                <c:ptCount val="11"/>
                <c:pt idx="0">
                  <c:v>1.304073392937141E-2</c:v>
                </c:pt>
                <c:pt idx="1">
                  <c:v>1.3092179033432381E-2</c:v>
                </c:pt>
                <c:pt idx="2">
                  <c:v>1.3132502834906768E-2</c:v>
                </c:pt>
                <c:pt idx="3">
                  <c:v>1.2990869956031638E-2</c:v>
                </c:pt>
                <c:pt idx="4">
                  <c:v>1.3194472800569264E-2</c:v>
                </c:pt>
                <c:pt idx="5">
                  <c:v>1.2681148474084235E-2</c:v>
                </c:pt>
                <c:pt idx="6">
                  <c:v>1.2711167217235721E-2</c:v>
                </c:pt>
                <c:pt idx="7">
                  <c:v>1.2507568501996951E-2</c:v>
                </c:pt>
                <c:pt idx="8">
                  <c:v>1.1486588192017713E-2</c:v>
                </c:pt>
                <c:pt idx="9">
                  <c:v>1.0199121203308502E-2</c:v>
                </c:pt>
                <c:pt idx="10">
                  <c:v>9.2659188093637684E-3</c:v>
                </c:pt>
              </c:numCache>
            </c:numRef>
          </c:yVal>
          <c:smooth val="0"/>
          <c:extLst>
            <c:ext xmlns:c16="http://schemas.microsoft.com/office/drawing/2014/chart" uri="{C3380CC4-5D6E-409C-BE32-E72D297353CC}">
              <c16:uniqueId val="{00000007-54FE-4F79-B1C3-54659719A53C}"/>
            </c:ext>
          </c:extLst>
        </c:ser>
        <c:ser>
          <c:idx val="5"/>
          <c:order val="3"/>
          <c:tx>
            <c:v>low flow 4</c:v>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power"/>
            <c:dispRSqr val="0"/>
            <c:dispEq val="0"/>
          </c:trendline>
          <c:xVal>
            <c:numRef>
              <c:f>('2lowflow'!$L$8,'2lowflow'!$L$10:$L$18)</c:f>
              <c:numCache>
                <c:formatCode>0.0E+00</c:formatCode>
                <c:ptCount val="10"/>
                <c:pt idx="0">
                  <c:v>14264.395221837269</c:v>
                </c:pt>
                <c:pt idx="1">
                  <c:v>21278.686563893971</c:v>
                </c:pt>
                <c:pt idx="2">
                  <c:v>26625.705078418359</c:v>
                </c:pt>
                <c:pt idx="3">
                  <c:v>29794.458989530936</c:v>
                </c:pt>
                <c:pt idx="4">
                  <c:v>33131.63036178083</c:v>
                </c:pt>
                <c:pt idx="5">
                  <c:v>36502.48462879999</c:v>
                </c:pt>
                <c:pt idx="6">
                  <c:v>40660.846296579126</c:v>
                </c:pt>
                <c:pt idx="7">
                  <c:v>44179.980053855405</c:v>
                </c:pt>
                <c:pt idx="8">
                  <c:v>47288.172743160452</c:v>
                </c:pt>
                <c:pt idx="9">
                  <c:v>50255.634950659114</c:v>
                </c:pt>
              </c:numCache>
            </c:numRef>
          </c:xVal>
          <c:yVal>
            <c:numRef>
              <c:f>('2lowflow'!$O$8,'2lowflow'!$O$10:$O$18)</c:f>
              <c:numCache>
                <c:formatCode>0.000</c:formatCode>
                <c:ptCount val="10"/>
                <c:pt idx="0">
                  <c:v>1.1891761786368395E-2</c:v>
                </c:pt>
                <c:pt idx="1">
                  <c:v>1.1695335987554286E-2</c:v>
                </c:pt>
                <c:pt idx="2">
                  <c:v>1.1826774127943251E-2</c:v>
                </c:pt>
                <c:pt idx="3">
                  <c:v>1.1877348027892474E-2</c:v>
                </c:pt>
                <c:pt idx="4">
                  <c:v>1.1483046501742863E-2</c:v>
                </c:pt>
                <c:pt idx="5">
                  <c:v>1.1283472706249083E-2</c:v>
                </c:pt>
                <c:pt idx="6">
                  <c:v>1.0821101270403269E-2</c:v>
                </c:pt>
                <c:pt idx="7">
                  <c:v>1.0688637825367402E-2</c:v>
                </c:pt>
                <c:pt idx="8">
                  <c:v>1.0023204683531125E-2</c:v>
                </c:pt>
                <c:pt idx="9">
                  <c:v>9.3326336329008705E-3</c:v>
                </c:pt>
              </c:numCache>
            </c:numRef>
          </c:yVal>
          <c:smooth val="0"/>
          <c:extLst>
            <c:ext xmlns:c16="http://schemas.microsoft.com/office/drawing/2014/chart" uri="{C3380CC4-5D6E-409C-BE32-E72D297353CC}">
              <c16:uniqueId val="{00000009-54FE-4F79-B1C3-54659719A53C}"/>
            </c:ext>
          </c:extLst>
        </c:ser>
        <c:ser>
          <c:idx val="7"/>
          <c:order val="4"/>
          <c:tx>
            <c:v>PVC 3</c:v>
          </c:tx>
          <c:spPr>
            <a:ln w="25400" cap="rnd">
              <a:noFill/>
              <a:round/>
            </a:ln>
            <a:effectLst/>
          </c:spPr>
          <c:marker>
            <c:symbol val="circle"/>
            <c:size val="5"/>
            <c:spPr>
              <a:solidFill>
                <a:schemeClr val="accent2">
                  <a:lumMod val="60000"/>
                </a:schemeClr>
              </a:solidFill>
              <a:ln w="9525">
                <a:solidFill>
                  <a:schemeClr val="accent2">
                    <a:lumMod val="60000"/>
                  </a:schemeClr>
                </a:solidFill>
              </a:ln>
              <a:effectLst/>
            </c:spPr>
          </c:marker>
          <c:trendline>
            <c:spPr>
              <a:ln w="19050" cap="rnd">
                <a:solidFill>
                  <a:schemeClr val="accent2">
                    <a:lumMod val="60000"/>
                  </a:schemeClr>
                </a:solidFill>
                <a:prstDash val="sysDot"/>
              </a:ln>
              <a:effectLst/>
            </c:spPr>
            <c:trendlineType val="power"/>
            <c:dispRSqr val="0"/>
            <c:dispEq val="0"/>
          </c:trendline>
          <c:xVal>
            <c:numRef>
              <c:f>'smoothPVC (3)'!$L$8:$L$18</c:f>
              <c:numCache>
                <c:formatCode>0.0E+00</c:formatCode>
                <c:ptCount val="11"/>
                <c:pt idx="0">
                  <c:v>15817.913888888887</c:v>
                </c:pt>
                <c:pt idx="1">
                  <c:v>18893.619367283951</c:v>
                </c:pt>
                <c:pt idx="2">
                  <c:v>22408.711342592593</c:v>
                </c:pt>
                <c:pt idx="3">
                  <c:v>26363.189814814814</c:v>
                </c:pt>
                <c:pt idx="4">
                  <c:v>29438.895293209873</c:v>
                </c:pt>
                <c:pt idx="5">
                  <c:v>32514.600771604935</c:v>
                </c:pt>
                <c:pt idx="6">
                  <c:v>36469.07924382716</c:v>
                </c:pt>
                <c:pt idx="7">
                  <c:v>39544.784722222219</c:v>
                </c:pt>
                <c:pt idx="8">
                  <c:v>43059.876697530861</c:v>
                </c:pt>
                <c:pt idx="9">
                  <c:v>46574.968672839503</c:v>
                </c:pt>
                <c:pt idx="10">
                  <c:v>49211.287654320979</c:v>
                </c:pt>
              </c:numCache>
            </c:numRef>
          </c:xVal>
          <c:yVal>
            <c:numRef>
              <c:f>'smoothPVC (3)'!$O$8:$O$18</c:f>
              <c:numCache>
                <c:formatCode>0.000</c:formatCode>
                <c:ptCount val="11"/>
                <c:pt idx="0">
                  <c:v>7.1147813848673278E-3</c:v>
                </c:pt>
                <c:pt idx="1">
                  <c:v>7.2863568014363712E-3</c:v>
                </c:pt>
                <c:pt idx="2">
                  <c:v>7.1172430949041935E-3</c:v>
                </c:pt>
                <c:pt idx="3">
                  <c:v>6.5200882091631584E-3</c:v>
                </c:pt>
                <c:pt idx="4">
                  <c:v>6.5558373039927252E-3</c:v>
                </c:pt>
                <c:pt idx="5">
                  <c:v>6.5107341024713133E-3</c:v>
                </c:pt>
                <c:pt idx="6">
                  <c:v>6.3250388368889963E-3</c:v>
                </c:pt>
                <c:pt idx="7">
                  <c:v>6.5034187069277424E-3</c:v>
                </c:pt>
                <c:pt idx="8">
                  <c:v>6.2898996549063521E-3</c:v>
                </c:pt>
                <c:pt idx="9">
                  <c:v>6.2805012144920361E-3</c:v>
                </c:pt>
                <c:pt idx="10">
                  <c:v>6.207379432015347E-3</c:v>
                </c:pt>
              </c:numCache>
            </c:numRef>
          </c:yVal>
          <c:smooth val="0"/>
          <c:extLst>
            <c:ext xmlns:c16="http://schemas.microsoft.com/office/drawing/2014/chart" uri="{C3380CC4-5D6E-409C-BE32-E72D297353CC}">
              <c16:uniqueId val="{00000009-46B4-4F63-9E18-71FACAEC0363}"/>
            </c:ext>
          </c:extLst>
        </c:ser>
        <c:ser>
          <c:idx val="6"/>
          <c:order val="5"/>
          <c:tx>
            <c:v>PVC 2</c:v>
          </c:tx>
          <c:spPr>
            <a:ln w="25400" cap="rnd">
              <a:noFill/>
              <a:round/>
            </a:ln>
            <a:effectLst/>
          </c:spPr>
          <c:marker>
            <c:symbol val="circle"/>
            <c:size val="5"/>
            <c:spPr>
              <a:solidFill>
                <a:schemeClr val="accent1">
                  <a:lumMod val="60000"/>
                </a:schemeClr>
              </a:solidFill>
              <a:ln w="9525">
                <a:solidFill>
                  <a:schemeClr val="accent1">
                    <a:lumMod val="60000"/>
                  </a:schemeClr>
                </a:solidFill>
              </a:ln>
              <a:effectLst/>
            </c:spPr>
          </c:marker>
          <c:trendline>
            <c:spPr>
              <a:ln w="19050" cap="rnd">
                <a:solidFill>
                  <a:schemeClr val="accent1">
                    <a:lumMod val="60000"/>
                  </a:schemeClr>
                </a:solidFill>
                <a:prstDash val="sysDot"/>
              </a:ln>
              <a:effectLst/>
            </c:spPr>
            <c:trendlineType val="power"/>
            <c:dispRSqr val="0"/>
            <c:dispEq val="0"/>
          </c:trendline>
          <c:xVal>
            <c:numRef>
              <c:f>'smoothPVC (2)'!$L$8:$L$18</c:f>
              <c:numCache>
                <c:formatCode>0.0E+00</c:formatCode>
                <c:ptCount val="11"/>
                <c:pt idx="0">
                  <c:v>13181.594907407407</c:v>
                </c:pt>
                <c:pt idx="1">
                  <c:v>17136.07337962963</c:v>
                </c:pt>
                <c:pt idx="2">
                  <c:v>21969.324845679006</c:v>
                </c:pt>
                <c:pt idx="3">
                  <c:v>25484.416820987655</c:v>
                </c:pt>
                <c:pt idx="4">
                  <c:v>28560.122299382714</c:v>
                </c:pt>
                <c:pt idx="5">
                  <c:v>32953.987268518511</c:v>
                </c:pt>
                <c:pt idx="6">
                  <c:v>36029.692746913577</c:v>
                </c:pt>
                <c:pt idx="7">
                  <c:v>39544.784722222219</c:v>
                </c:pt>
                <c:pt idx="8">
                  <c:v>42620.490200617278</c:v>
                </c:pt>
                <c:pt idx="9">
                  <c:v>46574.968672839503</c:v>
                </c:pt>
                <c:pt idx="10">
                  <c:v>50968.83364197531</c:v>
                </c:pt>
              </c:numCache>
            </c:numRef>
          </c:xVal>
          <c:yVal>
            <c:numRef>
              <c:f>'smoothPVC (2)'!$O$8:$O$18</c:f>
              <c:numCache>
                <c:formatCode>0.000</c:formatCode>
                <c:ptCount val="11"/>
                <c:pt idx="0">
                  <c:v>5.8564098466219634E-3</c:v>
                </c:pt>
                <c:pt idx="1">
                  <c:v>6.2395925785539803E-3</c:v>
                </c:pt>
                <c:pt idx="2">
                  <c:v>6.650067758049244E-3</c:v>
                </c:pt>
                <c:pt idx="3">
                  <c:v>6.6498812148136095E-3</c:v>
                </c:pt>
                <c:pt idx="4">
                  <c:v>6.5667148873216142E-3</c:v>
                </c:pt>
                <c:pt idx="5">
                  <c:v>6.3960524100992074E-3</c:v>
                </c:pt>
                <c:pt idx="6">
                  <c:v>6.3221042539284636E-3</c:v>
                </c:pt>
                <c:pt idx="7">
                  <c:v>6.2964940973335203E-3</c:v>
                </c:pt>
                <c:pt idx="8">
                  <c:v>6.3545000361549236E-3</c:v>
                </c:pt>
                <c:pt idx="9">
                  <c:v>6.1840979003342277E-3</c:v>
                </c:pt>
                <c:pt idx="10">
                  <c:v>5.9494215882764699E-3</c:v>
                </c:pt>
              </c:numCache>
            </c:numRef>
          </c:yVal>
          <c:smooth val="0"/>
          <c:extLst>
            <c:ext xmlns:c16="http://schemas.microsoft.com/office/drawing/2014/chart" uri="{C3380CC4-5D6E-409C-BE32-E72D297353CC}">
              <c16:uniqueId val="{0000000B-46B4-4F63-9E18-71FACAEC0363}"/>
            </c:ext>
          </c:extLst>
        </c:ser>
        <c:dLbls>
          <c:showLegendKey val="0"/>
          <c:showVal val="0"/>
          <c:showCatName val="0"/>
          <c:showSerName val="0"/>
          <c:showPercent val="0"/>
          <c:showBubbleSize val="0"/>
        </c:dLbls>
        <c:axId val="282477984"/>
        <c:axId val="282479648"/>
      </c:scatterChart>
      <c:valAx>
        <c:axId val="282477984"/>
        <c:scaling>
          <c:orientation val="minMax"/>
        </c:scaling>
        <c:delete val="0"/>
        <c:axPos val="b"/>
        <c:majorGridlines>
          <c:spPr>
            <a:ln w="9525" cap="flat" cmpd="sng" algn="ctr">
              <a:solidFill>
                <a:schemeClr val="tx1">
                  <a:lumMod val="15000"/>
                  <a:lumOff val="85000"/>
                </a:schemeClr>
              </a:solidFill>
              <a:round/>
            </a:ln>
            <a:effectLst/>
          </c:spPr>
        </c:majorGridlines>
        <c:numFmt formatCode="0.0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2479648"/>
        <c:crosses val="autoZero"/>
        <c:crossBetween val="midCat"/>
      </c:valAx>
      <c:valAx>
        <c:axId val="282479648"/>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247798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87900736205911"/>
          <c:y val="4.9481631827276808E-2"/>
          <c:w val="0.87147208843029911"/>
          <c:h val="0.8116902254688043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6.6569043596624536E-2"/>
                  <c:y val="0.29201935755567365"/>
                </c:manualLayout>
              </c:layout>
              <c:numFmt formatCode="General" sourceLinked="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rendlineLbl>
          </c:trendline>
          <c:xVal>
            <c:numRef>
              <c:f>'1lowflow'!$G$7:$G$18</c:f>
              <c:numCache>
                <c:formatCode>0.00</c:formatCode>
                <c:ptCount val="12"/>
                <c:pt idx="0">
                  <c:v>0</c:v>
                </c:pt>
                <c:pt idx="1">
                  <c:v>0.89197673580303993</c:v>
                </c:pt>
                <c:pt idx="2">
                  <c:v>1.3611132888897601</c:v>
                </c:pt>
                <c:pt idx="3">
                  <c:v>2.0864230913593604</c:v>
                </c:pt>
                <c:pt idx="4">
                  <c:v>2.7777822222240003</c:v>
                </c:pt>
                <c:pt idx="5">
                  <c:v>3.4637401098787599</c:v>
                </c:pt>
                <c:pt idx="6">
                  <c:v>4.4567972543238392</c:v>
                </c:pt>
                <c:pt idx="7">
                  <c:v>5.4444531555590405</c:v>
                </c:pt>
                <c:pt idx="8">
                  <c:v>6.3896707172880411</c:v>
                </c:pt>
                <c:pt idx="9">
                  <c:v>7.5625121000048399</c:v>
                </c:pt>
                <c:pt idx="10">
                  <c:v>8.669766958030241</c:v>
                </c:pt>
                <c:pt idx="11">
                  <c:v>9.6790278321049588</c:v>
                </c:pt>
              </c:numCache>
            </c:numRef>
          </c:xVal>
          <c:yVal>
            <c:numRef>
              <c:f>'1lowflow'!$K$7:$K$18</c:f>
              <c:numCache>
                <c:formatCode>0</c:formatCode>
                <c:ptCount val="12"/>
                <c:pt idx="0">
                  <c:v>0</c:v>
                </c:pt>
                <c:pt idx="1">
                  <c:v>1165.8008512544793</c:v>
                </c:pt>
                <c:pt idx="2">
                  <c:v>1793.5440972222209</c:v>
                </c:pt>
                <c:pt idx="3">
                  <c:v>2747.6395609318993</c:v>
                </c:pt>
                <c:pt idx="4">
                  <c:v>3633.1169802867357</c:v>
                </c:pt>
                <c:pt idx="5">
                  <c:v>4629.997625448028</c:v>
                </c:pt>
                <c:pt idx="6">
                  <c:v>5723.2524641577047</c:v>
                </c:pt>
                <c:pt idx="7">
                  <c:v>6920.7492383512545</c:v>
                </c:pt>
                <c:pt idx="8">
                  <c:v>8025.8008512544802</c:v>
                </c:pt>
                <c:pt idx="9">
                  <c:v>8735.2164295392959</c:v>
                </c:pt>
                <c:pt idx="10">
                  <c:v>8927.6702060931893</c:v>
                </c:pt>
                <c:pt idx="11">
                  <c:v>8968.6709967320185</c:v>
                </c:pt>
              </c:numCache>
            </c:numRef>
          </c:yVal>
          <c:smooth val="0"/>
          <c:extLst>
            <c:ext xmlns:c16="http://schemas.microsoft.com/office/drawing/2014/chart" uri="{C3380CC4-5D6E-409C-BE32-E72D297353CC}">
              <c16:uniqueId val="{00000001-3718-4787-86EB-9EE52BEA33B9}"/>
            </c:ext>
          </c:extLst>
        </c:ser>
        <c:dLbls>
          <c:showLegendKey val="0"/>
          <c:showVal val="0"/>
          <c:showCatName val="0"/>
          <c:showSerName val="0"/>
          <c:showPercent val="0"/>
          <c:showBubbleSize val="0"/>
        </c:dLbls>
        <c:axId val="495907024"/>
        <c:axId val="495906368"/>
      </c:scatterChart>
      <c:valAx>
        <c:axId val="4959070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a:t>u^2</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6368"/>
        <c:crosses val="autoZero"/>
        <c:crossBetween val="midCat"/>
      </c:valAx>
      <c:valAx>
        <c:axId val="495906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l-GR" sz="1400" b="0" i="0" u="none" strike="noStrike" baseline="0">
                    <a:effectLst/>
                  </a:rPr>
                  <a:t>Δ</a:t>
                </a:r>
                <a:r>
                  <a:rPr lang="en-US" sz="1400" b="0" i="0" u="none" strike="noStrike" baseline="0">
                    <a:effectLst/>
                  </a:rPr>
                  <a:t>P(Pa)</a:t>
                </a:r>
                <a:r>
                  <a:rPr lang="en-US" sz="1400" b="0" i="0" u="none" strike="noStrike" baseline="0"/>
                  <a:t> </a:t>
                </a:r>
                <a:endParaRPr lang="en-US" sz="1400"/>
              </a:p>
            </c:rich>
          </c:tx>
          <c:layout>
            <c:manualLayout>
              <c:xMode val="edge"/>
              <c:yMode val="edge"/>
              <c:x val="1.1874859823608077E-2"/>
              <c:y val="0.37440418485845395"/>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7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87900736205911"/>
          <c:y val="4.9481631827276808E-2"/>
          <c:w val="0.87147208843029911"/>
          <c:h val="0.8116902254688043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5.0976046472021953E-2"/>
                  <c:y val="0.24339626849488494"/>
                </c:manualLayout>
              </c:layout>
              <c:numFmt formatCode="General" sourceLinked="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rendlineLbl>
          </c:trendline>
          <c:xVal>
            <c:numRef>
              <c:f>'2lowflow'!$G$7:$G$18</c:f>
              <c:numCache>
                <c:formatCode>0.00</c:formatCode>
                <c:ptCount val="12"/>
                <c:pt idx="0">
                  <c:v>0</c:v>
                </c:pt>
                <c:pt idx="1">
                  <c:v>0.79012472098816011</c:v>
                </c:pt>
                <c:pt idx="3">
                  <c:v>1.7777806222233601</c:v>
                </c:pt>
                <c:pt idx="4">
                  <c:v>2.5956831654337602</c:v>
                </c:pt>
                <c:pt idx="5">
                  <c:v>3.2600360802490003</c:v>
                </c:pt>
                <c:pt idx="6">
                  <c:v>4.0000064000025599</c:v>
                </c:pt>
                <c:pt idx="7">
                  <c:v>4.9382795061760012</c:v>
                </c:pt>
                <c:pt idx="8">
                  <c:v>5.9753182024729599</c:v>
                </c:pt>
                <c:pt idx="9">
                  <c:v>6.9637457098810005</c:v>
                </c:pt>
                <c:pt idx="10">
                  <c:v>8.0277906222273625</c:v>
                </c:pt>
                <c:pt idx="11">
                  <c:v>9.0000144000057603</c:v>
                </c:pt>
              </c:numCache>
            </c:numRef>
          </c:xVal>
          <c:yVal>
            <c:numRef>
              <c:f>'2lowflow'!$K$7:$K$18</c:f>
              <c:numCache>
                <c:formatCode>0</c:formatCode>
                <c:ptCount val="12"/>
                <c:pt idx="0">
                  <c:v>0</c:v>
                </c:pt>
                <c:pt idx="1">
                  <c:v>972.6012754342479</c:v>
                </c:pt>
                <c:pt idx="3">
                  <c:v>2152.2060843940362</c:v>
                </c:pt>
                <c:pt idx="4">
                  <c:v>3177.6858997799804</c:v>
                </c:pt>
                <c:pt idx="5">
                  <c:v>4008.0660775738734</c:v>
                </c:pt>
                <c:pt idx="6">
                  <c:v>4754.5650499603353</c:v>
                </c:pt>
                <c:pt idx="7">
                  <c:v>5767.816484310445</c:v>
                </c:pt>
                <c:pt idx="8">
                  <c:v>6693.0717848967079</c:v>
                </c:pt>
                <c:pt idx="9">
                  <c:v>7704.7446409129298</c:v>
                </c:pt>
                <c:pt idx="10">
                  <c:v>8329.0528899001456</c:v>
                </c:pt>
                <c:pt idx="11">
                  <c:v>8694.4157892912117</c:v>
                </c:pt>
              </c:numCache>
            </c:numRef>
          </c:yVal>
          <c:smooth val="0"/>
          <c:extLst>
            <c:ext xmlns:c16="http://schemas.microsoft.com/office/drawing/2014/chart" uri="{C3380CC4-5D6E-409C-BE32-E72D297353CC}">
              <c16:uniqueId val="{00000001-842F-4C7D-9190-E2C9DB9BAD0B}"/>
            </c:ext>
          </c:extLst>
        </c:ser>
        <c:dLbls>
          <c:showLegendKey val="0"/>
          <c:showVal val="0"/>
          <c:showCatName val="0"/>
          <c:showSerName val="0"/>
          <c:showPercent val="0"/>
          <c:showBubbleSize val="0"/>
        </c:dLbls>
        <c:axId val="495907024"/>
        <c:axId val="495906368"/>
      </c:scatterChart>
      <c:valAx>
        <c:axId val="495907024"/>
        <c:scaling>
          <c:orientation val="minMax"/>
        </c:scaling>
        <c:delete val="0"/>
        <c:axPos val="b"/>
        <c:majorGridlines>
          <c:spPr>
            <a:ln w="9525" cap="flat" cmpd="sng" algn="ctr">
              <a:solidFill>
                <a:schemeClr val="tx1">
                  <a:lumMod val="15000"/>
                  <a:lumOff val="85000"/>
                </a:schemeClr>
              </a:solidFill>
              <a:round/>
            </a:ln>
            <a:effectLst/>
          </c:spPr>
        </c:majorGridlines>
        <c:title>
          <c:tx>
            <c:strRef>
              <c:f>'2lowflow'!$W$2</c:f>
              <c:strCache>
                <c:ptCount val="1"/>
              </c:strCache>
            </c:strRef>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6368"/>
        <c:crosses val="autoZero"/>
        <c:crossBetween val="midCat"/>
      </c:valAx>
      <c:valAx>
        <c:axId val="495906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l-GR" sz="1400" b="0" i="0" u="none" strike="noStrike" baseline="0">
                    <a:effectLst/>
                  </a:rPr>
                  <a:t>Δ</a:t>
                </a:r>
                <a:r>
                  <a:rPr lang="en-US" sz="1400" b="0" i="0" u="none" strike="noStrike" baseline="0">
                    <a:effectLst/>
                  </a:rPr>
                  <a:t>P(Pa)</a:t>
                </a:r>
                <a:r>
                  <a:rPr lang="en-US" sz="1400" b="0" i="0" u="none" strike="noStrike" baseline="0"/>
                  <a:t> </a:t>
                </a:r>
                <a:endParaRPr lang="en-US" sz="1400"/>
              </a:p>
            </c:rich>
          </c:tx>
          <c:layout>
            <c:manualLayout>
              <c:xMode val="edge"/>
              <c:yMode val="edge"/>
              <c:x val="1.1874859823608077E-2"/>
              <c:y val="0.37440418485845395"/>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7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1"/>
          <c:tx>
            <c:v>LowFlowHartlepoolBiofilm2 - Load</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2.2825855666515319E-4"/>
                  <c:y val="-0.145281216584621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'2lowflow'!$L$8:$L$18</c:f>
              <c:numCache>
                <c:formatCode>0.0E+00</c:formatCode>
                <c:ptCount val="11"/>
                <c:pt idx="0">
                  <c:v>14264.395221837269</c:v>
                </c:pt>
                <c:pt idx="2">
                  <c:v>21278.686563893971</c:v>
                </c:pt>
                <c:pt idx="3">
                  <c:v>26625.705078418359</c:v>
                </c:pt>
                <c:pt idx="4">
                  <c:v>29794.458989530936</c:v>
                </c:pt>
                <c:pt idx="5">
                  <c:v>33131.63036178083</c:v>
                </c:pt>
                <c:pt idx="6">
                  <c:v>36502.48462879999</c:v>
                </c:pt>
                <c:pt idx="7">
                  <c:v>40660.846296579126</c:v>
                </c:pt>
                <c:pt idx="8">
                  <c:v>44179.980053855405</c:v>
                </c:pt>
                <c:pt idx="9">
                  <c:v>47288.172743160452</c:v>
                </c:pt>
                <c:pt idx="10">
                  <c:v>50255.634950659114</c:v>
                </c:pt>
              </c:numCache>
            </c:numRef>
          </c:xVal>
          <c:yVal>
            <c:numRef>
              <c:f>'2lowflow'!$O$8:$O$18</c:f>
              <c:numCache>
                <c:formatCode>0.000</c:formatCode>
                <c:ptCount val="11"/>
                <c:pt idx="0">
                  <c:v>1.1891761786368395E-2</c:v>
                </c:pt>
                <c:pt idx="2">
                  <c:v>1.1695335987554286E-2</c:v>
                </c:pt>
                <c:pt idx="3">
                  <c:v>1.1826774127943251E-2</c:v>
                </c:pt>
                <c:pt idx="4">
                  <c:v>1.1877348027892474E-2</c:v>
                </c:pt>
                <c:pt idx="5">
                  <c:v>1.1483046501742863E-2</c:v>
                </c:pt>
                <c:pt idx="6">
                  <c:v>1.1283472706249083E-2</c:v>
                </c:pt>
                <c:pt idx="7">
                  <c:v>1.0821101270403269E-2</c:v>
                </c:pt>
                <c:pt idx="8">
                  <c:v>1.0688637825367402E-2</c:v>
                </c:pt>
                <c:pt idx="9">
                  <c:v>1.0023204683531125E-2</c:v>
                </c:pt>
                <c:pt idx="10">
                  <c:v>9.3326336329008705E-3</c:v>
                </c:pt>
              </c:numCache>
            </c:numRef>
          </c:yVal>
          <c:smooth val="0"/>
          <c:extLst>
            <c:ext xmlns:c16="http://schemas.microsoft.com/office/drawing/2014/chart" uri="{C3380CC4-5D6E-409C-BE32-E72D297353CC}">
              <c16:uniqueId val="{00000000-0EEA-4035-AC01-B0EF43FD3586}"/>
            </c:ext>
          </c:extLst>
        </c:ser>
        <c:ser>
          <c:idx val="2"/>
          <c:order val="2"/>
          <c:tx>
            <c:v>LowFlowHartlepoolBiofilm2 - Unload</c:v>
          </c:tx>
          <c:spPr>
            <a:ln w="25400" cap="rnd">
              <a:noFill/>
              <a:round/>
            </a:ln>
            <a:effectLst/>
          </c:spPr>
          <c:marker>
            <c:symbol val="circle"/>
            <c:size val="5"/>
            <c:spPr>
              <a:solidFill>
                <a:schemeClr val="accent3"/>
              </a:solidFill>
              <a:ln w="9525">
                <a:solidFill>
                  <a:schemeClr val="accent3"/>
                </a:solidFill>
              </a:ln>
              <a:effectLst/>
            </c:spPr>
          </c:marker>
          <c:xVal>
            <c:numRef>
              <c:f>'2lowflow'!$L$19:$L$28</c:f>
              <c:numCache>
                <c:formatCode>0.0E+00</c:formatCode>
                <c:ptCount val="10"/>
                <c:pt idx="0">
                  <c:v>46526.989891668483</c:v>
                </c:pt>
                <c:pt idx="1">
                  <c:v>42366.179233228439</c:v>
                </c:pt>
                <c:pt idx="2">
                  <c:v>39169.375760645155</c:v>
                </c:pt>
                <c:pt idx="3">
                  <c:v>36313.45775137873</c:v>
                </c:pt>
                <c:pt idx="4">
                  <c:v>32137.890608754016</c:v>
                </c:pt>
                <c:pt idx="5">
                  <c:v>29318.655403145272</c:v>
                </c:pt>
                <c:pt idx="6">
                  <c:v>26007.749733327604</c:v>
                </c:pt>
                <c:pt idx="7">
                  <c:v>21872.813703350148</c:v>
                </c:pt>
                <c:pt idx="8">
                  <c:v>18136.983198361446</c:v>
                </c:pt>
                <c:pt idx="9">
                  <c:v>14431.22301436929</c:v>
                </c:pt>
              </c:numCache>
            </c:numRef>
          </c:xVal>
          <c:yVal>
            <c:numRef>
              <c:f>'2lowflow'!$O$19:$O$28</c:f>
              <c:numCache>
                <c:formatCode>0.000</c:formatCode>
                <c:ptCount val="10"/>
                <c:pt idx="0">
                  <c:v>8.9227819650030214E-3</c:v>
                </c:pt>
                <c:pt idx="1">
                  <c:v>1.0687941722231909E-2</c:v>
                </c:pt>
                <c:pt idx="2">
                  <c:v>1.0722991559215139E-2</c:v>
                </c:pt>
                <c:pt idx="3">
                  <c:v>1.055904429793266E-2</c:v>
                </c:pt>
                <c:pt idx="4">
                  <c:v>1.0626836811784937E-2</c:v>
                </c:pt>
                <c:pt idx="5">
                  <c:v>1.0439088969529296E-2</c:v>
                </c:pt>
                <c:pt idx="6">
                  <c:v>1.0618313091164018E-2</c:v>
                </c:pt>
                <c:pt idx="7">
                  <c:v>1.0376801051235019E-2</c:v>
                </c:pt>
                <c:pt idx="8">
                  <c:v>9.7453353484020823E-3</c:v>
                </c:pt>
                <c:pt idx="9">
                  <c:v>8.7438232624142097E-3</c:v>
                </c:pt>
              </c:numCache>
            </c:numRef>
          </c:yVal>
          <c:smooth val="0"/>
          <c:extLst>
            <c:ext xmlns:c16="http://schemas.microsoft.com/office/drawing/2014/chart" uri="{C3380CC4-5D6E-409C-BE32-E72D297353CC}">
              <c16:uniqueId val="{00000001-0EEA-4035-AC01-B0EF43FD3586}"/>
            </c:ext>
          </c:extLst>
        </c:ser>
        <c:dLbls>
          <c:showLegendKey val="0"/>
          <c:showVal val="0"/>
          <c:showCatName val="0"/>
          <c:showSerName val="0"/>
          <c:showPercent val="0"/>
          <c:showBubbleSize val="0"/>
        </c:dLbls>
        <c:axId val="424978536"/>
        <c:axId val="424985752"/>
        <c:extLst>
          <c:ext xmlns:c15="http://schemas.microsoft.com/office/drawing/2012/chart" uri="{02D57815-91ED-43cb-92C2-25804820EDAC}">
            <c15:filteredScatterSeries>
              <c15:ser>
                <c:idx val="1"/>
                <c:order val="0"/>
                <c:tx>
                  <c:strRef>
                    <c:extLst>
                      <c:ext uri="{02D57815-91ED-43cb-92C2-25804820EDAC}">
                        <c15:formulaRef>
                          <c15:sqref>#REF!</c15:sqref>
                        </c15:formulaRef>
                      </c:ext>
                    </c:extLst>
                    <c:strCache>
                      <c:ptCount val="1"/>
                      <c:pt idx="0">
                        <c:v>#REF!</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wer"/>
                  <c:dispRSqr val="0"/>
                  <c:dispEq val="1"/>
                  <c:trendlineLbl>
                    <c:layout>
                      <c:manualLayout>
                        <c:x val="3.2841416116786721E-4"/>
                        <c:y val="4.8865132254902813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extLst>
                      <c:ext uri="{02D57815-91ED-43cb-92C2-25804820EDAC}">
                        <c15:formulaRef>
                          <c15:sqref>#REF!</c15:sqref>
                        </c15:formulaRef>
                      </c:ext>
                    </c:extLst>
                  </c:numRef>
                </c:xVal>
                <c:yVal>
                  <c:numRef>
                    <c:extLst>
                      <c:ext uri="{02D57815-91ED-43cb-92C2-25804820EDAC}">
                        <c15:formulaRef>
                          <c15:sqref>#REF!</c15:sqref>
                        </c15:formulaRef>
                      </c:ext>
                    </c:extLst>
                    <c:numCache>
                      <c:formatCode>General</c:formatCode>
                      <c:ptCount val="1"/>
                      <c:pt idx="0">
                        <c:v>1</c:v>
                      </c:pt>
                    </c:numCache>
                  </c:numRef>
                </c:yVal>
                <c:smooth val="0"/>
                <c:extLst>
                  <c:ext xmlns:c16="http://schemas.microsoft.com/office/drawing/2014/chart" uri="{C3380CC4-5D6E-409C-BE32-E72D297353CC}">
                    <c16:uniqueId val="{00000003-0EEA-4035-AC01-B0EF43FD3586}"/>
                  </c:ext>
                </c:extLst>
              </c15:ser>
            </c15:filteredScatterSeries>
          </c:ext>
        </c:extLst>
      </c:scatterChart>
      <c:valAx>
        <c:axId val="424978536"/>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Re</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85752"/>
        <c:crosses val="autoZero"/>
        <c:crossBetween val="midCat"/>
      </c:valAx>
      <c:valAx>
        <c:axId val="4249857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US" sz="1600" baseline="0"/>
                  <a:t>Fanning  Friction Factor (f)</a:t>
                </a:r>
                <a:endParaRPr lang="en-US" sz="1600"/>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7853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dash"/>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87900736205911"/>
          <c:y val="4.9481631827276808E-2"/>
          <c:w val="0.87147208843029911"/>
          <c:h val="0.8116902254688043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5.0976046472021953E-2"/>
                  <c:y val="0.24339626849488494"/>
                </c:manualLayout>
              </c:layout>
              <c:numFmt formatCode="General" sourceLinked="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rendlineLbl>
          </c:trendline>
          <c:xVal>
            <c:numRef>
              <c:f>'LF averages'!$G$7:$G$18</c:f>
              <c:numCache>
                <c:formatCode>General</c:formatCode>
                <c:ptCount val="12"/>
                <c:pt idx="0">
                  <c:v>0</c:v>
                </c:pt>
                <c:pt idx="1">
                  <c:v>0.84105072839560002</c:v>
                </c:pt>
                <c:pt idx="2">
                  <c:v>1.3611132888897601</c:v>
                </c:pt>
                <c:pt idx="3">
                  <c:v>1.9321018567913604</c:v>
                </c:pt>
                <c:pt idx="4">
                  <c:v>2.6867326938288802</c:v>
                </c:pt>
                <c:pt idx="5">
                  <c:v>3.3618880950638799</c:v>
                </c:pt>
                <c:pt idx="6">
                  <c:v>4.2284018271632</c:v>
                </c:pt>
                <c:pt idx="7">
                  <c:v>5.1913663308675204</c:v>
                </c:pt>
                <c:pt idx="8">
                  <c:v>6.1824944598805001</c:v>
                </c:pt>
                <c:pt idx="9">
                  <c:v>7.2631289049429206</c:v>
                </c:pt>
                <c:pt idx="10">
                  <c:v>8.3487787901288009</c:v>
                </c:pt>
                <c:pt idx="11">
                  <c:v>9.3395211160553586</c:v>
                </c:pt>
              </c:numCache>
            </c:numRef>
          </c:xVal>
          <c:yVal>
            <c:numRef>
              <c:f>'LF averages'!$K$7:$K$18</c:f>
              <c:numCache>
                <c:formatCode>General</c:formatCode>
                <c:ptCount val="12"/>
                <c:pt idx="0">
                  <c:v>0</c:v>
                </c:pt>
                <c:pt idx="1">
                  <c:v>1069.2010633443635</c:v>
                </c:pt>
                <c:pt idx="2">
                  <c:v>1793.5440972222209</c:v>
                </c:pt>
                <c:pt idx="3">
                  <c:v>2449.9228226629675</c:v>
                </c:pt>
                <c:pt idx="4">
                  <c:v>3405.4014400333581</c:v>
                </c:pt>
                <c:pt idx="5">
                  <c:v>4319.0318515109502</c:v>
                </c:pt>
                <c:pt idx="6">
                  <c:v>5238.90875705902</c:v>
                </c:pt>
                <c:pt idx="7">
                  <c:v>6344.2828613308502</c:v>
                </c:pt>
                <c:pt idx="8">
                  <c:v>7359.4363180755936</c:v>
                </c:pt>
                <c:pt idx="9">
                  <c:v>8219.9805352261137</c:v>
                </c:pt>
                <c:pt idx="10">
                  <c:v>8628.3615479966684</c:v>
                </c:pt>
                <c:pt idx="11">
                  <c:v>8831.543393011616</c:v>
                </c:pt>
              </c:numCache>
            </c:numRef>
          </c:yVal>
          <c:smooth val="0"/>
          <c:extLst>
            <c:ext xmlns:c16="http://schemas.microsoft.com/office/drawing/2014/chart" uri="{C3380CC4-5D6E-409C-BE32-E72D297353CC}">
              <c16:uniqueId val="{00000001-A937-459A-9E80-5F2FAE062160}"/>
            </c:ext>
          </c:extLst>
        </c:ser>
        <c:dLbls>
          <c:showLegendKey val="0"/>
          <c:showVal val="0"/>
          <c:showCatName val="0"/>
          <c:showSerName val="0"/>
          <c:showPercent val="0"/>
          <c:showBubbleSize val="0"/>
        </c:dLbls>
        <c:axId val="495907024"/>
        <c:axId val="495906368"/>
      </c:scatterChart>
      <c:valAx>
        <c:axId val="495907024"/>
        <c:scaling>
          <c:orientation val="minMax"/>
        </c:scaling>
        <c:delete val="0"/>
        <c:axPos val="b"/>
        <c:majorGridlines>
          <c:spPr>
            <a:ln w="9525" cap="flat" cmpd="sng" algn="ctr">
              <a:solidFill>
                <a:schemeClr val="tx1">
                  <a:lumMod val="15000"/>
                  <a:lumOff val="85000"/>
                </a:schemeClr>
              </a:solidFill>
              <a:round/>
            </a:ln>
            <a:effectLst/>
          </c:spPr>
        </c:majorGridlines>
        <c:title>
          <c:tx>
            <c:strRef>
              <c:f>'LF averages'!$W$2</c:f>
              <c:strCache>
                <c:ptCount val="1"/>
              </c:strCache>
            </c:strRef>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6368"/>
        <c:crosses val="autoZero"/>
        <c:crossBetween val="midCat"/>
      </c:valAx>
      <c:valAx>
        <c:axId val="495906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l-GR" sz="1400" b="0" i="0" u="none" strike="noStrike" baseline="0">
                    <a:effectLst/>
                  </a:rPr>
                  <a:t>Δ</a:t>
                </a:r>
                <a:r>
                  <a:rPr lang="en-US" sz="1400" b="0" i="0" u="none" strike="noStrike" baseline="0">
                    <a:effectLst/>
                  </a:rPr>
                  <a:t>P(Pa)</a:t>
                </a:r>
                <a:r>
                  <a:rPr lang="en-US" sz="1400" b="0" i="0" u="none" strike="noStrike" baseline="0"/>
                  <a:t> </a:t>
                </a:r>
                <a:endParaRPr lang="en-US" sz="1400"/>
              </a:p>
            </c:rich>
          </c:tx>
          <c:layout>
            <c:manualLayout>
              <c:xMode val="edge"/>
              <c:yMode val="edge"/>
              <c:x val="1.1874859823608077E-2"/>
              <c:y val="0.37440418485845395"/>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7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1"/>
          <c:tx>
            <c:v>LowFlowHartlepoolBiofilm2 - Load</c:v>
          </c:tx>
          <c:spPr>
            <a:ln w="25400" cap="rnd">
              <a:noFill/>
              <a:round/>
            </a:ln>
            <a:effectLst/>
          </c:spPr>
          <c:marker>
            <c:symbol val="circle"/>
            <c:size val="5"/>
            <c:spPr>
              <a:solidFill>
                <a:schemeClr val="accent1"/>
              </a:solidFill>
              <a:ln w="9525">
                <a:solidFill>
                  <a:schemeClr val="accent1"/>
                </a:solidFill>
              </a:ln>
              <a:effectLst/>
            </c:spPr>
          </c:marker>
          <c:xVal>
            <c:numRef>
              <c:f>'LF averages'!$L$8:$L$18</c:f>
              <c:numCache>
                <c:formatCode>General</c:formatCode>
                <c:ptCount val="11"/>
                <c:pt idx="0">
                  <c:v>14675.410691070609</c:v>
                </c:pt>
                <c:pt idx="1">
                  <c:v>18557.509953635461</c:v>
                </c:pt>
                <c:pt idx="2">
                  <c:v>22169.620050159996</c:v>
                </c:pt>
                <c:pt idx="3">
                  <c:v>26564.032850486914</c:v>
                </c:pt>
                <c:pt idx="4">
                  <c:v>29602.656533150413</c:v>
                </c:pt>
                <c:pt idx="5">
                  <c:v>33253.58954553779</c:v>
                </c:pt>
                <c:pt idx="6">
                  <c:v>36928.458051108559</c:v>
                </c:pt>
                <c:pt idx="7">
                  <c:v>40479.290914096782</c:v>
                </c:pt>
                <c:pt idx="8">
                  <c:v>43980.955906021321</c:v>
                </c:pt>
                <c:pt idx="9">
                  <c:v>46988.564444057891</c:v>
                </c:pt>
                <c:pt idx="10">
                  <c:v>50031.090180211584</c:v>
                </c:pt>
              </c:numCache>
            </c:numRef>
          </c:xVal>
          <c:yVal>
            <c:numRef>
              <c:f>'LF averages'!$O$8:$O$18</c:f>
              <c:numCache>
                <c:formatCode>General</c:formatCode>
                <c:ptCount val="11"/>
                <c:pt idx="0">
                  <c:v>1.2466247857869903E-2</c:v>
                </c:pt>
                <c:pt idx="1">
                  <c:v>1.3092179033432381E-2</c:v>
                </c:pt>
                <c:pt idx="2">
                  <c:v>1.2413919411230528E-2</c:v>
                </c:pt>
                <c:pt idx="3">
                  <c:v>1.2408822041987445E-2</c:v>
                </c:pt>
                <c:pt idx="4">
                  <c:v>1.2535910414230869E-2</c:v>
                </c:pt>
                <c:pt idx="5">
                  <c:v>1.208209748791355E-2</c:v>
                </c:pt>
                <c:pt idx="6">
                  <c:v>1.1997319961742402E-2</c:v>
                </c:pt>
                <c:pt idx="7">
                  <c:v>1.166433488620011E-2</c:v>
                </c:pt>
                <c:pt idx="8">
                  <c:v>1.1087613008692557E-2</c:v>
                </c:pt>
                <c:pt idx="9">
                  <c:v>1.0111162943419814E-2</c:v>
                </c:pt>
                <c:pt idx="10">
                  <c:v>9.2992762211323195E-3</c:v>
                </c:pt>
              </c:numCache>
            </c:numRef>
          </c:yVal>
          <c:smooth val="0"/>
          <c:extLst>
            <c:ext xmlns:c16="http://schemas.microsoft.com/office/drawing/2014/chart" uri="{C3380CC4-5D6E-409C-BE32-E72D297353CC}">
              <c16:uniqueId val="{00000000-0920-43B5-A452-ADF609741BC4}"/>
            </c:ext>
          </c:extLst>
        </c:ser>
        <c:ser>
          <c:idx val="2"/>
          <c:order val="2"/>
          <c:spPr>
            <a:ln w="25400" cap="rnd">
              <a:noFill/>
              <a:round/>
            </a:ln>
            <a:effectLst/>
          </c:spPr>
          <c:marker>
            <c:symbol val="circle"/>
            <c:size val="5"/>
            <c:spPr>
              <a:solidFill>
                <a:schemeClr val="accent3"/>
              </a:solidFill>
              <a:ln w="9525">
                <a:solidFill>
                  <a:schemeClr val="accent3"/>
                </a:solidFill>
              </a:ln>
              <a:effectLst/>
            </c:spPr>
          </c:marker>
          <c:xVal>
            <c:numRef>
              <c:f>'LF averages'!$L$18:$L$28</c:f>
              <c:numCache>
                <c:formatCode>General</c:formatCode>
                <c:ptCount val="11"/>
                <c:pt idx="0">
                  <c:v>50031.090180211584</c:v>
                </c:pt>
                <c:pt idx="1">
                  <c:v>46595.088210446309</c:v>
                </c:pt>
                <c:pt idx="2">
                  <c:v>42992.227020010483</c:v>
                </c:pt>
                <c:pt idx="3">
                  <c:v>39660.730351623017</c:v>
                </c:pt>
                <c:pt idx="4">
                  <c:v>36187.819770516762</c:v>
                </c:pt>
                <c:pt idx="5">
                  <c:v>32628.94437915353</c:v>
                </c:pt>
                <c:pt idx="6">
                  <c:v>29751.609258970406</c:v>
                </c:pt>
                <c:pt idx="7">
                  <c:v>26121.266087409938</c:v>
                </c:pt>
                <c:pt idx="8">
                  <c:v>22287.712161619485</c:v>
                </c:pt>
                <c:pt idx="9">
                  <c:v>18461.574700249785</c:v>
                </c:pt>
                <c:pt idx="10">
                  <c:v>14952.156099127715</c:v>
                </c:pt>
              </c:numCache>
            </c:numRef>
          </c:xVal>
          <c:yVal>
            <c:numRef>
              <c:f>'LF averages'!$O$18:$O$28</c:f>
              <c:numCache>
                <c:formatCode>General</c:formatCode>
                <c:ptCount val="11"/>
                <c:pt idx="0">
                  <c:v>9.2992762211323195E-3</c:v>
                </c:pt>
                <c:pt idx="1">
                  <c:v>9.7061262284563916E-3</c:v>
                </c:pt>
                <c:pt idx="2">
                  <c:v>1.1192594007529102E-2</c:v>
                </c:pt>
                <c:pt idx="3">
                  <c:v>1.1550785138448632E-2</c:v>
                </c:pt>
                <c:pt idx="4">
                  <c:v>1.1562382267804427E-2</c:v>
                </c:pt>
                <c:pt idx="5">
                  <c:v>1.1431277030215185E-2</c:v>
                </c:pt>
                <c:pt idx="6">
                  <c:v>1.1261886968923237E-2</c:v>
                </c:pt>
                <c:pt idx="7">
                  <c:v>1.1537310592921193E-2</c:v>
                </c:pt>
                <c:pt idx="8">
                  <c:v>1.1523854975373201E-2</c:v>
                </c:pt>
                <c:pt idx="9">
                  <c:v>1.1179856990135595E-2</c:v>
                </c:pt>
                <c:pt idx="10">
                  <c:v>1.0273314610244676E-2</c:v>
                </c:pt>
              </c:numCache>
            </c:numRef>
          </c:yVal>
          <c:smooth val="0"/>
          <c:extLst>
            <c:ext xmlns:c16="http://schemas.microsoft.com/office/drawing/2014/chart" uri="{C3380CC4-5D6E-409C-BE32-E72D297353CC}">
              <c16:uniqueId val="{00000001-0920-43B5-A452-ADF609741BC4}"/>
            </c:ext>
          </c:extLst>
        </c:ser>
        <c:dLbls>
          <c:showLegendKey val="0"/>
          <c:showVal val="0"/>
          <c:showCatName val="0"/>
          <c:showSerName val="0"/>
          <c:showPercent val="0"/>
          <c:showBubbleSize val="0"/>
        </c:dLbls>
        <c:axId val="424978536"/>
        <c:axId val="424985752"/>
        <c:extLst>
          <c:ext xmlns:c15="http://schemas.microsoft.com/office/drawing/2012/chart" uri="{02D57815-91ED-43cb-92C2-25804820EDAC}">
            <c15:filteredScatterSeries>
              <c15:ser>
                <c:idx val="1"/>
                <c:order val="0"/>
                <c:tx>
                  <c:strRef>
                    <c:extLst>
                      <c:ext uri="{02D57815-91ED-43cb-92C2-25804820EDAC}">
                        <c15:formulaRef>
                          <c15:sqref>#REF!</c15:sqref>
                        </c15:formulaRef>
                      </c:ext>
                    </c:extLst>
                    <c:strCache>
                      <c:ptCount val="1"/>
                      <c:pt idx="0">
                        <c:v>#REF!</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wer"/>
                  <c:dispRSqr val="0"/>
                  <c:dispEq val="1"/>
                  <c:trendlineLbl>
                    <c:layout>
                      <c:manualLayout>
                        <c:x val="3.2841416116786721E-4"/>
                        <c:y val="4.8865132254902813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extLst>
                      <c:ext uri="{02D57815-91ED-43cb-92C2-25804820EDAC}">
                        <c15:formulaRef>
                          <c15:sqref>#REF!</c15:sqref>
                        </c15:formulaRef>
                      </c:ext>
                    </c:extLst>
                  </c:numRef>
                </c:xVal>
                <c:yVal>
                  <c:numRef>
                    <c:extLst>
                      <c:ext uri="{02D57815-91ED-43cb-92C2-25804820EDAC}">
                        <c15:formulaRef>
                          <c15:sqref>#REF!</c15:sqref>
                        </c15:formulaRef>
                      </c:ext>
                    </c:extLst>
                    <c:numCache>
                      <c:formatCode>General</c:formatCode>
                      <c:ptCount val="1"/>
                      <c:pt idx="0">
                        <c:v>1</c:v>
                      </c:pt>
                    </c:numCache>
                  </c:numRef>
                </c:yVal>
                <c:smooth val="0"/>
                <c:extLst>
                  <c:ext xmlns:c16="http://schemas.microsoft.com/office/drawing/2014/chart" uri="{C3380CC4-5D6E-409C-BE32-E72D297353CC}">
                    <c16:uniqueId val="{00000003-0920-43B5-A452-ADF609741BC4}"/>
                  </c:ext>
                </c:extLst>
              </c15:ser>
            </c15:filteredScatterSeries>
          </c:ext>
        </c:extLst>
      </c:scatterChart>
      <c:valAx>
        <c:axId val="424978536"/>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Re</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85752"/>
        <c:crosses val="autoZero"/>
        <c:crossBetween val="midCat"/>
      </c:valAx>
      <c:valAx>
        <c:axId val="4249857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US" sz="1600" baseline="0"/>
                  <a:t>Fanning  Friction Factor (f)</a:t>
                </a:r>
                <a:endParaRPr lang="en-US" sz="1600"/>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7853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dash"/>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87905743009573"/>
          <c:y val="7.6000885431489737E-2"/>
          <c:w val="0.87147208843029911"/>
          <c:h val="0.8116902254688043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5.0976046472021953E-2"/>
                  <c:y val="0.24339626849488494"/>
                </c:manualLayout>
              </c:layout>
              <c:numFmt formatCode="General" sourceLinked="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rendlineLbl>
          </c:trendline>
          <c:xVal>
            <c:numRef>
              <c:f>'1highflow'!$G$7:$G$18</c:f>
              <c:numCache>
                <c:formatCode>0.00</c:formatCode>
                <c:ptCount val="12"/>
                <c:pt idx="0">
                  <c:v>0</c:v>
                </c:pt>
                <c:pt idx="1">
                  <c:v>1.00000160000064</c:v>
                </c:pt>
                <c:pt idx="2">
                  <c:v>1.4266998135811599</c:v>
                </c:pt>
                <c:pt idx="3">
                  <c:v>1.9290154320999999</c:v>
                </c:pt>
                <c:pt idx="4">
                  <c:v>2.7777822222240003</c:v>
                </c:pt>
                <c:pt idx="5">
                  <c:v>3.5679069432121597</c:v>
                </c:pt>
                <c:pt idx="6">
                  <c:v>4.4567972543238392</c:v>
                </c:pt>
                <c:pt idx="7">
                  <c:v>5.1882799061761604</c:v>
                </c:pt>
                <c:pt idx="8">
                  <c:v>6.1118924950656393</c:v>
                </c:pt>
                <c:pt idx="9">
                  <c:v>7.2600424802515597</c:v>
                </c:pt>
                <c:pt idx="10">
                  <c:v>8.5069580555610003</c:v>
                </c:pt>
                <c:pt idx="11">
                  <c:v>9.6790278321049588</c:v>
                </c:pt>
              </c:numCache>
            </c:numRef>
          </c:xVal>
          <c:yVal>
            <c:numRef>
              <c:f>'1highflow'!$K$7:$K$18</c:f>
              <c:numCache>
                <c:formatCode>0</c:formatCode>
                <c:ptCount val="12"/>
                <c:pt idx="0">
                  <c:v>0</c:v>
                </c:pt>
                <c:pt idx="1">
                  <c:v>1348.2396623514674</c:v>
                </c:pt>
                <c:pt idx="2">
                  <c:v>2028.3559947005774</c:v>
                </c:pt>
                <c:pt idx="3">
                  <c:v>2687.8649412584782</c:v>
                </c:pt>
                <c:pt idx="4">
                  <c:v>3714.6101658260122</c:v>
                </c:pt>
                <c:pt idx="5">
                  <c:v>4724.4707835068675</c:v>
                </c:pt>
                <c:pt idx="6">
                  <c:v>5710.7920233809546</c:v>
                </c:pt>
                <c:pt idx="7">
                  <c:v>6750.3305795854176</c:v>
                </c:pt>
                <c:pt idx="8">
                  <c:v>7814.5169744803779</c:v>
                </c:pt>
                <c:pt idx="9">
                  <c:v>8664.6032417136703</c:v>
                </c:pt>
                <c:pt idx="10">
                  <c:v>8987.6234163976424</c:v>
                </c:pt>
                <c:pt idx="11">
                  <c:v>9054.3383466818541</c:v>
                </c:pt>
              </c:numCache>
            </c:numRef>
          </c:yVal>
          <c:smooth val="0"/>
          <c:extLst>
            <c:ext xmlns:c16="http://schemas.microsoft.com/office/drawing/2014/chart" uri="{C3380CC4-5D6E-409C-BE32-E72D297353CC}">
              <c16:uniqueId val="{00000001-6F6D-413E-A309-D58D6A1742C8}"/>
            </c:ext>
          </c:extLst>
        </c:ser>
        <c:dLbls>
          <c:showLegendKey val="0"/>
          <c:showVal val="0"/>
          <c:showCatName val="0"/>
          <c:showSerName val="0"/>
          <c:showPercent val="0"/>
          <c:showBubbleSize val="0"/>
        </c:dLbls>
        <c:axId val="495907024"/>
        <c:axId val="495906368"/>
      </c:scatterChart>
      <c:valAx>
        <c:axId val="4959070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b="0" i="0" u="none" strike="noStrike" baseline="0">
                    <a:effectLst/>
                  </a:rPr>
                  <a:t>u</a:t>
                </a:r>
                <a:r>
                  <a:rPr lang="en-US" sz="1600" b="0" i="0" u="none" strike="noStrike" baseline="30000">
                    <a:effectLst/>
                  </a:rPr>
                  <a:t>2</a:t>
                </a:r>
                <a:r>
                  <a:rPr lang="en-US" sz="1600" b="0" i="0" u="none" strike="noStrike" baseline="0"/>
                  <a:t> </a:t>
                </a:r>
                <a:endParaRPr lang="en-US" sz="1600"/>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6368"/>
        <c:crosses val="autoZero"/>
        <c:crossBetween val="midCat"/>
      </c:valAx>
      <c:valAx>
        <c:axId val="495906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l-GR" sz="1400" b="0" i="0" u="none" strike="noStrike" baseline="0">
                    <a:effectLst/>
                  </a:rPr>
                  <a:t>Δ</a:t>
                </a:r>
                <a:r>
                  <a:rPr lang="en-US" sz="1400" b="0" i="0" u="none" strike="noStrike" baseline="0">
                    <a:effectLst/>
                  </a:rPr>
                  <a:t>P(Pa)</a:t>
                </a:r>
                <a:r>
                  <a:rPr lang="en-US" sz="1400" b="0" i="0" u="none" strike="noStrike" baseline="0"/>
                  <a:t> </a:t>
                </a:r>
                <a:endParaRPr lang="en-US" sz="1400"/>
              </a:p>
            </c:rich>
          </c:tx>
          <c:layout>
            <c:manualLayout>
              <c:xMode val="edge"/>
              <c:yMode val="edge"/>
              <c:x val="1.1874859823608077E-2"/>
              <c:y val="0.37440418485845395"/>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7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HighFlow3 - Load</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'1highflow'!$L$8:$L$18</c:f>
              <c:numCache>
                <c:formatCode>0.0E+00</c:formatCode>
                <c:ptCount val="11"/>
                <c:pt idx="0">
                  <c:v>15454.936159680115</c:v>
                </c:pt>
                <c:pt idx="1">
                  <c:v>18524.368264082797</c:v>
                </c:pt>
                <c:pt idx="2">
                  <c:v>20631.751727995339</c:v>
                </c:pt>
                <c:pt idx="3">
                  <c:v>25048.996447219975</c:v>
                </c:pt>
                <c:pt idx="4">
                  <c:v>28198.78454255719</c:v>
                </c:pt>
                <c:pt idx="5">
                  <c:v>31265.403834949855</c:v>
                </c:pt>
                <c:pt idx="6">
                  <c:v>34259.694948025433</c:v>
                </c:pt>
                <c:pt idx="7">
                  <c:v>37034.499620913441</c:v>
                </c:pt>
                <c:pt idx="8">
                  <c:v>40360.125820300396</c:v>
                </c:pt>
                <c:pt idx="9">
                  <c:v>43639.079495168728</c:v>
                </c:pt>
                <c:pt idx="10">
                  <c:v>47969.923211297224</c:v>
                </c:pt>
              </c:numCache>
            </c:numRef>
          </c:xVal>
          <c:yVal>
            <c:numRef>
              <c:f>'1highflow'!$O$8:$O$18</c:f>
              <c:numCache>
                <c:formatCode>0.000</c:formatCode>
                <c:ptCount val="11"/>
                <c:pt idx="0">
                  <c:v>1.301532022368841E-2</c:v>
                </c:pt>
                <c:pt idx="1">
                  <c:v>1.3772420210359812E-2</c:v>
                </c:pt>
                <c:pt idx="2">
                  <c:v>1.2928900059818687E-2</c:v>
                </c:pt>
                <c:pt idx="3">
                  <c:v>1.2553876981203574E-2</c:v>
                </c:pt>
                <c:pt idx="4">
                  <c:v>1.2347665741863396E-2</c:v>
                </c:pt>
                <c:pt idx="5">
                  <c:v>1.1853528700416524E-2</c:v>
                </c:pt>
                <c:pt idx="6">
                  <c:v>1.222348438009928E-2</c:v>
                </c:pt>
                <c:pt idx="7">
                  <c:v>1.1963731172165487E-2</c:v>
                </c:pt>
                <c:pt idx="8">
                  <c:v>1.1166421961693098E-2</c:v>
                </c:pt>
                <c:pt idx="9">
                  <c:v>9.8737152118695114E-3</c:v>
                </c:pt>
                <c:pt idx="10">
                  <c:v>9.0094798904756575E-3</c:v>
                </c:pt>
              </c:numCache>
            </c:numRef>
          </c:yVal>
          <c:smooth val="0"/>
          <c:extLst>
            <c:ext xmlns:c16="http://schemas.microsoft.com/office/drawing/2014/chart" uri="{C3380CC4-5D6E-409C-BE32-E72D297353CC}">
              <c16:uniqueId val="{00000000-F0EC-4AEE-B2F7-CD2FA4F90B6F}"/>
            </c:ext>
          </c:extLst>
        </c:ser>
        <c:ser>
          <c:idx val="2"/>
          <c:order val="1"/>
          <c:tx>
            <c:v>HighFlow3 - Unload</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dispRSqr val="0"/>
            <c:dispEq val="0"/>
          </c:trendline>
          <c:xVal>
            <c:numRef>
              <c:f>'1highflow'!$L$18:$L$28</c:f>
              <c:numCache>
                <c:formatCode>0.0E+00</c:formatCode>
                <c:ptCount val="11"/>
                <c:pt idx="0">
                  <c:v>47969.923211297224</c:v>
                </c:pt>
                <c:pt idx="1">
                  <c:v>43611.928136181232</c:v>
                </c:pt>
                <c:pt idx="2">
                  <c:v>40313.293653784262</c:v>
                </c:pt>
                <c:pt idx="3">
                  <c:v>36797.233366347027</c:v>
                </c:pt>
                <c:pt idx="4">
                  <c:v>33702.034981768775</c:v>
                </c:pt>
                <c:pt idx="5">
                  <c:v>30538.635690142622</c:v>
                </c:pt>
                <c:pt idx="6">
                  <c:v>27686.494361046414</c:v>
                </c:pt>
                <c:pt idx="7">
                  <c:v>24351.589501617567</c:v>
                </c:pt>
                <c:pt idx="8">
                  <c:v>20772.249826407402</c:v>
                </c:pt>
                <c:pt idx="9">
                  <c:v>17309.112901471584</c:v>
                </c:pt>
                <c:pt idx="10">
                  <c:v>13977.05233304158</c:v>
                </c:pt>
              </c:numCache>
            </c:numRef>
          </c:xVal>
          <c:yVal>
            <c:numRef>
              <c:f>'1highflow'!$O$18:$O$28</c:f>
              <c:numCache>
                <c:formatCode>0.000</c:formatCode>
                <c:ptCount val="11"/>
                <c:pt idx="0">
                  <c:v>9.0094798904756575E-3</c:v>
                </c:pt>
                <c:pt idx="1">
                  <c:v>1.0093831989468416E-2</c:v>
                </c:pt>
                <c:pt idx="2">
                  <c:v>1.0989967321437599E-2</c:v>
                </c:pt>
                <c:pt idx="3">
                  <c:v>1.1113685828861825E-2</c:v>
                </c:pt>
                <c:pt idx="4">
                  <c:v>1.1526327508844383E-2</c:v>
                </c:pt>
                <c:pt idx="5">
                  <c:v>1.1821403899985351E-2</c:v>
                </c:pt>
                <c:pt idx="6">
                  <c:v>1.1575835459682804E-2</c:v>
                </c:pt>
                <c:pt idx="7">
                  <c:v>1.1812882548202869E-2</c:v>
                </c:pt>
                <c:pt idx="8">
                  <c:v>1.2461061966415716E-2</c:v>
                </c:pt>
                <c:pt idx="9">
                  <c:v>1.2920029467329435E-2</c:v>
                </c:pt>
                <c:pt idx="10">
                  <c:v>1.262238058859165E-2</c:v>
                </c:pt>
              </c:numCache>
            </c:numRef>
          </c:yVal>
          <c:smooth val="0"/>
          <c:extLst>
            <c:ext xmlns:c16="http://schemas.microsoft.com/office/drawing/2014/chart" uri="{C3380CC4-5D6E-409C-BE32-E72D297353CC}">
              <c16:uniqueId val="{00000001-F0EC-4AEE-B2F7-CD2FA4F90B6F}"/>
            </c:ext>
          </c:extLst>
        </c:ser>
        <c:dLbls>
          <c:showLegendKey val="0"/>
          <c:showVal val="0"/>
          <c:showCatName val="0"/>
          <c:showSerName val="0"/>
          <c:showPercent val="0"/>
          <c:showBubbleSize val="0"/>
        </c:dLbls>
        <c:axId val="424978536"/>
        <c:axId val="424985752"/>
        <c:extLst/>
      </c:scatterChart>
      <c:valAx>
        <c:axId val="424978536"/>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Re</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85752"/>
        <c:crosses val="autoZero"/>
        <c:crossBetween val="midCat"/>
      </c:valAx>
      <c:valAx>
        <c:axId val="4249857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US" sz="1600" baseline="0"/>
                  <a:t>Fanning  Friction Factor (f)</a:t>
                </a:r>
                <a:endParaRPr lang="en-US" sz="1600"/>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7853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dash"/>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87905743009573"/>
          <c:y val="7.6000885431489737E-2"/>
          <c:w val="0.87147208843029911"/>
          <c:h val="0.8116902254688043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5.0976046472021953E-2"/>
                  <c:y val="0.24339626849488494"/>
                </c:manualLayout>
              </c:layout>
              <c:numFmt formatCode="General" sourceLinked="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rendlineLbl>
          </c:trendline>
          <c:xVal>
            <c:numRef>
              <c:f>'2highflow'!$G$7:$G$18</c:f>
              <c:numCache>
                <c:formatCode>0.00</c:formatCode>
                <c:ptCount val="12"/>
                <c:pt idx="0">
                  <c:v>0</c:v>
                </c:pt>
                <c:pt idx="1">
                  <c:v>0.89197673580303993</c:v>
                </c:pt>
                <c:pt idx="2">
                  <c:v>1.3611132888897601</c:v>
                </c:pt>
                <c:pt idx="3">
                  <c:v>1.8526264209888399</c:v>
                </c:pt>
                <c:pt idx="4">
                  <c:v>2.68596108765604</c:v>
                </c:pt>
                <c:pt idx="5">
                  <c:v>3.4637401098787599</c:v>
                </c:pt>
                <c:pt idx="6">
                  <c:v>4.22531540247184</c:v>
                </c:pt>
                <c:pt idx="7">
                  <c:v>5.1882799061761604</c:v>
                </c:pt>
                <c:pt idx="8">
                  <c:v>5.9753182024729599</c:v>
                </c:pt>
                <c:pt idx="9">
                  <c:v>7.1111224888934403</c:v>
                </c:pt>
                <c:pt idx="10">
                  <c:v>8.1859698876595619</c:v>
                </c:pt>
                <c:pt idx="11">
                  <c:v>9.3364346913639995</c:v>
                </c:pt>
              </c:numCache>
            </c:numRef>
          </c:xVal>
          <c:yVal>
            <c:numRef>
              <c:f>'2highflow'!$K$7:$K$18</c:f>
              <c:numCache>
                <c:formatCode>0</c:formatCode>
                <c:ptCount val="12"/>
                <c:pt idx="0">
                  <c:v>0</c:v>
                </c:pt>
                <c:pt idx="1">
                  <c:v>1080.942702082197</c:v>
                </c:pt>
                <c:pt idx="2">
                  <c:v>1672.4947021987234</c:v>
                </c:pt>
                <c:pt idx="3">
                  <c:v>2193.0047719988243</c:v>
                </c:pt>
                <c:pt idx="4">
                  <c:v>3065.896830739191</c:v>
                </c:pt>
                <c:pt idx="5">
                  <c:v>3839.6420427095136</c:v>
                </c:pt>
                <c:pt idx="6">
                  <c:v>4818.0705226434593</c:v>
                </c:pt>
                <c:pt idx="7">
                  <c:v>5814.0297108808763</c:v>
                </c:pt>
                <c:pt idx="8">
                  <c:v>6607.9101535451937</c:v>
                </c:pt>
                <c:pt idx="9">
                  <c:v>7630.5105619447477</c:v>
                </c:pt>
                <c:pt idx="10">
                  <c:v>8195.7261778734101</c:v>
                </c:pt>
                <c:pt idx="11">
                  <c:v>8492.3423787613719</c:v>
                </c:pt>
              </c:numCache>
            </c:numRef>
          </c:yVal>
          <c:smooth val="0"/>
          <c:extLst>
            <c:ext xmlns:c16="http://schemas.microsoft.com/office/drawing/2014/chart" uri="{C3380CC4-5D6E-409C-BE32-E72D297353CC}">
              <c16:uniqueId val="{00000001-101B-43A1-A3F0-EC838D553A88}"/>
            </c:ext>
          </c:extLst>
        </c:ser>
        <c:dLbls>
          <c:showLegendKey val="0"/>
          <c:showVal val="0"/>
          <c:showCatName val="0"/>
          <c:showSerName val="0"/>
          <c:showPercent val="0"/>
          <c:showBubbleSize val="0"/>
        </c:dLbls>
        <c:axId val="495907024"/>
        <c:axId val="495906368"/>
      </c:scatterChart>
      <c:valAx>
        <c:axId val="4959070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b="0" i="0" u="none" strike="noStrike" baseline="0">
                    <a:effectLst/>
                  </a:rPr>
                  <a:t>u</a:t>
                </a:r>
                <a:r>
                  <a:rPr lang="en-US" sz="1600" b="0" i="0" u="none" strike="noStrike" baseline="30000">
                    <a:effectLst/>
                  </a:rPr>
                  <a:t>2</a:t>
                </a:r>
                <a:r>
                  <a:rPr lang="en-US" sz="1600" b="0" i="0" u="none" strike="noStrike" baseline="0"/>
                  <a:t> </a:t>
                </a:r>
                <a:endParaRPr lang="en-US" sz="1600"/>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6368"/>
        <c:crosses val="autoZero"/>
        <c:crossBetween val="midCat"/>
      </c:valAx>
      <c:valAx>
        <c:axId val="495906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l-GR" sz="1400" b="0" i="0" u="none" strike="noStrike" baseline="0">
                    <a:effectLst/>
                  </a:rPr>
                  <a:t>Δ</a:t>
                </a:r>
                <a:r>
                  <a:rPr lang="en-US" sz="1400" b="0" i="0" u="none" strike="noStrike" baseline="0">
                    <a:effectLst/>
                  </a:rPr>
                  <a:t>P(Pa)</a:t>
                </a:r>
                <a:r>
                  <a:rPr lang="en-US" sz="1400" b="0" i="0" u="none" strike="noStrike" baseline="0"/>
                  <a:t> </a:t>
                </a:r>
                <a:endParaRPr lang="en-US" sz="1400"/>
              </a:p>
            </c:rich>
          </c:tx>
          <c:layout>
            <c:manualLayout>
              <c:xMode val="edge"/>
              <c:yMode val="edge"/>
              <c:x val="1.1874859823608077E-2"/>
              <c:y val="0.37440418485845395"/>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7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HighFlow3 - Load</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1.6990675303667008E-2"/>
                  <c:y val="-0.1373270916517508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'2highflow'!$L$8:$L$18</c:f>
              <c:numCache>
                <c:formatCode>0.0E+00</c:formatCode>
                <c:ptCount val="11"/>
                <c:pt idx="0">
                  <c:v>14235.074615581883</c:v>
                </c:pt>
                <c:pt idx="1">
                  <c:v>17784.19117252437</c:v>
                </c:pt>
                <c:pt idx="2">
                  <c:v>20635.121088169126</c:v>
                </c:pt>
                <c:pt idx="3">
                  <c:v>25328.87781493273</c:v>
                </c:pt>
                <c:pt idx="4">
                  <c:v>29245.84218112973</c:v>
                </c:pt>
                <c:pt idx="5">
                  <c:v>32490.733597588063</c:v>
                </c:pt>
                <c:pt idx="6">
                  <c:v>35642.4334047722</c:v>
                </c:pt>
                <c:pt idx="7">
                  <c:v>38930.57589305914</c:v>
                </c:pt>
                <c:pt idx="8">
                  <c:v>40193.15185576061</c:v>
                </c:pt>
                <c:pt idx="9">
                  <c:v>45478.337961884761</c:v>
                </c:pt>
                <c:pt idx="10">
                  <c:v>48810.402891542297</c:v>
                </c:pt>
              </c:numCache>
            </c:numRef>
          </c:xVal>
          <c:yVal>
            <c:numRef>
              <c:f>'2highflow'!$O$8:$O$18</c:f>
              <c:numCache>
                <c:formatCode>0.000</c:formatCode>
                <c:ptCount val="11"/>
                <c:pt idx="0">
                  <c:v>1.1409161196247434E-2</c:v>
                </c:pt>
                <c:pt idx="1">
                  <c:v>1.1699816313497532E-2</c:v>
                </c:pt>
                <c:pt idx="2">
                  <c:v>1.1209504197456456E-2</c:v>
                </c:pt>
                <c:pt idx="3">
                  <c:v>1.1019084061312811E-2</c:v>
                </c:pt>
                <c:pt idx="4">
                  <c:v>1.0880741885077198E-2</c:v>
                </c:pt>
                <c:pt idx="5">
                  <c:v>1.1258111775358919E-2</c:v>
                </c:pt>
                <c:pt idx="6">
                  <c:v>1.0952949418663966E-2</c:v>
                </c:pt>
                <c:pt idx="7">
                  <c:v>1.1001071484525187E-2</c:v>
                </c:pt>
                <c:pt idx="8">
                  <c:v>1.0102294114435416E-2</c:v>
                </c:pt>
                <c:pt idx="9">
                  <c:v>9.9405038134654424E-3</c:v>
                </c:pt>
                <c:pt idx="10">
                  <c:v>9.0759036659764942E-3</c:v>
                </c:pt>
              </c:numCache>
            </c:numRef>
          </c:yVal>
          <c:smooth val="0"/>
          <c:extLst>
            <c:ext xmlns:c16="http://schemas.microsoft.com/office/drawing/2014/chart" uri="{C3380CC4-5D6E-409C-BE32-E72D297353CC}">
              <c16:uniqueId val="{00000001-5E6C-4183-BFA4-C8EA75601E7C}"/>
            </c:ext>
          </c:extLst>
        </c:ser>
        <c:ser>
          <c:idx val="2"/>
          <c:order val="1"/>
          <c:tx>
            <c:v>HighFlow3 - Unload</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wer"/>
            <c:dispRSqr val="1"/>
            <c:dispEq val="1"/>
            <c:trendlineLbl>
              <c:layout>
                <c:manualLayout>
                  <c:x val="-1.139268194248616E-2"/>
                  <c:y val="0.1212843636697416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'2highflow'!$L$18:$L$28</c:f>
              <c:numCache>
                <c:formatCode>0.0E+00</c:formatCode>
                <c:ptCount val="11"/>
                <c:pt idx="0">
                  <c:v>48810.402891542297</c:v>
                </c:pt>
                <c:pt idx="1">
                  <c:v>44814.793749328863</c:v>
                </c:pt>
                <c:pt idx="2">
                  <c:v>41632.834375826598</c:v>
                </c:pt>
                <c:pt idx="3">
                  <c:v>37577.470011520971</c:v>
                </c:pt>
                <c:pt idx="4">
                  <c:v>33705.154792674723</c:v>
                </c:pt>
                <c:pt idx="5">
                  <c:v>27348.270545901618</c:v>
                </c:pt>
                <c:pt idx="6">
                  <c:v>27879.60593085736</c:v>
                </c:pt>
                <c:pt idx="7">
                  <c:v>24271.440524479513</c:v>
                </c:pt>
                <c:pt idx="8">
                  <c:v>21247.127456201055</c:v>
                </c:pt>
                <c:pt idx="9">
                  <c:v>17639.181151768829</c:v>
                </c:pt>
                <c:pt idx="10">
                  <c:v>13198.637803316118</c:v>
                </c:pt>
              </c:numCache>
            </c:numRef>
          </c:xVal>
          <c:yVal>
            <c:numRef>
              <c:f>'2highflow'!$O$18:$O$28</c:f>
              <c:numCache>
                <c:formatCode>0.000</c:formatCode>
                <c:ptCount val="11"/>
                <c:pt idx="0">
                  <c:v>9.0759036659764942E-3</c:v>
                </c:pt>
                <c:pt idx="1">
                  <c:v>9.9125268439766503E-3</c:v>
                </c:pt>
                <c:pt idx="2">
                  <c:v>1.0167812984205287E-2</c:v>
                </c:pt>
                <c:pt idx="3">
                  <c:v>1.0124505762288558E-2</c:v>
                </c:pt>
                <c:pt idx="4">
                  <c:v>1.026709438608348E-2</c:v>
                </c:pt>
                <c:pt idx="5">
                  <c:v>8.4611778496204004E-3</c:v>
                </c:pt>
                <c:pt idx="6">
                  <c:v>1.0264250599545542E-2</c:v>
                </c:pt>
                <c:pt idx="7">
                  <c:v>1.0067698790751551E-2</c:v>
                </c:pt>
                <c:pt idx="8">
                  <c:v>1.0069510046974936E-2</c:v>
                </c:pt>
                <c:pt idx="9">
                  <c:v>9.384050226862924E-3</c:v>
                </c:pt>
                <c:pt idx="10">
                  <c:v>7.5874847396844086E-3</c:v>
                </c:pt>
              </c:numCache>
            </c:numRef>
          </c:yVal>
          <c:smooth val="0"/>
          <c:extLst>
            <c:ext xmlns:c16="http://schemas.microsoft.com/office/drawing/2014/chart" uri="{C3380CC4-5D6E-409C-BE32-E72D297353CC}">
              <c16:uniqueId val="{00000003-5E6C-4183-BFA4-C8EA75601E7C}"/>
            </c:ext>
          </c:extLst>
        </c:ser>
        <c:dLbls>
          <c:showLegendKey val="0"/>
          <c:showVal val="0"/>
          <c:showCatName val="0"/>
          <c:showSerName val="0"/>
          <c:showPercent val="0"/>
          <c:showBubbleSize val="0"/>
        </c:dLbls>
        <c:axId val="424978536"/>
        <c:axId val="424985752"/>
        <c:extLst/>
      </c:scatterChart>
      <c:valAx>
        <c:axId val="424978536"/>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Re</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85752"/>
        <c:crosses val="autoZero"/>
        <c:crossBetween val="midCat"/>
      </c:valAx>
      <c:valAx>
        <c:axId val="4249857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US" sz="1600" baseline="0"/>
                  <a:t>Fanning  Friction Factor (f)</a:t>
                </a:r>
                <a:endParaRPr lang="en-US" sz="1600"/>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7853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dash"/>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87905743009573"/>
          <c:y val="7.6000885431489737E-2"/>
          <c:w val="0.87147208843029911"/>
          <c:h val="0.8116902254688043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5.0976046472021953E-2"/>
                  <c:y val="0.24339626849488494"/>
                </c:manualLayout>
              </c:layout>
              <c:numFmt formatCode="General" sourceLinked="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rendlineLbl>
          </c:trendline>
          <c:xVal>
            <c:numRef>
              <c:f>'HF averages'!$G$7:$G$18</c:f>
              <c:numCache>
                <c:formatCode>General</c:formatCode>
                <c:ptCount val="12"/>
                <c:pt idx="0" formatCode="0.00">
                  <c:v>0</c:v>
                </c:pt>
                <c:pt idx="1">
                  <c:v>0.94598916790183996</c:v>
                </c:pt>
                <c:pt idx="2">
                  <c:v>1.39390655123546</c:v>
                </c:pt>
                <c:pt idx="3">
                  <c:v>1.89082092654442</c:v>
                </c:pt>
                <c:pt idx="4">
                  <c:v>2.7318716549400204</c:v>
                </c:pt>
                <c:pt idx="5">
                  <c:v>3.5158235265454598</c:v>
                </c:pt>
                <c:pt idx="6">
                  <c:v>4.3410563283978396</c:v>
                </c:pt>
                <c:pt idx="7">
                  <c:v>5.1882799061761604</c:v>
                </c:pt>
                <c:pt idx="8">
                  <c:v>6.0436053487692991</c:v>
                </c:pt>
                <c:pt idx="9">
                  <c:v>7.1855824845724996</c:v>
                </c:pt>
                <c:pt idx="10">
                  <c:v>8.3464639716102802</c:v>
                </c:pt>
                <c:pt idx="11">
                  <c:v>9.5077312617344791</c:v>
                </c:pt>
              </c:numCache>
            </c:numRef>
          </c:xVal>
          <c:yVal>
            <c:numRef>
              <c:f>'HF averages'!$K$7:$K$18</c:f>
              <c:numCache>
                <c:formatCode>General</c:formatCode>
                <c:ptCount val="12"/>
                <c:pt idx="0" formatCode="0">
                  <c:v>0</c:v>
                </c:pt>
                <c:pt idx="1">
                  <c:v>1214.5911822168323</c:v>
                </c:pt>
                <c:pt idx="2">
                  <c:v>1850.4253484496503</c:v>
                </c:pt>
                <c:pt idx="3">
                  <c:v>2440.4348566286512</c:v>
                </c:pt>
                <c:pt idx="4">
                  <c:v>3390.2534982826019</c:v>
                </c:pt>
                <c:pt idx="5">
                  <c:v>4282.0564131081901</c:v>
                </c:pt>
                <c:pt idx="6">
                  <c:v>5264.4312730122074</c:v>
                </c:pt>
                <c:pt idx="7">
                  <c:v>6282.1801452331474</c:v>
                </c:pt>
                <c:pt idx="8">
                  <c:v>7211.2135640127854</c:v>
                </c:pt>
                <c:pt idx="9">
                  <c:v>8147.556901829209</c:v>
                </c:pt>
                <c:pt idx="10">
                  <c:v>8591.6747971355253</c:v>
                </c:pt>
                <c:pt idx="11">
                  <c:v>8773.3403627216139</c:v>
                </c:pt>
              </c:numCache>
            </c:numRef>
          </c:yVal>
          <c:smooth val="0"/>
          <c:extLst>
            <c:ext xmlns:c16="http://schemas.microsoft.com/office/drawing/2014/chart" uri="{C3380CC4-5D6E-409C-BE32-E72D297353CC}">
              <c16:uniqueId val="{00000001-BD37-4D49-9054-540DB5B3B8CE}"/>
            </c:ext>
          </c:extLst>
        </c:ser>
        <c:dLbls>
          <c:showLegendKey val="0"/>
          <c:showVal val="0"/>
          <c:showCatName val="0"/>
          <c:showSerName val="0"/>
          <c:showPercent val="0"/>
          <c:showBubbleSize val="0"/>
        </c:dLbls>
        <c:axId val="495907024"/>
        <c:axId val="495906368"/>
      </c:scatterChart>
      <c:valAx>
        <c:axId val="4959070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b="0" i="0" u="none" strike="noStrike" baseline="0">
                    <a:effectLst/>
                  </a:rPr>
                  <a:t>u</a:t>
                </a:r>
                <a:r>
                  <a:rPr lang="en-US" sz="1600" b="0" i="0" u="none" strike="noStrike" baseline="30000">
                    <a:effectLst/>
                  </a:rPr>
                  <a:t>2</a:t>
                </a:r>
                <a:r>
                  <a:rPr lang="en-US" sz="1600" b="0" i="0" u="none" strike="noStrike" baseline="0"/>
                  <a:t> </a:t>
                </a:r>
                <a:endParaRPr lang="en-US" sz="1600"/>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6368"/>
        <c:crosses val="autoZero"/>
        <c:crossBetween val="midCat"/>
      </c:valAx>
      <c:valAx>
        <c:axId val="495906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l-GR" sz="1400" b="0" i="0" u="none" strike="noStrike" baseline="0">
                    <a:effectLst/>
                  </a:rPr>
                  <a:t>Δ</a:t>
                </a:r>
                <a:r>
                  <a:rPr lang="en-US" sz="1400" b="0" i="0" u="none" strike="noStrike" baseline="0">
                    <a:effectLst/>
                  </a:rPr>
                  <a:t>P(Pa)</a:t>
                </a:r>
                <a:r>
                  <a:rPr lang="en-US" sz="1400" b="0" i="0" u="none" strike="noStrike" baseline="0"/>
                  <a:t> </a:t>
                </a:r>
                <a:endParaRPr lang="en-US" sz="1400"/>
              </a:p>
            </c:rich>
          </c:tx>
          <c:layout>
            <c:manualLayout>
              <c:xMode val="edge"/>
              <c:yMode val="edge"/>
              <c:x val="1.1874859823608077E-2"/>
              <c:y val="0.37440418485845395"/>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7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high 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2.4254287174439736E-2"/>
          <c:y val="1.7436144578313252E-2"/>
          <c:w val="0.88839836033046071"/>
          <c:h val="0.82038447088315702"/>
        </c:manualLayout>
      </c:layout>
      <c:scatterChart>
        <c:scatterStyle val="lineMarker"/>
        <c:varyColors val="0"/>
        <c:ser>
          <c:idx val="2"/>
          <c:order val="0"/>
          <c:tx>
            <c:v>high flow 3</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wer"/>
            <c:dispRSqr val="1"/>
            <c:dispEq val="1"/>
            <c:trendlineLbl>
              <c:layout>
                <c:manualLayout>
                  <c:x val="-7.2676434146053221E-3"/>
                  <c:y val="-0.129437912126625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'1highflow'!$L$8:$L$18</c:f>
              <c:numCache>
                <c:formatCode>0.0E+00</c:formatCode>
                <c:ptCount val="11"/>
                <c:pt idx="0">
                  <c:v>15454.936159680115</c:v>
                </c:pt>
                <c:pt idx="1">
                  <c:v>18524.368264082797</c:v>
                </c:pt>
                <c:pt idx="2">
                  <c:v>20631.751727995339</c:v>
                </c:pt>
                <c:pt idx="3">
                  <c:v>25048.996447219975</c:v>
                </c:pt>
                <c:pt idx="4">
                  <c:v>28198.78454255719</c:v>
                </c:pt>
                <c:pt idx="5">
                  <c:v>31265.403834949855</c:v>
                </c:pt>
                <c:pt idx="6">
                  <c:v>34259.694948025433</c:v>
                </c:pt>
                <c:pt idx="7">
                  <c:v>37034.499620913441</c:v>
                </c:pt>
                <c:pt idx="8">
                  <c:v>40360.125820300396</c:v>
                </c:pt>
                <c:pt idx="9">
                  <c:v>43639.079495168728</c:v>
                </c:pt>
                <c:pt idx="10">
                  <c:v>47969.923211297224</c:v>
                </c:pt>
              </c:numCache>
            </c:numRef>
          </c:xVal>
          <c:yVal>
            <c:numRef>
              <c:f>'1highflow'!$O$8:$O$18</c:f>
              <c:numCache>
                <c:formatCode>0.000</c:formatCode>
                <c:ptCount val="11"/>
                <c:pt idx="0">
                  <c:v>1.301532022368841E-2</c:v>
                </c:pt>
                <c:pt idx="1">
                  <c:v>1.3772420210359812E-2</c:v>
                </c:pt>
                <c:pt idx="2">
                  <c:v>1.2928900059818687E-2</c:v>
                </c:pt>
                <c:pt idx="3">
                  <c:v>1.2553876981203574E-2</c:v>
                </c:pt>
                <c:pt idx="4">
                  <c:v>1.2347665741863396E-2</c:v>
                </c:pt>
                <c:pt idx="5">
                  <c:v>1.1853528700416524E-2</c:v>
                </c:pt>
                <c:pt idx="6">
                  <c:v>1.222348438009928E-2</c:v>
                </c:pt>
                <c:pt idx="7">
                  <c:v>1.1963731172165487E-2</c:v>
                </c:pt>
                <c:pt idx="8">
                  <c:v>1.1166421961693098E-2</c:v>
                </c:pt>
                <c:pt idx="9">
                  <c:v>9.8737152118695114E-3</c:v>
                </c:pt>
                <c:pt idx="10">
                  <c:v>9.0094798904756575E-3</c:v>
                </c:pt>
              </c:numCache>
            </c:numRef>
          </c:yVal>
          <c:smooth val="0"/>
          <c:extLst>
            <c:ext xmlns:c16="http://schemas.microsoft.com/office/drawing/2014/chart" uri="{C3380CC4-5D6E-409C-BE32-E72D297353CC}">
              <c16:uniqueId val="{00000001-AB73-4C00-B7B8-5408D453D043}"/>
            </c:ext>
          </c:extLst>
        </c:ser>
        <c:ser>
          <c:idx val="3"/>
          <c:order val="1"/>
          <c:tx>
            <c:v>high flow 4</c:v>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wer"/>
            <c:dispRSqr val="1"/>
            <c:dispEq val="1"/>
            <c:trendlineLbl>
              <c:layout>
                <c:manualLayout>
                  <c:x val="0.13138296599642316"/>
                  <c:y val="-1.804446304900136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'2highflow'!$L$8:$L$18</c:f>
              <c:numCache>
                <c:formatCode>0.0E+00</c:formatCode>
                <c:ptCount val="11"/>
                <c:pt idx="0">
                  <c:v>14235.074615581883</c:v>
                </c:pt>
                <c:pt idx="1">
                  <c:v>17784.19117252437</c:v>
                </c:pt>
                <c:pt idx="2">
                  <c:v>20635.121088169126</c:v>
                </c:pt>
                <c:pt idx="3">
                  <c:v>25328.87781493273</c:v>
                </c:pt>
                <c:pt idx="4">
                  <c:v>29245.84218112973</c:v>
                </c:pt>
                <c:pt idx="5">
                  <c:v>32490.733597588063</c:v>
                </c:pt>
                <c:pt idx="6">
                  <c:v>35642.4334047722</c:v>
                </c:pt>
                <c:pt idx="7">
                  <c:v>38930.57589305914</c:v>
                </c:pt>
                <c:pt idx="8">
                  <c:v>40193.15185576061</c:v>
                </c:pt>
                <c:pt idx="9">
                  <c:v>45478.337961884761</c:v>
                </c:pt>
                <c:pt idx="10">
                  <c:v>48810.402891542297</c:v>
                </c:pt>
              </c:numCache>
            </c:numRef>
          </c:xVal>
          <c:yVal>
            <c:numRef>
              <c:f>'2highflow'!$O$8:$O$18</c:f>
              <c:numCache>
                <c:formatCode>0.000</c:formatCode>
                <c:ptCount val="11"/>
                <c:pt idx="0">
                  <c:v>1.1409161196247434E-2</c:v>
                </c:pt>
                <c:pt idx="1">
                  <c:v>1.1699816313497532E-2</c:v>
                </c:pt>
                <c:pt idx="2">
                  <c:v>1.1209504197456456E-2</c:v>
                </c:pt>
                <c:pt idx="3">
                  <c:v>1.1019084061312811E-2</c:v>
                </c:pt>
                <c:pt idx="4">
                  <c:v>1.0880741885077198E-2</c:v>
                </c:pt>
                <c:pt idx="5">
                  <c:v>1.1258111775358919E-2</c:v>
                </c:pt>
                <c:pt idx="6">
                  <c:v>1.0952949418663966E-2</c:v>
                </c:pt>
                <c:pt idx="7">
                  <c:v>1.1001071484525187E-2</c:v>
                </c:pt>
                <c:pt idx="8">
                  <c:v>1.0102294114435416E-2</c:v>
                </c:pt>
                <c:pt idx="9">
                  <c:v>9.9405038134654424E-3</c:v>
                </c:pt>
                <c:pt idx="10">
                  <c:v>9.0759036659764942E-3</c:v>
                </c:pt>
              </c:numCache>
            </c:numRef>
          </c:yVal>
          <c:smooth val="0"/>
          <c:extLst>
            <c:ext xmlns:c16="http://schemas.microsoft.com/office/drawing/2014/chart" uri="{C3380CC4-5D6E-409C-BE32-E72D297353CC}">
              <c16:uniqueId val="{00000003-AB73-4C00-B7B8-5408D453D043}"/>
            </c:ext>
          </c:extLst>
        </c:ser>
        <c:ser>
          <c:idx val="7"/>
          <c:order val="4"/>
          <c:tx>
            <c:v>PVC 3</c:v>
          </c:tx>
          <c:spPr>
            <a:ln w="25400" cap="rnd">
              <a:noFill/>
              <a:round/>
            </a:ln>
            <a:effectLst/>
          </c:spPr>
          <c:marker>
            <c:symbol val="circle"/>
            <c:size val="5"/>
            <c:spPr>
              <a:solidFill>
                <a:schemeClr val="accent2">
                  <a:lumMod val="60000"/>
                </a:schemeClr>
              </a:solidFill>
              <a:ln w="9525">
                <a:solidFill>
                  <a:schemeClr val="accent2">
                    <a:lumMod val="60000"/>
                  </a:schemeClr>
                </a:solidFill>
              </a:ln>
              <a:effectLst/>
            </c:spPr>
          </c:marker>
          <c:trendline>
            <c:spPr>
              <a:ln w="19050" cap="rnd">
                <a:solidFill>
                  <a:schemeClr val="accent2">
                    <a:lumMod val="60000"/>
                  </a:schemeClr>
                </a:solidFill>
                <a:prstDash val="sysDot"/>
              </a:ln>
              <a:effectLst/>
            </c:spPr>
            <c:trendlineType val="power"/>
            <c:dispRSqr val="0"/>
            <c:dispEq val="0"/>
          </c:trendline>
          <c:xVal>
            <c:numRef>
              <c:f>'smoothPVC (3)'!$L$8:$L$18</c:f>
              <c:numCache>
                <c:formatCode>0.0E+00</c:formatCode>
                <c:ptCount val="11"/>
                <c:pt idx="0">
                  <c:v>15817.913888888887</c:v>
                </c:pt>
                <c:pt idx="1">
                  <c:v>18893.619367283951</c:v>
                </c:pt>
                <c:pt idx="2">
                  <c:v>22408.711342592593</c:v>
                </c:pt>
                <c:pt idx="3">
                  <c:v>26363.189814814814</c:v>
                </c:pt>
                <c:pt idx="4">
                  <c:v>29438.895293209873</c:v>
                </c:pt>
                <c:pt idx="5">
                  <c:v>32514.600771604935</c:v>
                </c:pt>
                <c:pt idx="6">
                  <c:v>36469.07924382716</c:v>
                </c:pt>
                <c:pt idx="7">
                  <c:v>39544.784722222219</c:v>
                </c:pt>
                <c:pt idx="8">
                  <c:v>43059.876697530861</c:v>
                </c:pt>
                <c:pt idx="9">
                  <c:v>46574.968672839503</c:v>
                </c:pt>
                <c:pt idx="10">
                  <c:v>49211.287654320979</c:v>
                </c:pt>
              </c:numCache>
            </c:numRef>
          </c:xVal>
          <c:yVal>
            <c:numRef>
              <c:f>'smoothPVC (3)'!$O$8:$O$18</c:f>
              <c:numCache>
                <c:formatCode>0.000</c:formatCode>
                <c:ptCount val="11"/>
                <c:pt idx="0">
                  <c:v>7.1147813848673278E-3</c:v>
                </c:pt>
                <c:pt idx="1">
                  <c:v>7.2863568014363712E-3</c:v>
                </c:pt>
                <c:pt idx="2">
                  <c:v>7.1172430949041935E-3</c:v>
                </c:pt>
                <c:pt idx="3">
                  <c:v>6.5200882091631584E-3</c:v>
                </c:pt>
                <c:pt idx="4">
                  <c:v>6.5558373039927252E-3</c:v>
                </c:pt>
                <c:pt idx="5">
                  <c:v>6.5107341024713133E-3</c:v>
                </c:pt>
                <c:pt idx="6">
                  <c:v>6.3250388368889963E-3</c:v>
                </c:pt>
                <c:pt idx="7">
                  <c:v>6.5034187069277424E-3</c:v>
                </c:pt>
                <c:pt idx="8">
                  <c:v>6.2898996549063521E-3</c:v>
                </c:pt>
                <c:pt idx="9">
                  <c:v>6.2805012144920361E-3</c:v>
                </c:pt>
                <c:pt idx="10">
                  <c:v>6.207379432015347E-3</c:v>
                </c:pt>
              </c:numCache>
            </c:numRef>
          </c:yVal>
          <c:smooth val="0"/>
          <c:extLst>
            <c:ext xmlns:c16="http://schemas.microsoft.com/office/drawing/2014/chart" uri="{C3380CC4-5D6E-409C-BE32-E72D297353CC}">
              <c16:uniqueId val="{00000009-AB73-4C00-B7B8-5408D453D043}"/>
            </c:ext>
          </c:extLst>
        </c:ser>
        <c:ser>
          <c:idx val="6"/>
          <c:order val="5"/>
          <c:tx>
            <c:v>PVC 2</c:v>
          </c:tx>
          <c:spPr>
            <a:ln w="25400" cap="rnd">
              <a:noFill/>
              <a:round/>
            </a:ln>
            <a:effectLst/>
          </c:spPr>
          <c:marker>
            <c:symbol val="circle"/>
            <c:size val="5"/>
            <c:spPr>
              <a:solidFill>
                <a:schemeClr val="accent1">
                  <a:lumMod val="60000"/>
                </a:schemeClr>
              </a:solidFill>
              <a:ln w="9525">
                <a:solidFill>
                  <a:schemeClr val="accent1">
                    <a:lumMod val="60000"/>
                  </a:schemeClr>
                </a:solidFill>
              </a:ln>
              <a:effectLst/>
            </c:spPr>
          </c:marker>
          <c:trendline>
            <c:spPr>
              <a:ln w="19050" cap="rnd">
                <a:solidFill>
                  <a:schemeClr val="accent1">
                    <a:lumMod val="60000"/>
                  </a:schemeClr>
                </a:solidFill>
                <a:prstDash val="sysDot"/>
              </a:ln>
              <a:effectLst/>
            </c:spPr>
            <c:trendlineType val="power"/>
            <c:dispRSqr val="0"/>
            <c:dispEq val="0"/>
          </c:trendline>
          <c:xVal>
            <c:numRef>
              <c:f>'smoothPVC (2)'!$L$8:$L$18</c:f>
              <c:numCache>
                <c:formatCode>0.0E+00</c:formatCode>
                <c:ptCount val="11"/>
                <c:pt idx="0">
                  <c:v>13181.594907407407</c:v>
                </c:pt>
                <c:pt idx="1">
                  <c:v>17136.07337962963</c:v>
                </c:pt>
                <c:pt idx="2">
                  <c:v>21969.324845679006</c:v>
                </c:pt>
                <c:pt idx="3">
                  <c:v>25484.416820987655</c:v>
                </c:pt>
                <c:pt idx="4">
                  <c:v>28560.122299382714</c:v>
                </c:pt>
                <c:pt idx="5">
                  <c:v>32953.987268518511</c:v>
                </c:pt>
                <c:pt idx="6">
                  <c:v>36029.692746913577</c:v>
                </c:pt>
                <c:pt idx="7">
                  <c:v>39544.784722222219</c:v>
                </c:pt>
                <c:pt idx="8">
                  <c:v>42620.490200617278</c:v>
                </c:pt>
                <c:pt idx="9">
                  <c:v>46574.968672839503</c:v>
                </c:pt>
                <c:pt idx="10">
                  <c:v>50968.83364197531</c:v>
                </c:pt>
              </c:numCache>
            </c:numRef>
          </c:xVal>
          <c:yVal>
            <c:numRef>
              <c:f>'smoothPVC (2)'!$O$8:$O$18</c:f>
              <c:numCache>
                <c:formatCode>0.000</c:formatCode>
                <c:ptCount val="11"/>
                <c:pt idx="0">
                  <c:v>5.8564098466219634E-3</c:v>
                </c:pt>
                <c:pt idx="1">
                  <c:v>6.2395925785539803E-3</c:v>
                </c:pt>
                <c:pt idx="2">
                  <c:v>6.650067758049244E-3</c:v>
                </c:pt>
                <c:pt idx="3">
                  <c:v>6.6498812148136095E-3</c:v>
                </c:pt>
                <c:pt idx="4">
                  <c:v>6.5667148873216142E-3</c:v>
                </c:pt>
                <c:pt idx="5">
                  <c:v>6.3960524100992074E-3</c:v>
                </c:pt>
                <c:pt idx="6">
                  <c:v>6.3221042539284636E-3</c:v>
                </c:pt>
                <c:pt idx="7">
                  <c:v>6.2964940973335203E-3</c:v>
                </c:pt>
                <c:pt idx="8">
                  <c:v>6.3545000361549236E-3</c:v>
                </c:pt>
                <c:pt idx="9">
                  <c:v>6.1840979003342277E-3</c:v>
                </c:pt>
                <c:pt idx="10">
                  <c:v>5.9494215882764699E-3</c:v>
                </c:pt>
              </c:numCache>
            </c:numRef>
          </c:yVal>
          <c:smooth val="0"/>
          <c:extLst>
            <c:ext xmlns:c16="http://schemas.microsoft.com/office/drawing/2014/chart" uri="{C3380CC4-5D6E-409C-BE32-E72D297353CC}">
              <c16:uniqueId val="{0000000B-AB73-4C00-B7B8-5408D453D043}"/>
            </c:ext>
          </c:extLst>
        </c:ser>
        <c:dLbls>
          <c:showLegendKey val="0"/>
          <c:showVal val="0"/>
          <c:showCatName val="0"/>
          <c:showSerName val="0"/>
          <c:showPercent val="0"/>
          <c:showBubbleSize val="0"/>
        </c:dLbls>
        <c:axId val="282477984"/>
        <c:axId val="282479648"/>
        <c:extLst>
          <c:ext xmlns:c15="http://schemas.microsoft.com/office/drawing/2012/chart" uri="{02D57815-91ED-43cb-92C2-25804820EDAC}">
            <c15:filteredScatterSeries>
              <c15:ser>
                <c:idx val="4"/>
                <c:order val="2"/>
                <c:tx>
                  <c:v>low flow 3</c:v>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wer"/>
                  <c:dispRSqr val="0"/>
                  <c:dispEq val="0"/>
                </c:trendline>
                <c:xVal>
                  <c:numRef>
                    <c:extLst>
                      <c:ext uri="{02D57815-91ED-43cb-92C2-25804820EDAC}">
                        <c15:formulaRef>
                          <c15:sqref>'1lowflow'!$L$8:$L$18</c15:sqref>
                        </c15:formulaRef>
                      </c:ext>
                    </c:extLst>
                    <c:numCache>
                      <c:formatCode>0.0E+00</c:formatCode>
                      <c:ptCount val="11"/>
                      <c:pt idx="0">
                        <c:v>15086.426160303949</c:v>
                      </c:pt>
                      <c:pt idx="1">
                        <c:v>18557.509953635461</c:v>
                      </c:pt>
                      <c:pt idx="2">
                        <c:v>23060.553536426025</c:v>
                      </c:pt>
                      <c:pt idx="3">
                        <c:v>26502.360622555469</c:v>
                      </c:pt>
                      <c:pt idx="4">
                        <c:v>29410.854076769891</c:v>
                      </c:pt>
                      <c:pt idx="5">
                        <c:v>33375.548729294744</c:v>
                      </c:pt>
                      <c:pt idx="6">
                        <c:v>37354.431473417128</c:v>
                      </c:pt>
                      <c:pt idx="7">
                        <c:v>40297.735531614446</c:v>
                      </c:pt>
                      <c:pt idx="8">
                        <c:v>43781.931758187238</c:v>
                      </c:pt>
                      <c:pt idx="9">
                        <c:v>46688.956144955337</c:v>
                      </c:pt>
                      <c:pt idx="10">
                        <c:v>49806.545409764061</c:v>
                      </c:pt>
                    </c:numCache>
                  </c:numRef>
                </c:xVal>
                <c:yVal>
                  <c:numRef>
                    <c:extLst>
                      <c:ext uri="{02D57815-91ED-43cb-92C2-25804820EDAC}">
                        <c15:formulaRef>
                          <c15:sqref>'1lowflow'!$O$8:$O$18</c15:sqref>
                        </c15:formulaRef>
                      </c:ext>
                    </c:extLst>
                    <c:numCache>
                      <c:formatCode>0.000</c:formatCode>
                      <c:ptCount val="11"/>
                      <c:pt idx="0">
                        <c:v>1.304073392937141E-2</c:v>
                      </c:pt>
                      <c:pt idx="1">
                        <c:v>1.3092179033432381E-2</c:v>
                      </c:pt>
                      <c:pt idx="2">
                        <c:v>1.3132502834906768E-2</c:v>
                      </c:pt>
                      <c:pt idx="3">
                        <c:v>1.2990869956031638E-2</c:v>
                      </c:pt>
                      <c:pt idx="4">
                        <c:v>1.3194472800569264E-2</c:v>
                      </c:pt>
                      <c:pt idx="5">
                        <c:v>1.2681148474084235E-2</c:v>
                      </c:pt>
                      <c:pt idx="6">
                        <c:v>1.2711167217235721E-2</c:v>
                      </c:pt>
                      <c:pt idx="7">
                        <c:v>1.2507568501996951E-2</c:v>
                      </c:pt>
                      <c:pt idx="8">
                        <c:v>1.1486588192017713E-2</c:v>
                      </c:pt>
                      <c:pt idx="9">
                        <c:v>1.0199121203308502E-2</c:v>
                      </c:pt>
                      <c:pt idx="10">
                        <c:v>9.2659188093637684E-3</c:v>
                      </c:pt>
                    </c:numCache>
                  </c:numRef>
                </c:yVal>
                <c:smooth val="0"/>
                <c:extLst>
                  <c:ext xmlns:c16="http://schemas.microsoft.com/office/drawing/2014/chart" uri="{C3380CC4-5D6E-409C-BE32-E72D297353CC}">
                    <c16:uniqueId val="{00000005-AB73-4C00-B7B8-5408D453D043}"/>
                  </c:ext>
                </c:extLst>
              </c15:ser>
            </c15:filteredScatterSeries>
            <c15:filteredScatterSeries>
              <c15:ser>
                <c:idx val="5"/>
                <c:order val="3"/>
                <c:tx>
                  <c:v>low flow 4</c:v>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power"/>
                  <c:dispRSqr val="0"/>
                  <c:dispEq val="0"/>
                </c:trendline>
                <c:xVal>
                  <c:numRef>
                    <c:extLst xmlns:c15="http://schemas.microsoft.com/office/drawing/2012/chart">
                      <c:ext xmlns:c15="http://schemas.microsoft.com/office/drawing/2012/chart" uri="{02D57815-91ED-43cb-92C2-25804820EDAC}">
                        <c15:formulaRef>
                          <c15:sqref>('2lowflow'!$L$8,'2lowflow'!$L$10:$L$18)</c15:sqref>
                        </c15:formulaRef>
                      </c:ext>
                    </c:extLst>
                    <c:numCache>
                      <c:formatCode>0.0E+00</c:formatCode>
                      <c:ptCount val="10"/>
                      <c:pt idx="0">
                        <c:v>14264.395221837269</c:v>
                      </c:pt>
                      <c:pt idx="1">
                        <c:v>21278.686563893971</c:v>
                      </c:pt>
                      <c:pt idx="2">
                        <c:v>26625.705078418359</c:v>
                      </c:pt>
                      <c:pt idx="3">
                        <c:v>29794.458989530936</c:v>
                      </c:pt>
                      <c:pt idx="4">
                        <c:v>33131.63036178083</c:v>
                      </c:pt>
                      <c:pt idx="5">
                        <c:v>36502.48462879999</c:v>
                      </c:pt>
                      <c:pt idx="6">
                        <c:v>40660.846296579126</c:v>
                      </c:pt>
                      <c:pt idx="7">
                        <c:v>44179.980053855405</c:v>
                      </c:pt>
                      <c:pt idx="8">
                        <c:v>47288.172743160452</c:v>
                      </c:pt>
                      <c:pt idx="9">
                        <c:v>50255.634950659114</c:v>
                      </c:pt>
                    </c:numCache>
                  </c:numRef>
                </c:xVal>
                <c:yVal>
                  <c:numRef>
                    <c:extLst xmlns:c15="http://schemas.microsoft.com/office/drawing/2012/chart">
                      <c:ext xmlns:c15="http://schemas.microsoft.com/office/drawing/2012/chart" uri="{02D57815-91ED-43cb-92C2-25804820EDAC}">
                        <c15:formulaRef>
                          <c15:sqref>('2lowflow'!$O$8,'2lowflow'!$O$10:$O$18)</c15:sqref>
                        </c15:formulaRef>
                      </c:ext>
                    </c:extLst>
                    <c:numCache>
                      <c:formatCode>0.000</c:formatCode>
                      <c:ptCount val="10"/>
                      <c:pt idx="0">
                        <c:v>1.1891761786368395E-2</c:v>
                      </c:pt>
                      <c:pt idx="1">
                        <c:v>1.1695335987554286E-2</c:v>
                      </c:pt>
                      <c:pt idx="2">
                        <c:v>1.1826774127943251E-2</c:v>
                      </c:pt>
                      <c:pt idx="3">
                        <c:v>1.1877348027892474E-2</c:v>
                      </c:pt>
                      <c:pt idx="4">
                        <c:v>1.1483046501742863E-2</c:v>
                      </c:pt>
                      <c:pt idx="5">
                        <c:v>1.1283472706249083E-2</c:v>
                      </c:pt>
                      <c:pt idx="6">
                        <c:v>1.0821101270403269E-2</c:v>
                      </c:pt>
                      <c:pt idx="7">
                        <c:v>1.0688637825367402E-2</c:v>
                      </c:pt>
                      <c:pt idx="8">
                        <c:v>1.0023204683531125E-2</c:v>
                      </c:pt>
                      <c:pt idx="9">
                        <c:v>9.3326336329008705E-3</c:v>
                      </c:pt>
                    </c:numCache>
                  </c:numRef>
                </c:yVal>
                <c:smooth val="0"/>
                <c:extLst xmlns:c15="http://schemas.microsoft.com/office/drawing/2012/chart">
                  <c:ext xmlns:c16="http://schemas.microsoft.com/office/drawing/2014/chart" uri="{C3380CC4-5D6E-409C-BE32-E72D297353CC}">
                    <c16:uniqueId val="{00000007-AB73-4C00-B7B8-5408D453D043}"/>
                  </c:ext>
                </c:extLst>
              </c15:ser>
            </c15:filteredScatterSeries>
          </c:ext>
        </c:extLst>
      </c:scatterChart>
      <c:valAx>
        <c:axId val="282477984"/>
        <c:scaling>
          <c:orientation val="minMax"/>
        </c:scaling>
        <c:delete val="0"/>
        <c:axPos val="b"/>
        <c:majorGridlines>
          <c:spPr>
            <a:ln w="9525" cap="flat" cmpd="sng" algn="ctr">
              <a:solidFill>
                <a:schemeClr val="tx1">
                  <a:lumMod val="15000"/>
                  <a:lumOff val="85000"/>
                </a:schemeClr>
              </a:solidFill>
              <a:round/>
            </a:ln>
            <a:effectLst/>
          </c:spPr>
        </c:majorGridlines>
        <c:numFmt formatCode="0.0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2479648"/>
        <c:crosses val="autoZero"/>
        <c:crossBetween val="midCat"/>
      </c:valAx>
      <c:valAx>
        <c:axId val="282479648"/>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247798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HighFlow3 - Load</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1.6990675303667008E-2"/>
                  <c:y val="-0.1373270916517508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'HF averages'!$L$8:$L$18</c:f>
              <c:numCache>
                <c:formatCode>General</c:formatCode>
                <c:ptCount val="11"/>
                <c:pt idx="0">
                  <c:v>14845.005387630999</c:v>
                </c:pt>
                <c:pt idx="1">
                  <c:v>18154.279718303584</c:v>
                </c:pt>
                <c:pt idx="2">
                  <c:v>20633.436408082234</c:v>
                </c:pt>
                <c:pt idx="3">
                  <c:v>25188.937131076353</c:v>
                </c:pt>
                <c:pt idx="4">
                  <c:v>28722.313361843459</c:v>
                </c:pt>
                <c:pt idx="5">
                  <c:v>31878.068716268957</c:v>
                </c:pt>
                <c:pt idx="6">
                  <c:v>34951.064176398817</c:v>
                </c:pt>
                <c:pt idx="7">
                  <c:v>37982.53775698629</c:v>
                </c:pt>
                <c:pt idx="8">
                  <c:v>40276.6388380305</c:v>
                </c:pt>
                <c:pt idx="9">
                  <c:v>44558.708728526748</c:v>
                </c:pt>
                <c:pt idx="10">
                  <c:v>48390.16305141976</c:v>
                </c:pt>
              </c:numCache>
            </c:numRef>
          </c:xVal>
          <c:yVal>
            <c:numRef>
              <c:f>'HF averages'!$O$8:$O$18</c:f>
              <c:numCache>
                <c:formatCode>General</c:formatCode>
                <c:ptCount val="11"/>
                <c:pt idx="0">
                  <c:v>1.2212240709967922E-2</c:v>
                </c:pt>
                <c:pt idx="1">
                  <c:v>1.2736118261928671E-2</c:v>
                </c:pt>
                <c:pt idx="2">
                  <c:v>1.206920212863757E-2</c:v>
                </c:pt>
                <c:pt idx="3">
                  <c:v>1.1786480521258191E-2</c:v>
                </c:pt>
                <c:pt idx="4">
                  <c:v>1.1614203813470298E-2</c:v>
                </c:pt>
                <c:pt idx="5">
                  <c:v>1.1555820237887721E-2</c:v>
                </c:pt>
                <c:pt idx="6">
                  <c:v>1.1588216899381623E-2</c:v>
                </c:pt>
                <c:pt idx="7">
                  <c:v>1.1482401328345337E-2</c:v>
                </c:pt>
                <c:pt idx="8">
                  <c:v>1.0634358038064257E-2</c:v>
                </c:pt>
                <c:pt idx="9">
                  <c:v>9.9071095126674769E-3</c:v>
                </c:pt>
                <c:pt idx="10">
                  <c:v>9.0426917782260759E-3</c:v>
                </c:pt>
              </c:numCache>
            </c:numRef>
          </c:yVal>
          <c:smooth val="0"/>
          <c:extLst>
            <c:ext xmlns:c16="http://schemas.microsoft.com/office/drawing/2014/chart" uri="{C3380CC4-5D6E-409C-BE32-E72D297353CC}">
              <c16:uniqueId val="{00000001-A3B4-4413-8FC5-CF5219D1A8B5}"/>
            </c:ext>
          </c:extLst>
        </c:ser>
        <c:ser>
          <c:idx val="2"/>
          <c:order val="1"/>
          <c:tx>
            <c:v>HighFlow3 - Unload</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wer"/>
            <c:dispRSqr val="1"/>
            <c:dispEq val="1"/>
            <c:trendlineLbl>
              <c:layout>
                <c:manualLayout>
                  <c:x val="-1.139268194248616E-2"/>
                  <c:y val="0.1212843636697416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'HF averages'!$L$18:$L$28</c:f>
              <c:numCache>
                <c:formatCode>General</c:formatCode>
                <c:ptCount val="11"/>
                <c:pt idx="0">
                  <c:v>48390.16305141976</c:v>
                </c:pt>
                <c:pt idx="1">
                  <c:v>44213.360942755047</c:v>
                </c:pt>
                <c:pt idx="2">
                  <c:v>40973.06401480543</c:v>
                </c:pt>
                <c:pt idx="3">
                  <c:v>37187.351688933995</c:v>
                </c:pt>
                <c:pt idx="4">
                  <c:v>33703.594887221749</c:v>
                </c:pt>
                <c:pt idx="5">
                  <c:v>28943.45311802212</c:v>
                </c:pt>
                <c:pt idx="6">
                  <c:v>27783.050145951885</c:v>
                </c:pt>
                <c:pt idx="7">
                  <c:v>24311.515013048542</c:v>
                </c:pt>
                <c:pt idx="8">
                  <c:v>21009.68864130423</c:v>
                </c:pt>
                <c:pt idx="9">
                  <c:v>17474.147026620209</c:v>
                </c:pt>
                <c:pt idx="10">
                  <c:v>13587.845068178849</c:v>
                </c:pt>
              </c:numCache>
            </c:numRef>
          </c:xVal>
          <c:yVal>
            <c:numRef>
              <c:f>'HF averages'!$O$18:$O$28</c:f>
              <c:numCache>
                <c:formatCode>General</c:formatCode>
                <c:ptCount val="11"/>
                <c:pt idx="0">
                  <c:v>9.0426917782260759E-3</c:v>
                </c:pt>
                <c:pt idx="1">
                  <c:v>1.0003179416722532E-2</c:v>
                </c:pt>
                <c:pt idx="2">
                  <c:v>1.0578890152821444E-2</c:v>
                </c:pt>
                <c:pt idx="3">
                  <c:v>1.0619095795575191E-2</c:v>
                </c:pt>
                <c:pt idx="4">
                  <c:v>1.0896710947463931E-2</c:v>
                </c:pt>
                <c:pt idx="5">
                  <c:v>1.0141290874802877E-2</c:v>
                </c:pt>
                <c:pt idx="6">
                  <c:v>1.0920043029614173E-2</c:v>
                </c:pt>
                <c:pt idx="7">
                  <c:v>1.094029066947721E-2</c:v>
                </c:pt>
                <c:pt idx="8">
                  <c:v>1.1265286006695326E-2</c:v>
                </c:pt>
                <c:pt idx="9">
                  <c:v>1.115203984709618E-2</c:v>
                </c:pt>
                <c:pt idx="10">
                  <c:v>1.010493266413803E-2</c:v>
                </c:pt>
              </c:numCache>
            </c:numRef>
          </c:yVal>
          <c:smooth val="0"/>
          <c:extLst>
            <c:ext xmlns:c16="http://schemas.microsoft.com/office/drawing/2014/chart" uri="{C3380CC4-5D6E-409C-BE32-E72D297353CC}">
              <c16:uniqueId val="{00000003-A3B4-4413-8FC5-CF5219D1A8B5}"/>
            </c:ext>
          </c:extLst>
        </c:ser>
        <c:dLbls>
          <c:showLegendKey val="0"/>
          <c:showVal val="0"/>
          <c:showCatName val="0"/>
          <c:showSerName val="0"/>
          <c:showPercent val="0"/>
          <c:showBubbleSize val="0"/>
        </c:dLbls>
        <c:axId val="424978536"/>
        <c:axId val="424985752"/>
        <c:extLst/>
      </c:scatterChart>
      <c:valAx>
        <c:axId val="424978536"/>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Re</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85752"/>
        <c:crosses val="autoZero"/>
        <c:crossBetween val="midCat"/>
      </c:valAx>
      <c:valAx>
        <c:axId val="4249857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US" sz="1600" baseline="0"/>
                  <a:t>Fanning  Friction Factor (f)</a:t>
                </a:r>
                <a:endParaRPr lang="en-US" sz="1600"/>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7853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dash"/>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87905743009573"/>
          <c:y val="7.6000885431489737E-2"/>
          <c:w val="0.87147208843029911"/>
          <c:h val="0.8116902254688043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5.0976046472021953E-2"/>
                  <c:y val="0.24339626849488494"/>
                </c:manualLayout>
              </c:layout>
              <c:numFmt formatCode="General" sourceLinked="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rendlineLbl>
          </c:trendline>
          <c:xVal>
            <c:numRef>
              <c:f>smoothPVC!$G$8:$G$18</c:f>
              <c:numCache>
                <c:formatCode>0.00</c:formatCode>
                <c:ptCount val="11"/>
                <c:pt idx="0">
                  <c:v>1.3611132888897601</c:v>
                </c:pt>
                <c:pt idx="1">
                  <c:v>2.0069476555568406</c:v>
                </c:pt>
                <c:pt idx="2">
                  <c:v>2.68596108765604</c:v>
                </c:pt>
                <c:pt idx="3">
                  <c:v>3.5679069432121597</c:v>
                </c:pt>
                <c:pt idx="4">
                  <c:v>4.4567972543238392</c:v>
                </c:pt>
                <c:pt idx="5">
                  <c:v>5.5748545987689999</c:v>
                </c:pt>
                <c:pt idx="6">
                  <c:v>6.8179121432142411</c:v>
                </c:pt>
                <c:pt idx="7">
                  <c:v>8.0277906222273625</c:v>
                </c:pt>
                <c:pt idx="8">
                  <c:v>9.6790278321049588</c:v>
                </c:pt>
                <c:pt idx="9">
                  <c:v>10.74384435062416</c:v>
                </c:pt>
                <c:pt idx="10">
                  <c:v>12.056346450625</c:v>
                </c:pt>
              </c:numCache>
            </c:numRef>
          </c:xVal>
          <c:yVal>
            <c:numRef>
              <c:f>smoothPVC!$I$8:$I$18</c:f>
              <c:numCache>
                <c:formatCode>General</c:formatCode>
                <c:ptCount val="11"/>
                <c:pt idx="0">
                  <c:v>6.3120687419216726E-2</c:v>
                </c:pt>
                <c:pt idx="1">
                  <c:v>0.13578525439034794</c:v>
                </c:pt>
                <c:pt idx="2">
                  <c:v>0.480960116990649</c:v>
                </c:pt>
                <c:pt idx="3">
                  <c:v>0.89842800374402998</c:v>
                </c:pt>
                <c:pt idx="4">
                  <c:v>1.3629433392284307</c:v>
                </c:pt>
                <c:pt idx="5">
                  <c:v>1.8006599533000549</c:v>
                </c:pt>
                <c:pt idx="6">
                  <c:v>2.8613039997755116</c:v>
                </c:pt>
                <c:pt idx="7">
                  <c:v>2.9042350381899027</c:v>
                </c:pt>
                <c:pt idx="8">
                  <c:v>3.9672893178729449</c:v>
                </c:pt>
                <c:pt idx="9">
                  <c:v>4.9182480693542887</c:v>
                </c:pt>
                <c:pt idx="10">
                  <c:v>5.2569142311027983</c:v>
                </c:pt>
              </c:numCache>
            </c:numRef>
          </c:yVal>
          <c:smooth val="0"/>
          <c:extLst>
            <c:ext xmlns:c16="http://schemas.microsoft.com/office/drawing/2014/chart" uri="{C3380CC4-5D6E-409C-BE32-E72D297353CC}">
              <c16:uniqueId val="{00000001-F272-46FC-AE42-69EB06004FD7}"/>
            </c:ext>
          </c:extLst>
        </c:ser>
        <c:dLbls>
          <c:showLegendKey val="0"/>
          <c:showVal val="0"/>
          <c:showCatName val="0"/>
          <c:showSerName val="0"/>
          <c:showPercent val="0"/>
          <c:showBubbleSize val="0"/>
        </c:dLbls>
        <c:axId val="495907024"/>
        <c:axId val="495906368"/>
      </c:scatterChart>
      <c:valAx>
        <c:axId val="4959070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b="0" i="0" u="none" strike="noStrike" baseline="0">
                    <a:effectLst/>
                  </a:rPr>
                  <a:t>u</a:t>
                </a:r>
                <a:r>
                  <a:rPr lang="en-US" sz="1600" b="0" i="0" u="none" strike="noStrike" baseline="30000">
                    <a:effectLst/>
                  </a:rPr>
                  <a:t>2</a:t>
                </a:r>
                <a:r>
                  <a:rPr lang="en-US" sz="1600" b="0" i="0" u="none" strike="noStrike" baseline="0"/>
                  <a:t> </a:t>
                </a:r>
                <a:endParaRPr lang="en-US" sz="1600"/>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6368"/>
        <c:crosses val="autoZero"/>
        <c:crossBetween val="midCat"/>
      </c:valAx>
      <c:valAx>
        <c:axId val="495906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l-GR" sz="1400" b="0" i="0" u="none" strike="noStrike" baseline="0">
                    <a:effectLst/>
                  </a:rPr>
                  <a:t>Δ</a:t>
                </a:r>
                <a:r>
                  <a:rPr lang="en-US" sz="1400" b="0" i="0" u="none" strike="noStrike" baseline="0">
                    <a:effectLst/>
                  </a:rPr>
                  <a:t>P(Pa)</a:t>
                </a:r>
                <a:r>
                  <a:rPr lang="en-US" sz="1400" b="0" i="0" u="none" strike="noStrike" baseline="0"/>
                  <a:t> </a:t>
                </a:r>
                <a:endParaRPr lang="en-US" sz="1400"/>
              </a:p>
            </c:rich>
          </c:tx>
          <c:layout>
            <c:manualLayout>
              <c:xMode val="edge"/>
              <c:yMode val="edge"/>
              <c:x val="1.1874859823608077E-2"/>
              <c:y val="0.37440418485845395"/>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7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87905743009573"/>
          <c:y val="7.6000885431489737E-2"/>
          <c:w val="0.87147208843029911"/>
          <c:h val="0.8116902254688043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5.0976046472021953E-2"/>
                  <c:y val="0.24339626849488494"/>
                </c:manualLayout>
              </c:layout>
              <c:numFmt formatCode="General" sourceLinked="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rendlineLbl>
          </c:trendline>
          <c:xVal>
            <c:numRef>
              <c:f>'smoothPVC (2)'!$G$8:$G$18</c:f>
              <c:numCache>
                <c:formatCode>0.00</c:formatCode>
                <c:ptCount val="11"/>
                <c:pt idx="0">
                  <c:v>0.69444555555600007</c:v>
                </c:pt>
                <c:pt idx="1">
                  <c:v>1.1736129888896403</c:v>
                </c:pt>
                <c:pt idx="2">
                  <c:v>1.9290154320999999</c:v>
                </c:pt>
                <c:pt idx="3">
                  <c:v>2.5956831654337602</c:v>
                </c:pt>
                <c:pt idx="4">
                  <c:v>3.2600360802490003</c:v>
                </c:pt>
                <c:pt idx="5">
                  <c:v>4.3402847222249994</c:v>
                </c:pt>
                <c:pt idx="6">
                  <c:v>5.1882799061761604</c:v>
                </c:pt>
                <c:pt idx="7">
                  <c:v>6.2500100000040018</c:v>
                </c:pt>
                <c:pt idx="8">
                  <c:v>7.2600424802515597</c:v>
                </c:pt>
                <c:pt idx="9">
                  <c:v>8.669766958030241</c:v>
                </c:pt>
                <c:pt idx="10">
                  <c:v>10.382732661735041</c:v>
                </c:pt>
              </c:numCache>
            </c:numRef>
          </c:xVal>
          <c:yVal>
            <c:numRef>
              <c:f>'smoothPVC (2)'!$I$8:$I$17</c:f>
              <c:numCache>
                <c:formatCode>General</c:formatCode>
                <c:ptCount val="10"/>
                <c:pt idx="0">
                  <c:v>0.40018864648690022</c:v>
                </c:pt>
                <c:pt idx="1">
                  <c:v>0.7205701025241229</c:v>
                </c:pt>
                <c:pt idx="2">
                  <c:v>1.2622833996511038</c:v>
                </c:pt>
                <c:pt idx="3">
                  <c:v>1.6984808965883076</c:v>
                </c:pt>
                <c:pt idx="4">
                  <c:v>2.1065203821994682</c:v>
                </c:pt>
                <c:pt idx="5">
                  <c:v>2.7316517541174306</c:v>
                </c:pt>
                <c:pt idx="6">
                  <c:v>3.2276032921961342</c:v>
                </c:pt>
                <c:pt idx="7">
                  <c:v>3.8723500656127863</c:v>
                </c:pt>
                <c:pt idx="8">
                  <c:v>4.5395797159992899</c:v>
                </c:pt>
                <c:pt idx="9">
                  <c:v>5.2756852639277207</c:v>
                </c:pt>
              </c:numCache>
            </c:numRef>
          </c:yVal>
          <c:smooth val="0"/>
          <c:extLst>
            <c:ext xmlns:c16="http://schemas.microsoft.com/office/drawing/2014/chart" uri="{C3380CC4-5D6E-409C-BE32-E72D297353CC}">
              <c16:uniqueId val="{00000001-877A-4F9B-A505-73821E7BF642}"/>
            </c:ext>
          </c:extLst>
        </c:ser>
        <c:dLbls>
          <c:showLegendKey val="0"/>
          <c:showVal val="0"/>
          <c:showCatName val="0"/>
          <c:showSerName val="0"/>
          <c:showPercent val="0"/>
          <c:showBubbleSize val="0"/>
        </c:dLbls>
        <c:axId val="495907024"/>
        <c:axId val="495906368"/>
      </c:scatterChart>
      <c:valAx>
        <c:axId val="4959070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b="0" i="0" u="none" strike="noStrike" baseline="0">
                    <a:effectLst/>
                  </a:rPr>
                  <a:t>u</a:t>
                </a:r>
                <a:r>
                  <a:rPr lang="en-US" sz="1600" b="0" i="0" u="none" strike="noStrike" baseline="30000">
                    <a:effectLst/>
                  </a:rPr>
                  <a:t>2</a:t>
                </a:r>
                <a:r>
                  <a:rPr lang="en-US" sz="1600" b="0" i="0" u="none" strike="noStrike" baseline="0"/>
                  <a:t> </a:t>
                </a:r>
                <a:endParaRPr lang="en-US" sz="1600"/>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6368"/>
        <c:crosses val="autoZero"/>
        <c:crossBetween val="midCat"/>
      </c:valAx>
      <c:valAx>
        <c:axId val="495906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l-GR" sz="1400" b="0" i="0" u="none" strike="noStrike" baseline="0">
                    <a:effectLst/>
                  </a:rPr>
                  <a:t>Δ</a:t>
                </a:r>
                <a:r>
                  <a:rPr lang="en-US" sz="1400" b="0" i="0" u="none" strike="noStrike" baseline="0">
                    <a:effectLst/>
                  </a:rPr>
                  <a:t>P(Pa)</a:t>
                </a:r>
                <a:r>
                  <a:rPr lang="en-US" sz="1400" b="0" i="0" u="none" strike="noStrike" baseline="0"/>
                  <a:t> </a:t>
                </a:r>
                <a:endParaRPr lang="en-US" sz="1400"/>
              </a:p>
            </c:rich>
          </c:tx>
          <c:layout>
            <c:manualLayout>
              <c:xMode val="edge"/>
              <c:yMode val="edge"/>
              <c:x val="1.1874859823608077E-2"/>
              <c:y val="0.37440418485845395"/>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7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'smoothPVC (2)'!$L$8:$L$18</c:f>
              <c:numCache>
                <c:formatCode>0.0E+00</c:formatCode>
                <c:ptCount val="11"/>
                <c:pt idx="0">
                  <c:v>13181.594907407407</c:v>
                </c:pt>
                <c:pt idx="1">
                  <c:v>17136.07337962963</c:v>
                </c:pt>
                <c:pt idx="2">
                  <c:v>21969.324845679006</c:v>
                </c:pt>
                <c:pt idx="3">
                  <c:v>25484.416820987655</c:v>
                </c:pt>
                <c:pt idx="4">
                  <c:v>28560.122299382714</c:v>
                </c:pt>
                <c:pt idx="5">
                  <c:v>32953.987268518511</c:v>
                </c:pt>
                <c:pt idx="6">
                  <c:v>36029.692746913577</c:v>
                </c:pt>
                <c:pt idx="7">
                  <c:v>39544.784722222219</c:v>
                </c:pt>
                <c:pt idx="8">
                  <c:v>42620.490200617278</c:v>
                </c:pt>
                <c:pt idx="9">
                  <c:v>46574.968672839503</c:v>
                </c:pt>
                <c:pt idx="10">
                  <c:v>50968.83364197531</c:v>
                </c:pt>
              </c:numCache>
            </c:numRef>
          </c:xVal>
          <c:yVal>
            <c:numRef>
              <c:f>'smoothPVC (2)'!$O$8:$O$18</c:f>
              <c:numCache>
                <c:formatCode>0.000</c:formatCode>
                <c:ptCount val="11"/>
                <c:pt idx="0">
                  <c:v>5.8564098466219634E-3</c:v>
                </c:pt>
                <c:pt idx="1">
                  <c:v>6.2395925785539803E-3</c:v>
                </c:pt>
                <c:pt idx="2">
                  <c:v>6.650067758049244E-3</c:v>
                </c:pt>
                <c:pt idx="3">
                  <c:v>6.6498812148136095E-3</c:v>
                </c:pt>
                <c:pt idx="4">
                  <c:v>6.5667148873216142E-3</c:v>
                </c:pt>
                <c:pt idx="5">
                  <c:v>6.3960524100992074E-3</c:v>
                </c:pt>
                <c:pt idx="6">
                  <c:v>6.3221042539284636E-3</c:v>
                </c:pt>
                <c:pt idx="7">
                  <c:v>6.2964940973335203E-3</c:v>
                </c:pt>
                <c:pt idx="8">
                  <c:v>6.3545000361549236E-3</c:v>
                </c:pt>
                <c:pt idx="9">
                  <c:v>6.1840979003342277E-3</c:v>
                </c:pt>
                <c:pt idx="10">
                  <c:v>5.9494215882764699E-3</c:v>
                </c:pt>
              </c:numCache>
            </c:numRef>
          </c:yVal>
          <c:smooth val="0"/>
          <c:extLst>
            <c:ext xmlns:c16="http://schemas.microsoft.com/office/drawing/2014/chart" uri="{C3380CC4-5D6E-409C-BE32-E72D297353CC}">
              <c16:uniqueId val="{00000002-FA68-4DE8-9416-DE6AB9C52606}"/>
            </c:ext>
          </c:extLst>
        </c:ser>
        <c:dLbls>
          <c:showLegendKey val="0"/>
          <c:showVal val="0"/>
          <c:showCatName val="0"/>
          <c:showSerName val="0"/>
          <c:showPercent val="0"/>
          <c:showBubbleSize val="0"/>
        </c:dLbls>
        <c:axId val="424978536"/>
        <c:axId val="424985752"/>
        <c:extLst>
          <c:ext xmlns:c15="http://schemas.microsoft.com/office/drawing/2012/chart" uri="{02D57815-91ED-43cb-92C2-25804820EDAC}">
            <c15:filteredScatterSeries>
              <c15:ser>
                <c:idx val="2"/>
                <c:order val="1"/>
                <c:tx>
                  <c:v>LowFlowHartlepoolBiofilm2 - Unload</c:v>
                </c:tx>
                <c:spPr>
                  <a:ln w="25400" cap="rnd">
                    <a:noFill/>
                    <a:round/>
                  </a:ln>
                  <a:effectLst/>
                </c:spPr>
                <c:marker>
                  <c:symbol val="circle"/>
                  <c:size val="5"/>
                  <c:spPr>
                    <a:solidFill>
                      <a:schemeClr val="accent3"/>
                    </a:solidFill>
                    <a:ln w="9525">
                      <a:solidFill>
                        <a:schemeClr val="accent3"/>
                      </a:solidFill>
                    </a:ln>
                    <a:effectLst/>
                  </c:spPr>
                </c:marker>
                <c:xVal>
                  <c:numRef>
                    <c:extLst>
                      <c:ext uri="{02D57815-91ED-43cb-92C2-25804820EDAC}">
                        <c15:formulaRef>
                          <c15:sqref>'smoothPVC (2)'!$L$19:$L$28</c15:sqref>
                        </c15:formulaRef>
                      </c:ext>
                    </c:extLst>
                    <c:numCache>
                      <c:formatCode>0.0E+00</c:formatCode>
                      <c:ptCount val="10"/>
                      <c:pt idx="0">
                        <c:v>46574.968672839503</c:v>
                      </c:pt>
                      <c:pt idx="1">
                        <c:v>42181.103703703702</c:v>
                      </c:pt>
                      <c:pt idx="2">
                        <c:v>38666.01172839506</c:v>
                      </c:pt>
                      <c:pt idx="3">
                        <c:v>35150.919753086418</c:v>
                      </c:pt>
                      <c:pt idx="4">
                        <c:v>31635.827777777773</c:v>
                      </c:pt>
                      <c:pt idx="5">
                        <c:v>28120.735802469135</c:v>
                      </c:pt>
                      <c:pt idx="6">
                        <c:v>24166.25733024691</c:v>
                      </c:pt>
                      <c:pt idx="7">
                        <c:v>21529.93834876543</c:v>
                      </c:pt>
                      <c:pt idx="8">
                        <c:v>17575.459876543209</c:v>
                      </c:pt>
                      <c:pt idx="9" formatCode="0.000">
                        <c:v>14499.754398148147</c:v>
                      </c:pt>
                    </c:numCache>
                  </c:numRef>
                </c:xVal>
                <c:yVal>
                  <c:numRef>
                    <c:extLst>
                      <c:ext uri="{02D57815-91ED-43cb-92C2-25804820EDAC}">
                        <c15:formulaRef>
                          <c15:sqref>'smoothPVC (2)'!$O$19:$O$28</c15:sqref>
                        </c15:formulaRef>
                      </c:ext>
                    </c:extLst>
                    <c:numCache>
                      <c:formatCode>0.000</c:formatCode>
                      <c:ptCount val="10"/>
                      <c:pt idx="0">
                        <c:v>6.2089097599122107E-3</c:v>
                      </c:pt>
                      <c:pt idx="1">
                        <c:v>6.2888722333755195E-3</c:v>
                      </c:pt>
                      <c:pt idx="2">
                        <c:v>6.2879713211716898E-3</c:v>
                      </c:pt>
                      <c:pt idx="3">
                        <c:v>6.3297579972056836E-3</c:v>
                      </c:pt>
                      <c:pt idx="4">
                        <c:v>6.3342057433681109E-3</c:v>
                      </c:pt>
                      <c:pt idx="5">
                        <c:v>6.4000129392687202E-3</c:v>
                      </c:pt>
                      <c:pt idx="6">
                        <c:v>6.4993842464235816E-3</c:v>
                      </c:pt>
                      <c:pt idx="7">
                        <c:v>6.0031781309274066E-3</c:v>
                      </c:pt>
                      <c:pt idx="8">
                        <c:v>6.0222235281392521E-3</c:v>
                      </c:pt>
                      <c:pt idx="9">
                        <c:v>4.4705705427112667E-3</c:v>
                      </c:pt>
                    </c:numCache>
                  </c:numRef>
                </c:yVal>
                <c:smooth val="0"/>
                <c:extLst>
                  <c:ext xmlns:c16="http://schemas.microsoft.com/office/drawing/2014/chart" uri="{C3380CC4-5D6E-409C-BE32-E72D297353CC}">
                    <c16:uniqueId val="{00000003-FA68-4DE8-9416-DE6AB9C52606}"/>
                  </c:ext>
                </c:extLst>
              </c15:ser>
            </c15:filteredScatterSeries>
          </c:ext>
        </c:extLst>
      </c:scatterChart>
      <c:valAx>
        <c:axId val="424978536"/>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Re</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85752"/>
        <c:crosses val="autoZero"/>
        <c:crossBetween val="midCat"/>
      </c:valAx>
      <c:valAx>
        <c:axId val="424985752"/>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US" sz="1600" baseline="0"/>
                  <a:t>Fanning  Friction Factor (f)</a:t>
                </a:r>
                <a:endParaRPr lang="en-US" sz="1600"/>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7853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dash"/>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87905743009573"/>
          <c:y val="7.6000885431489737E-2"/>
          <c:w val="0.87147208843029911"/>
          <c:h val="0.8116902254688043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5.0976046472021953E-2"/>
                  <c:y val="0.24339626849488494"/>
                </c:manualLayout>
              </c:layout>
              <c:numFmt formatCode="General" sourceLinked="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rendlineLbl>
          </c:trendline>
          <c:xVal>
            <c:numRef>
              <c:f>'smoothPVC (3)'!$G$8:$G$18</c:f>
              <c:numCache>
                <c:formatCode>0.00</c:formatCode>
                <c:ptCount val="11"/>
                <c:pt idx="0">
                  <c:v>1.00000160000064</c:v>
                </c:pt>
                <c:pt idx="1">
                  <c:v>1.4266998135811599</c:v>
                </c:pt>
                <c:pt idx="2">
                  <c:v>2.0069476555568406</c:v>
                </c:pt>
                <c:pt idx="3">
                  <c:v>2.7777822222240003</c:v>
                </c:pt>
                <c:pt idx="4">
                  <c:v>3.4637401098787599</c:v>
                </c:pt>
                <c:pt idx="5">
                  <c:v>4.22531540247184</c:v>
                </c:pt>
                <c:pt idx="6">
                  <c:v>5.3155949246947607</c:v>
                </c:pt>
                <c:pt idx="7">
                  <c:v>6.2500100000040018</c:v>
                </c:pt>
                <c:pt idx="8">
                  <c:v>7.4105056839553596</c:v>
                </c:pt>
                <c:pt idx="9">
                  <c:v>8.669766958030241</c:v>
                </c:pt>
                <c:pt idx="10">
                  <c:v>9.6790278321049588</c:v>
                </c:pt>
              </c:numCache>
            </c:numRef>
          </c:xVal>
          <c:yVal>
            <c:numRef>
              <c:f>'smoothPVC (3)'!$I$8:$I$18</c:f>
              <c:numCache>
                <c:formatCode>General</c:formatCode>
                <c:ptCount val="11"/>
                <c:pt idx="0">
                  <c:v>0.70009560842257423</c:v>
                </c:pt>
                <c:pt idx="1">
                  <c:v>1.0229116788050365</c:v>
                </c:pt>
                <c:pt idx="2">
                  <c:v>1.4055391393852548</c:v>
                </c:pt>
                <c:pt idx="3">
                  <c:v>1.782160295290981</c:v>
                </c:pt>
                <c:pt idx="4">
                  <c:v>2.2344393157700173</c:v>
                </c:pt>
                <c:pt idx="5">
                  <c:v>2.7069746603217579</c:v>
                </c:pt>
                <c:pt idx="6">
                  <c:v>3.3083402830426571</c:v>
                </c:pt>
                <c:pt idx="7">
                  <c:v>3.9996089041271308</c:v>
                </c:pt>
                <c:pt idx="8">
                  <c:v>4.5865555749885294</c:v>
                </c:pt>
                <c:pt idx="9">
                  <c:v>5.3579274198723503</c:v>
                </c:pt>
                <c:pt idx="10">
                  <c:v>5.9120095914321817</c:v>
                </c:pt>
              </c:numCache>
            </c:numRef>
          </c:yVal>
          <c:smooth val="0"/>
          <c:extLst>
            <c:ext xmlns:c16="http://schemas.microsoft.com/office/drawing/2014/chart" uri="{C3380CC4-5D6E-409C-BE32-E72D297353CC}">
              <c16:uniqueId val="{00000001-569C-4175-AFA3-53AF4EAFF9E0}"/>
            </c:ext>
          </c:extLst>
        </c:ser>
        <c:dLbls>
          <c:showLegendKey val="0"/>
          <c:showVal val="0"/>
          <c:showCatName val="0"/>
          <c:showSerName val="0"/>
          <c:showPercent val="0"/>
          <c:showBubbleSize val="0"/>
        </c:dLbls>
        <c:axId val="495907024"/>
        <c:axId val="495906368"/>
      </c:scatterChart>
      <c:valAx>
        <c:axId val="4959070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b="0" i="0" u="none" strike="noStrike" baseline="0">
                    <a:effectLst/>
                  </a:rPr>
                  <a:t>u</a:t>
                </a:r>
                <a:r>
                  <a:rPr lang="en-US" sz="1600" b="0" i="0" u="none" strike="noStrike" baseline="30000">
                    <a:effectLst/>
                  </a:rPr>
                  <a:t>2</a:t>
                </a:r>
                <a:r>
                  <a:rPr lang="en-US" sz="1600" b="0" i="0" u="none" strike="noStrike" baseline="0"/>
                  <a:t> </a:t>
                </a:r>
                <a:endParaRPr lang="en-US" sz="1600"/>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6368"/>
        <c:crosses val="autoZero"/>
        <c:crossBetween val="midCat"/>
      </c:valAx>
      <c:valAx>
        <c:axId val="495906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l-GR" sz="1400" b="0" i="0" u="none" strike="noStrike" baseline="0">
                    <a:effectLst/>
                  </a:rPr>
                  <a:t>Δ</a:t>
                </a:r>
                <a:r>
                  <a:rPr lang="en-US" sz="1400" b="0" i="0" u="none" strike="noStrike" baseline="0">
                    <a:effectLst/>
                  </a:rPr>
                  <a:t>P(Pa)</a:t>
                </a:r>
                <a:r>
                  <a:rPr lang="en-US" sz="1400" b="0" i="0" u="none" strike="noStrike" baseline="0"/>
                  <a:t> </a:t>
                </a:r>
                <a:endParaRPr lang="en-US" sz="1400"/>
              </a:p>
            </c:rich>
          </c:tx>
          <c:layout>
            <c:manualLayout>
              <c:xMode val="edge"/>
              <c:yMode val="edge"/>
              <c:x val="1.1874859823608077E-2"/>
              <c:y val="0.37440418485845395"/>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7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87905743009573"/>
          <c:y val="7.6000885431489737E-2"/>
          <c:w val="0.87147208843029911"/>
          <c:h val="0.8116902254688043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5.0976046472021953E-2"/>
                  <c:y val="0.24339626849488494"/>
                </c:manualLayout>
              </c:layout>
              <c:numFmt formatCode="General" sourceLinked="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trendlineLbl>
          </c:trendline>
          <c:xVal>
            <c:numRef>
              <c:f>'smoothPVC averages'!$G$8:$G$18</c:f>
              <c:numCache>
                <c:formatCode>General</c:formatCode>
                <c:ptCount val="11"/>
                <c:pt idx="0">
                  <c:v>0.84722357777832003</c:v>
                </c:pt>
                <c:pt idx="1">
                  <c:v>1.3001564012354001</c:v>
                </c:pt>
                <c:pt idx="2">
                  <c:v>1.9679815438284203</c:v>
                </c:pt>
                <c:pt idx="3">
                  <c:v>2.6867326938288802</c:v>
                </c:pt>
                <c:pt idx="4">
                  <c:v>3.3618880950638799</c:v>
                </c:pt>
                <c:pt idx="5">
                  <c:v>4.2828000623484197</c:v>
                </c:pt>
                <c:pt idx="6">
                  <c:v>5.2519374154354601</c:v>
                </c:pt>
                <c:pt idx="7">
                  <c:v>6.2500100000040018</c:v>
                </c:pt>
                <c:pt idx="8">
                  <c:v>7.3352740821034601</c:v>
                </c:pt>
                <c:pt idx="9">
                  <c:v>8.669766958030241</c:v>
                </c:pt>
                <c:pt idx="10">
                  <c:v>10.030880246919999</c:v>
                </c:pt>
              </c:numCache>
            </c:numRef>
          </c:xVal>
          <c:yVal>
            <c:numRef>
              <c:f>'smoothPVC averages'!$I$8:$I$18</c:f>
              <c:numCache>
                <c:formatCode>General</c:formatCode>
                <c:ptCount val="11"/>
                <c:pt idx="0">
                  <c:v>0.55014212745473723</c:v>
                </c:pt>
                <c:pt idx="1">
                  <c:v>0.87174089066457972</c:v>
                </c:pt>
                <c:pt idx="2">
                  <c:v>1.3339112695181794</c:v>
                </c:pt>
                <c:pt idx="3">
                  <c:v>1.7403205959396444</c:v>
                </c:pt>
                <c:pt idx="4">
                  <c:v>2.1704798489847428</c:v>
                </c:pt>
                <c:pt idx="5">
                  <c:v>2.719313207219594</c:v>
                </c:pt>
                <c:pt idx="6">
                  <c:v>3.2679717876193957</c:v>
                </c:pt>
                <c:pt idx="7">
                  <c:v>3.9359794848699585</c:v>
                </c:pt>
                <c:pt idx="8">
                  <c:v>4.5630676454939092</c:v>
                </c:pt>
                <c:pt idx="9">
                  <c:v>5.3168063419000351</c:v>
                </c:pt>
                <c:pt idx="10">
                  <c:v>5.9951504847931512</c:v>
                </c:pt>
              </c:numCache>
            </c:numRef>
          </c:yVal>
          <c:smooth val="0"/>
          <c:extLst>
            <c:ext xmlns:c16="http://schemas.microsoft.com/office/drawing/2014/chart" uri="{C3380CC4-5D6E-409C-BE32-E72D297353CC}">
              <c16:uniqueId val="{00000001-E5C6-4633-937A-8D2A1F92B68D}"/>
            </c:ext>
          </c:extLst>
        </c:ser>
        <c:dLbls>
          <c:showLegendKey val="0"/>
          <c:showVal val="0"/>
          <c:showCatName val="0"/>
          <c:showSerName val="0"/>
          <c:showPercent val="0"/>
          <c:showBubbleSize val="0"/>
        </c:dLbls>
        <c:axId val="495907024"/>
        <c:axId val="495906368"/>
      </c:scatterChart>
      <c:valAx>
        <c:axId val="4959070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b="0" i="0" u="none" strike="noStrike" baseline="0">
                    <a:effectLst/>
                  </a:rPr>
                  <a:t>u</a:t>
                </a:r>
                <a:r>
                  <a:rPr lang="en-US" sz="1600" b="0" i="0" u="none" strike="noStrike" baseline="30000">
                    <a:effectLst/>
                  </a:rPr>
                  <a:t>2</a:t>
                </a:r>
                <a:r>
                  <a:rPr lang="en-US" sz="1600" b="0" i="0" u="none" strike="noStrike" baseline="0"/>
                  <a:t> </a:t>
                </a:r>
                <a:endParaRPr lang="en-US" sz="1600"/>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6368"/>
        <c:crosses val="autoZero"/>
        <c:crossBetween val="midCat"/>
      </c:valAx>
      <c:valAx>
        <c:axId val="495906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l-GR" sz="1400" b="0" i="0" u="none" strike="noStrike" baseline="0">
                    <a:effectLst/>
                  </a:rPr>
                  <a:t>Δ</a:t>
                </a:r>
                <a:r>
                  <a:rPr lang="en-US" sz="1400" b="0" i="0" u="none" strike="noStrike" baseline="0">
                    <a:effectLst/>
                  </a:rPr>
                  <a:t>P(Pa)</a:t>
                </a:r>
                <a:r>
                  <a:rPr lang="en-US" sz="1400" b="0" i="0" u="none" strike="noStrike" baseline="0"/>
                  <a:t> </a:t>
                </a:r>
                <a:endParaRPr lang="en-US" sz="1400"/>
              </a:p>
            </c:rich>
          </c:tx>
          <c:layout>
            <c:manualLayout>
              <c:xMode val="edge"/>
              <c:yMode val="edge"/>
              <c:x val="1.1874859823608077E-2"/>
              <c:y val="0.37440418485845395"/>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7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low 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2.4254287174439736E-2"/>
          <c:y val="1.7436144578313252E-2"/>
          <c:w val="0.88839836033046071"/>
          <c:h val="0.82038447088315702"/>
        </c:manualLayout>
      </c:layout>
      <c:scatterChart>
        <c:scatterStyle val="lineMarker"/>
        <c:varyColors val="0"/>
        <c:ser>
          <c:idx val="4"/>
          <c:order val="2"/>
          <c:tx>
            <c:v>low flow 3</c:v>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wer"/>
            <c:dispRSqr val="1"/>
            <c:dispEq val="1"/>
            <c:trendlineLbl>
              <c:layout>
                <c:manualLayout>
                  <c:x val="0.14071025553821032"/>
                  <c:y val="-2.3082001782998844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'1lowflow'!$L$8:$L$18</c:f>
              <c:numCache>
                <c:formatCode>0.0E+00</c:formatCode>
                <c:ptCount val="11"/>
                <c:pt idx="0">
                  <c:v>15086.426160303949</c:v>
                </c:pt>
                <c:pt idx="1">
                  <c:v>18557.509953635461</c:v>
                </c:pt>
                <c:pt idx="2">
                  <c:v>23060.553536426025</c:v>
                </c:pt>
                <c:pt idx="3">
                  <c:v>26502.360622555469</c:v>
                </c:pt>
                <c:pt idx="4">
                  <c:v>29410.854076769891</c:v>
                </c:pt>
                <c:pt idx="5">
                  <c:v>33375.548729294744</c:v>
                </c:pt>
                <c:pt idx="6">
                  <c:v>37354.431473417128</c:v>
                </c:pt>
                <c:pt idx="7">
                  <c:v>40297.735531614446</c:v>
                </c:pt>
                <c:pt idx="8">
                  <c:v>43781.931758187238</c:v>
                </c:pt>
                <c:pt idx="9">
                  <c:v>46688.956144955337</c:v>
                </c:pt>
                <c:pt idx="10">
                  <c:v>49806.545409764061</c:v>
                </c:pt>
              </c:numCache>
            </c:numRef>
          </c:xVal>
          <c:yVal>
            <c:numRef>
              <c:f>'1lowflow'!$O$8:$O$18</c:f>
              <c:numCache>
                <c:formatCode>0.000</c:formatCode>
                <c:ptCount val="11"/>
                <c:pt idx="0">
                  <c:v>1.304073392937141E-2</c:v>
                </c:pt>
                <c:pt idx="1">
                  <c:v>1.3092179033432381E-2</c:v>
                </c:pt>
                <c:pt idx="2">
                  <c:v>1.3132502834906768E-2</c:v>
                </c:pt>
                <c:pt idx="3">
                  <c:v>1.2990869956031638E-2</c:v>
                </c:pt>
                <c:pt idx="4">
                  <c:v>1.3194472800569264E-2</c:v>
                </c:pt>
                <c:pt idx="5">
                  <c:v>1.2681148474084235E-2</c:v>
                </c:pt>
                <c:pt idx="6">
                  <c:v>1.2711167217235721E-2</c:v>
                </c:pt>
                <c:pt idx="7">
                  <c:v>1.2507568501996951E-2</c:v>
                </c:pt>
                <c:pt idx="8">
                  <c:v>1.1486588192017713E-2</c:v>
                </c:pt>
                <c:pt idx="9">
                  <c:v>1.0199121203308502E-2</c:v>
                </c:pt>
                <c:pt idx="10">
                  <c:v>9.2659188093637684E-3</c:v>
                </c:pt>
              </c:numCache>
            </c:numRef>
          </c:yVal>
          <c:smooth val="0"/>
          <c:extLst>
            <c:ext xmlns:c16="http://schemas.microsoft.com/office/drawing/2014/chart" uri="{C3380CC4-5D6E-409C-BE32-E72D297353CC}">
              <c16:uniqueId val="{00000005-58C5-43F4-91DC-4DFBA1390200}"/>
            </c:ext>
          </c:extLst>
        </c:ser>
        <c:ser>
          <c:idx val="5"/>
          <c:order val="3"/>
          <c:tx>
            <c:v>low flow 4</c:v>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power"/>
            <c:dispRSqr val="1"/>
            <c:dispEq val="1"/>
            <c:trendlineLbl>
              <c:layout>
                <c:manualLayout>
                  <c:x val="0.12232370884233607"/>
                  <c:y val="0.1246642371131499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('2lowflow'!$L$8,'2lowflow'!$L$10:$L$18)</c:f>
              <c:numCache>
                <c:formatCode>0.0E+00</c:formatCode>
                <c:ptCount val="10"/>
                <c:pt idx="0">
                  <c:v>14264.395221837269</c:v>
                </c:pt>
                <c:pt idx="1">
                  <c:v>21278.686563893971</c:v>
                </c:pt>
                <c:pt idx="2">
                  <c:v>26625.705078418359</c:v>
                </c:pt>
                <c:pt idx="3">
                  <c:v>29794.458989530936</c:v>
                </c:pt>
                <c:pt idx="4">
                  <c:v>33131.63036178083</c:v>
                </c:pt>
                <c:pt idx="5">
                  <c:v>36502.48462879999</c:v>
                </c:pt>
                <c:pt idx="6">
                  <c:v>40660.846296579126</c:v>
                </c:pt>
                <c:pt idx="7">
                  <c:v>44179.980053855405</c:v>
                </c:pt>
                <c:pt idx="8">
                  <c:v>47288.172743160452</c:v>
                </c:pt>
                <c:pt idx="9">
                  <c:v>50255.634950659114</c:v>
                </c:pt>
              </c:numCache>
            </c:numRef>
          </c:xVal>
          <c:yVal>
            <c:numRef>
              <c:f>('2lowflow'!$O$8,'2lowflow'!$O$10:$O$18)</c:f>
              <c:numCache>
                <c:formatCode>0.000</c:formatCode>
                <c:ptCount val="10"/>
                <c:pt idx="0">
                  <c:v>1.1891761786368395E-2</c:v>
                </c:pt>
                <c:pt idx="1">
                  <c:v>1.1695335987554286E-2</c:v>
                </c:pt>
                <c:pt idx="2">
                  <c:v>1.1826774127943251E-2</c:v>
                </c:pt>
                <c:pt idx="3">
                  <c:v>1.1877348027892474E-2</c:v>
                </c:pt>
                <c:pt idx="4">
                  <c:v>1.1483046501742863E-2</c:v>
                </c:pt>
                <c:pt idx="5">
                  <c:v>1.1283472706249083E-2</c:v>
                </c:pt>
                <c:pt idx="6">
                  <c:v>1.0821101270403269E-2</c:v>
                </c:pt>
                <c:pt idx="7">
                  <c:v>1.0688637825367402E-2</c:v>
                </c:pt>
                <c:pt idx="8">
                  <c:v>1.0023204683531125E-2</c:v>
                </c:pt>
                <c:pt idx="9">
                  <c:v>9.3326336329008705E-3</c:v>
                </c:pt>
              </c:numCache>
            </c:numRef>
          </c:yVal>
          <c:smooth val="0"/>
          <c:extLst>
            <c:ext xmlns:c16="http://schemas.microsoft.com/office/drawing/2014/chart" uri="{C3380CC4-5D6E-409C-BE32-E72D297353CC}">
              <c16:uniqueId val="{00000007-58C5-43F4-91DC-4DFBA1390200}"/>
            </c:ext>
          </c:extLst>
        </c:ser>
        <c:ser>
          <c:idx val="7"/>
          <c:order val="4"/>
          <c:tx>
            <c:v>PVC 3</c:v>
          </c:tx>
          <c:spPr>
            <a:ln w="25400" cap="rnd">
              <a:noFill/>
              <a:round/>
            </a:ln>
            <a:effectLst/>
          </c:spPr>
          <c:marker>
            <c:symbol val="circle"/>
            <c:size val="5"/>
            <c:spPr>
              <a:solidFill>
                <a:schemeClr val="accent2">
                  <a:lumMod val="60000"/>
                </a:schemeClr>
              </a:solidFill>
              <a:ln w="9525">
                <a:solidFill>
                  <a:schemeClr val="accent2">
                    <a:lumMod val="60000"/>
                  </a:schemeClr>
                </a:solidFill>
              </a:ln>
              <a:effectLst/>
            </c:spPr>
          </c:marker>
          <c:trendline>
            <c:spPr>
              <a:ln w="19050" cap="rnd">
                <a:solidFill>
                  <a:schemeClr val="accent2">
                    <a:lumMod val="60000"/>
                  </a:schemeClr>
                </a:solidFill>
                <a:prstDash val="sysDot"/>
              </a:ln>
              <a:effectLst/>
            </c:spPr>
            <c:trendlineType val="power"/>
            <c:dispRSqr val="0"/>
            <c:dispEq val="0"/>
          </c:trendline>
          <c:xVal>
            <c:numRef>
              <c:f>'smoothPVC (3)'!$L$8:$L$18</c:f>
              <c:numCache>
                <c:formatCode>0.0E+00</c:formatCode>
                <c:ptCount val="11"/>
                <c:pt idx="0">
                  <c:v>15817.913888888887</c:v>
                </c:pt>
                <c:pt idx="1">
                  <c:v>18893.619367283951</c:v>
                </c:pt>
                <c:pt idx="2">
                  <c:v>22408.711342592593</c:v>
                </c:pt>
                <c:pt idx="3">
                  <c:v>26363.189814814814</c:v>
                </c:pt>
                <c:pt idx="4">
                  <c:v>29438.895293209873</c:v>
                </c:pt>
                <c:pt idx="5">
                  <c:v>32514.600771604935</c:v>
                </c:pt>
                <c:pt idx="6">
                  <c:v>36469.07924382716</c:v>
                </c:pt>
                <c:pt idx="7">
                  <c:v>39544.784722222219</c:v>
                </c:pt>
                <c:pt idx="8">
                  <c:v>43059.876697530861</c:v>
                </c:pt>
                <c:pt idx="9">
                  <c:v>46574.968672839503</c:v>
                </c:pt>
                <c:pt idx="10">
                  <c:v>49211.287654320979</c:v>
                </c:pt>
              </c:numCache>
            </c:numRef>
          </c:xVal>
          <c:yVal>
            <c:numRef>
              <c:f>'smoothPVC (3)'!$O$8:$O$18</c:f>
              <c:numCache>
                <c:formatCode>0.000</c:formatCode>
                <c:ptCount val="11"/>
                <c:pt idx="0">
                  <c:v>7.1147813848673278E-3</c:v>
                </c:pt>
                <c:pt idx="1">
                  <c:v>7.2863568014363712E-3</c:v>
                </c:pt>
                <c:pt idx="2">
                  <c:v>7.1172430949041935E-3</c:v>
                </c:pt>
                <c:pt idx="3">
                  <c:v>6.5200882091631584E-3</c:v>
                </c:pt>
                <c:pt idx="4">
                  <c:v>6.5558373039927252E-3</c:v>
                </c:pt>
                <c:pt idx="5">
                  <c:v>6.5107341024713133E-3</c:v>
                </c:pt>
                <c:pt idx="6">
                  <c:v>6.3250388368889963E-3</c:v>
                </c:pt>
                <c:pt idx="7">
                  <c:v>6.5034187069277424E-3</c:v>
                </c:pt>
                <c:pt idx="8">
                  <c:v>6.2898996549063521E-3</c:v>
                </c:pt>
                <c:pt idx="9">
                  <c:v>6.2805012144920361E-3</c:v>
                </c:pt>
                <c:pt idx="10">
                  <c:v>6.207379432015347E-3</c:v>
                </c:pt>
              </c:numCache>
            </c:numRef>
          </c:yVal>
          <c:smooth val="0"/>
          <c:extLst>
            <c:ext xmlns:c16="http://schemas.microsoft.com/office/drawing/2014/chart" uri="{C3380CC4-5D6E-409C-BE32-E72D297353CC}">
              <c16:uniqueId val="{00000009-58C5-43F4-91DC-4DFBA1390200}"/>
            </c:ext>
          </c:extLst>
        </c:ser>
        <c:ser>
          <c:idx val="6"/>
          <c:order val="5"/>
          <c:tx>
            <c:v>PVC 2</c:v>
          </c:tx>
          <c:spPr>
            <a:ln w="25400" cap="rnd">
              <a:noFill/>
              <a:round/>
            </a:ln>
            <a:effectLst/>
          </c:spPr>
          <c:marker>
            <c:symbol val="circle"/>
            <c:size val="5"/>
            <c:spPr>
              <a:solidFill>
                <a:schemeClr val="accent1">
                  <a:lumMod val="60000"/>
                </a:schemeClr>
              </a:solidFill>
              <a:ln w="9525">
                <a:solidFill>
                  <a:schemeClr val="accent1">
                    <a:lumMod val="60000"/>
                  </a:schemeClr>
                </a:solidFill>
              </a:ln>
              <a:effectLst/>
            </c:spPr>
          </c:marker>
          <c:trendline>
            <c:spPr>
              <a:ln w="19050" cap="rnd">
                <a:solidFill>
                  <a:schemeClr val="accent1">
                    <a:lumMod val="60000"/>
                  </a:schemeClr>
                </a:solidFill>
                <a:prstDash val="sysDot"/>
              </a:ln>
              <a:effectLst/>
            </c:spPr>
            <c:trendlineType val="power"/>
            <c:dispRSqr val="0"/>
            <c:dispEq val="0"/>
          </c:trendline>
          <c:xVal>
            <c:numRef>
              <c:f>'smoothPVC (2)'!$L$8:$L$18</c:f>
              <c:numCache>
                <c:formatCode>0.0E+00</c:formatCode>
                <c:ptCount val="11"/>
                <c:pt idx="0">
                  <c:v>13181.594907407407</c:v>
                </c:pt>
                <c:pt idx="1">
                  <c:v>17136.07337962963</c:v>
                </c:pt>
                <c:pt idx="2">
                  <c:v>21969.324845679006</c:v>
                </c:pt>
                <c:pt idx="3">
                  <c:v>25484.416820987655</c:v>
                </c:pt>
                <c:pt idx="4">
                  <c:v>28560.122299382714</c:v>
                </c:pt>
                <c:pt idx="5">
                  <c:v>32953.987268518511</c:v>
                </c:pt>
                <c:pt idx="6">
                  <c:v>36029.692746913577</c:v>
                </c:pt>
                <c:pt idx="7">
                  <c:v>39544.784722222219</c:v>
                </c:pt>
                <c:pt idx="8">
                  <c:v>42620.490200617278</c:v>
                </c:pt>
                <c:pt idx="9">
                  <c:v>46574.968672839503</c:v>
                </c:pt>
                <c:pt idx="10">
                  <c:v>50968.83364197531</c:v>
                </c:pt>
              </c:numCache>
            </c:numRef>
          </c:xVal>
          <c:yVal>
            <c:numRef>
              <c:f>'smoothPVC (2)'!$O$8:$O$18</c:f>
              <c:numCache>
                <c:formatCode>0.000</c:formatCode>
                <c:ptCount val="11"/>
                <c:pt idx="0">
                  <c:v>5.8564098466219634E-3</c:v>
                </c:pt>
                <c:pt idx="1">
                  <c:v>6.2395925785539803E-3</c:v>
                </c:pt>
                <c:pt idx="2">
                  <c:v>6.650067758049244E-3</c:v>
                </c:pt>
                <c:pt idx="3">
                  <c:v>6.6498812148136095E-3</c:v>
                </c:pt>
                <c:pt idx="4">
                  <c:v>6.5667148873216142E-3</c:v>
                </c:pt>
                <c:pt idx="5">
                  <c:v>6.3960524100992074E-3</c:v>
                </c:pt>
                <c:pt idx="6">
                  <c:v>6.3221042539284636E-3</c:v>
                </c:pt>
                <c:pt idx="7">
                  <c:v>6.2964940973335203E-3</c:v>
                </c:pt>
                <c:pt idx="8">
                  <c:v>6.3545000361549236E-3</c:v>
                </c:pt>
                <c:pt idx="9">
                  <c:v>6.1840979003342277E-3</c:v>
                </c:pt>
                <c:pt idx="10">
                  <c:v>5.9494215882764699E-3</c:v>
                </c:pt>
              </c:numCache>
            </c:numRef>
          </c:yVal>
          <c:smooth val="0"/>
          <c:extLst>
            <c:ext xmlns:c16="http://schemas.microsoft.com/office/drawing/2014/chart" uri="{C3380CC4-5D6E-409C-BE32-E72D297353CC}">
              <c16:uniqueId val="{0000000B-58C5-43F4-91DC-4DFBA1390200}"/>
            </c:ext>
          </c:extLst>
        </c:ser>
        <c:dLbls>
          <c:showLegendKey val="0"/>
          <c:showVal val="0"/>
          <c:showCatName val="0"/>
          <c:showSerName val="0"/>
          <c:showPercent val="0"/>
          <c:showBubbleSize val="0"/>
        </c:dLbls>
        <c:axId val="282477984"/>
        <c:axId val="282479648"/>
        <c:extLst>
          <c:ext xmlns:c15="http://schemas.microsoft.com/office/drawing/2012/chart" uri="{02D57815-91ED-43cb-92C2-25804820EDAC}">
            <c15:filteredScatterSeries>
              <c15:ser>
                <c:idx val="2"/>
                <c:order val="0"/>
                <c:tx>
                  <c:v>high flow 3</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wer"/>
                  <c:dispRSqr val="0"/>
                  <c:dispEq val="0"/>
                </c:trendline>
                <c:xVal>
                  <c:numRef>
                    <c:extLst>
                      <c:ext uri="{02D57815-91ED-43cb-92C2-25804820EDAC}">
                        <c15:formulaRef>
                          <c15:sqref>'1highflow'!$L$8:$L$18</c15:sqref>
                        </c15:formulaRef>
                      </c:ext>
                    </c:extLst>
                    <c:numCache>
                      <c:formatCode>0.0E+00</c:formatCode>
                      <c:ptCount val="11"/>
                      <c:pt idx="0">
                        <c:v>15454.936159680115</c:v>
                      </c:pt>
                      <c:pt idx="1">
                        <c:v>18524.368264082797</c:v>
                      </c:pt>
                      <c:pt idx="2">
                        <c:v>20631.751727995339</c:v>
                      </c:pt>
                      <c:pt idx="3">
                        <c:v>25048.996447219975</c:v>
                      </c:pt>
                      <c:pt idx="4">
                        <c:v>28198.78454255719</c:v>
                      </c:pt>
                      <c:pt idx="5">
                        <c:v>31265.403834949855</c:v>
                      </c:pt>
                      <c:pt idx="6">
                        <c:v>34259.694948025433</c:v>
                      </c:pt>
                      <c:pt idx="7">
                        <c:v>37034.499620913441</c:v>
                      </c:pt>
                      <c:pt idx="8">
                        <c:v>40360.125820300396</c:v>
                      </c:pt>
                      <c:pt idx="9">
                        <c:v>43639.079495168728</c:v>
                      </c:pt>
                      <c:pt idx="10">
                        <c:v>47969.923211297224</c:v>
                      </c:pt>
                    </c:numCache>
                  </c:numRef>
                </c:xVal>
                <c:yVal>
                  <c:numRef>
                    <c:extLst>
                      <c:ext uri="{02D57815-91ED-43cb-92C2-25804820EDAC}">
                        <c15:formulaRef>
                          <c15:sqref>'1highflow'!$O$8:$O$18</c15:sqref>
                        </c15:formulaRef>
                      </c:ext>
                    </c:extLst>
                    <c:numCache>
                      <c:formatCode>0.000</c:formatCode>
                      <c:ptCount val="11"/>
                      <c:pt idx="0">
                        <c:v>1.301532022368841E-2</c:v>
                      </c:pt>
                      <c:pt idx="1">
                        <c:v>1.3772420210359812E-2</c:v>
                      </c:pt>
                      <c:pt idx="2">
                        <c:v>1.2928900059818687E-2</c:v>
                      </c:pt>
                      <c:pt idx="3">
                        <c:v>1.2553876981203574E-2</c:v>
                      </c:pt>
                      <c:pt idx="4">
                        <c:v>1.2347665741863396E-2</c:v>
                      </c:pt>
                      <c:pt idx="5">
                        <c:v>1.1853528700416524E-2</c:v>
                      </c:pt>
                      <c:pt idx="6">
                        <c:v>1.222348438009928E-2</c:v>
                      </c:pt>
                      <c:pt idx="7">
                        <c:v>1.1963731172165487E-2</c:v>
                      </c:pt>
                      <c:pt idx="8">
                        <c:v>1.1166421961693098E-2</c:v>
                      </c:pt>
                      <c:pt idx="9">
                        <c:v>9.8737152118695114E-3</c:v>
                      </c:pt>
                      <c:pt idx="10">
                        <c:v>9.0094798904756575E-3</c:v>
                      </c:pt>
                    </c:numCache>
                  </c:numRef>
                </c:yVal>
                <c:smooth val="0"/>
                <c:extLst>
                  <c:ext xmlns:c16="http://schemas.microsoft.com/office/drawing/2014/chart" uri="{C3380CC4-5D6E-409C-BE32-E72D297353CC}">
                    <c16:uniqueId val="{00000001-58C5-43F4-91DC-4DFBA1390200}"/>
                  </c:ext>
                </c:extLst>
              </c15:ser>
            </c15:filteredScatterSeries>
            <c15:filteredScatterSeries>
              <c15:ser>
                <c:idx val="3"/>
                <c:order val="1"/>
                <c:tx>
                  <c:v>high flow 4</c:v>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wer"/>
                  <c:dispRSqr val="0"/>
                  <c:dispEq val="0"/>
                </c:trendline>
                <c:xVal>
                  <c:numRef>
                    <c:extLst xmlns:c15="http://schemas.microsoft.com/office/drawing/2012/chart">
                      <c:ext xmlns:c15="http://schemas.microsoft.com/office/drawing/2012/chart" uri="{02D57815-91ED-43cb-92C2-25804820EDAC}">
                        <c15:formulaRef>
                          <c15:sqref>'2highflow'!$L$8:$L$18</c15:sqref>
                        </c15:formulaRef>
                      </c:ext>
                    </c:extLst>
                    <c:numCache>
                      <c:formatCode>0.0E+00</c:formatCode>
                      <c:ptCount val="11"/>
                      <c:pt idx="0">
                        <c:v>14235.074615581883</c:v>
                      </c:pt>
                      <c:pt idx="1">
                        <c:v>17784.19117252437</c:v>
                      </c:pt>
                      <c:pt idx="2">
                        <c:v>20635.121088169126</c:v>
                      </c:pt>
                      <c:pt idx="3">
                        <c:v>25328.87781493273</c:v>
                      </c:pt>
                      <c:pt idx="4">
                        <c:v>29245.84218112973</c:v>
                      </c:pt>
                      <c:pt idx="5">
                        <c:v>32490.733597588063</c:v>
                      </c:pt>
                      <c:pt idx="6">
                        <c:v>35642.4334047722</c:v>
                      </c:pt>
                      <c:pt idx="7">
                        <c:v>38930.57589305914</c:v>
                      </c:pt>
                      <c:pt idx="8">
                        <c:v>40193.15185576061</c:v>
                      </c:pt>
                      <c:pt idx="9">
                        <c:v>45478.337961884761</c:v>
                      </c:pt>
                      <c:pt idx="10">
                        <c:v>48810.402891542297</c:v>
                      </c:pt>
                    </c:numCache>
                  </c:numRef>
                </c:xVal>
                <c:yVal>
                  <c:numRef>
                    <c:extLst xmlns:c15="http://schemas.microsoft.com/office/drawing/2012/chart">
                      <c:ext xmlns:c15="http://schemas.microsoft.com/office/drawing/2012/chart" uri="{02D57815-91ED-43cb-92C2-25804820EDAC}">
                        <c15:formulaRef>
                          <c15:sqref>'2highflow'!$O$8:$O$18</c15:sqref>
                        </c15:formulaRef>
                      </c:ext>
                    </c:extLst>
                    <c:numCache>
                      <c:formatCode>0.000</c:formatCode>
                      <c:ptCount val="11"/>
                      <c:pt idx="0">
                        <c:v>1.1409161196247434E-2</c:v>
                      </c:pt>
                      <c:pt idx="1">
                        <c:v>1.1699816313497532E-2</c:v>
                      </c:pt>
                      <c:pt idx="2">
                        <c:v>1.1209504197456456E-2</c:v>
                      </c:pt>
                      <c:pt idx="3">
                        <c:v>1.1019084061312811E-2</c:v>
                      </c:pt>
                      <c:pt idx="4">
                        <c:v>1.0880741885077198E-2</c:v>
                      </c:pt>
                      <c:pt idx="5">
                        <c:v>1.1258111775358919E-2</c:v>
                      </c:pt>
                      <c:pt idx="6">
                        <c:v>1.0952949418663966E-2</c:v>
                      </c:pt>
                      <c:pt idx="7">
                        <c:v>1.1001071484525187E-2</c:v>
                      </c:pt>
                      <c:pt idx="8">
                        <c:v>1.0102294114435416E-2</c:v>
                      </c:pt>
                      <c:pt idx="9">
                        <c:v>9.9405038134654424E-3</c:v>
                      </c:pt>
                      <c:pt idx="10">
                        <c:v>9.0759036659764942E-3</c:v>
                      </c:pt>
                    </c:numCache>
                  </c:numRef>
                </c:yVal>
                <c:smooth val="0"/>
                <c:extLst xmlns:c15="http://schemas.microsoft.com/office/drawing/2012/chart">
                  <c:ext xmlns:c16="http://schemas.microsoft.com/office/drawing/2014/chart" uri="{C3380CC4-5D6E-409C-BE32-E72D297353CC}">
                    <c16:uniqueId val="{00000003-58C5-43F4-91DC-4DFBA1390200}"/>
                  </c:ext>
                </c:extLst>
              </c15:ser>
            </c15:filteredScatterSeries>
          </c:ext>
        </c:extLst>
      </c:scatterChart>
      <c:valAx>
        <c:axId val="282477984"/>
        <c:scaling>
          <c:orientation val="minMax"/>
        </c:scaling>
        <c:delete val="0"/>
        <c:axPos val="b"/>
        <c:majorGridlines>
          <c:spPr>
            <a:ln w="9525" cap="flat" cmpd="sng" algn="ctr">
              <a:solidFill>
                <a:schemeClr val="tx1">
                  <a:lumMod val="15000"/>
                  <a:lumOff val="85000"/>
                </a:schemeClr>
              </a:solidFill>
              <a:round/>
            </a:ln>
            <a:effectLst/>
          </c:spPr>
        </c:majorGridlines>
        <c:numFmt formatCode="0.0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2479648"/>
        <c:crosses val="autoZero"/>
        <c:crossBetween val="midCat"/>
      </c:valAx>
      <c:valAx>
        <c:axId val="282479648"/>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247798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2.7269480684076378E-2"/>
          <c:y val="1.7436155226952105E-2"/>
          <c:w val="0.88839836033046071"/>
          <c:h val="0.82038447088315702"/>
        </c:manualLayout>
      </c:layout>
      <c:scatterChart>
        <c:scatterStyle val="lineMarker"/>
        <c:varyColors val="0"/>
        <c:ser>
          <c:idx val="11"/>
          <c:order val="5"/>
          <c:tx>
            <c:v>Rigid P40</c:v>
          </c:tx>
          <c:spPr>
            <a:ln w="25400">
              <a:noFill/>
            </a:ln>
          </c:spPr>
          <c:trendline>
            <c:trendlineType val="power"/>
            <c:dispRSqr val="0"/>
            <c:dispEq val="0"/>
          </c:trendline>
          <c:xVal>
            <c:numRef>
              <c:f>'[1]EF25 P40 AVGS'!$L$8:$L$13</c:f>
              <c:numCache>
                <c:formatCode>General</c:formatCode>
                <c:ptCount val="6"/>
                <c:pt idx="0">
                  <c:v>14901.440328763087</c:v>
                </c:pt>
                <c:pt idx="1">
                  <c:v>21722.522169394077</c:v>
                </c:pt>
                <c:pt idx="2">
                  <c:v>27809.02596564942</c:v>
                </c:pt>
                <c:pt idx="3">
                  <c:v>34000.469482529857</c:v>
                </c:pt>
                <c:pt idx="4">
                  <c:v>40017.013465035139</c:v>
                </c:pt>
                <c:pt idx="5">
                  <c:v>44494.441545039066</c:v>
                </c:pt>
              </c:numCache>
            </c:numRef>
          </c:xVal>
          <c:yVal>
            <c:numRef>
              <c:f>'[1]EF25 P40 AVGS'!$O$8:$O$13</c:f>
              <c:numCache>
                <c:formatCode>General</c:formatCode>
                <c:ptCount val="6"/>
                <c:pt idx="0">
                  <c:v>1.3713353415781136E-2</c:v>
                </c:pt>
                <c:pt idx="1">
                  <c:v>1.512538070955566E-2</c:v>
                </c:pt>
                <c:pt idx="2">
                  <c:v>1.5215090833516069E-2</c:v>
                </c:pt>
                <c:pt idx="3">
                  <c:v>1.3945610093808108E-2</c:v>
                </c:pt>
                <c:pt idx="4">
                  <c:v>1.0595984233301277E-2</c:v>
                </c:pt>
                <c:pt idx="5">
                  <c:v>8.6969785125901831E-3</c:v>
                </c:pt>
              </c:numCache>
            </c:numRef>
          </c:yVal>
          <c:smooth val="0"/>
          <c:extLst>
            <c:ext xmlns:c16="http://schemas.microsoft.com/office/drawing/2014/chart" uri="{C3380CC4-5D6E-409C-BE32-E72D297353CC}">
              <c16:uniqueId val="{00000001-0C63-4719-A94A-E03A31793F1B}"/>
            </c:ext>
          </c:extLst>
        </c:ser>
        <c:ser>
          <c:idx val="12"/>
          <c:order val="6"/>
          <c:tx>
            <c:v>Rigid P80</c:v>
          </c:tx>
          <c:spPr>
            <a:ln w="25400">
              <a:noFill/>
            </a:ln>
          </c:spPr>
          <c:trendline>
            <c:trendlineType val="power"/>
            <c:dispRSqr val="0"/>
            <c:dispEq val="0"/>
          </c:trendline>
          <c:xVal>
            <c:numRef>
              <c:f>'[1]EF25 P80 AVGS'!$M$8:$M$12</c:f>
              <c:numCache>
                <c:formatCode>General</c:formatCode>
                <c:ptCount val="5"/>
                <c:pt idx="0">
                  <c:v>23135.899487723014</c:v>
                </c:pt>
                <c:pt idx="1">
                  <c:v>30320.96144043202</c:v>
                </c:pt>
                <c:pt idx="2">
                  <c:v>36500.114719761768</c:v>
                </c:pt>
                <c:pt idx="3">
                  <c:v>43254.072955308235</c:v>
                </c:pt>
                <c:pt idx="4">
                  <c:v>49002.122517475444</c:v>
                </c:pt>
              </c:numCache>
            </c:numRef>
          </c:xVal>
          <c:yVal>
            <c:numRef>
              <c:f>'[1]EF25 P80 AVGS'!$P$8:$P$12</c:f>
              <c:numCache>
                <c:formatCode>General</c:formatCode>
                <c:ptCount val="5"/>
                <c:pt idx="0">
                  <c:v>1.1156585428062358E-2</c:v>
                </c:pt>
                <c:pt idx="1">
                  <c:v>1.0682836246979188E-2</c:v>
                </c:pt>
                <c:pt idx="2">
                  <c:v>1.042866723901972E-2</c:v>
                </c:pt>
                <c:pt idx="3">
                  <c:v>9.6013458520381265E-3</c:v>
                </c:pt>
                <c:pt idx="4">
                  <c:v>8.3077964975756102E-3</c:v>
                </c:pt>
              </c:numCache>
            </c:numRef>
          </c:yVal>
          <c:smooth val="0"/>
          <c:extLst>
            <c:ext xmlns:c16="http://schemas.microsoft.com/office/drawing/2014/chart" uri="{C3380CC4-5D6E-409C-BE32-E72D297353CC}">
              <c16:uniqueId val="{00000003-0C63-4719-A94A-E03A31793F1B}"/>
            </c:ext>
          </c:extLst>
        </c:ser>
        <c:ser>
          <c:idx val="14"/>
          <c:order val="8"/>
          <c:tx>
            <c:v>Rigid P240</c:v>
          </c:tx>
          <c:spPr>
            <a:ln w="25400">
              <a:noFill/>
            </a:ln>
          </c:spPr>
          <c:xVal>
            <c:numRef>
              <c:f>'[1]EF25 P240 AVGS'!$L$8:$L$12</c:f>
              <c:numCache>
                <c:formatCode>General</c:formatCode>
                <c:ptCount val="5"/>
                <c:pt idx="0">
                  <c:v>24959.435551948049</c:v>
                </c:pt>
                <c:pt idx="1">
                  <c:v>32971.106222943716</c:v>
                </c:pt>
                <c:pt idx="2">
                  <c:v>40212.423944805189</c:v>
                </c:pt>
                <c:pt idx="3">
                  <c:v>46837.459307359313</c:v>
                </c:pt>
                <c:pt idx="4">
                  <c:v>51767.718181818185</c:v>
                </c:pt>
              </c:numCache>
            </c:numRef>
          </c:xVal>
          <c:yVal>
            <c:numRef>
              <c:f>'[1]EF25 P240 AVGS'!$O$8:$O$12</c:f>
              <c:numCache>
                <c:formatCode>General</c:formatCode>
                <c:ptCount val="5"/>
                <c:pt idx="0">
                  <c:v>8.2918058912631841E-3</c:v>
                </c:pt>
                <c:pt idx="1">
                  <c:v>8.0103373727871859E-3</c:v>
                </c:pt>
                <c:pt idx="2">
                  <c:v>7.8994868078460165E-3</c:v>
                </c:pt>
                <c:pt idx="3">
                  <c:v>7.1540356801380782E-3</c:v>
                </c:pt>
                <c:pt idx="4">
                  <c:v>6.1201523299938771E-3</c:v>
                </c:pt>
              </c:numCache>
            </c:numRef>
          </c:yVal>
          <c:smooth val="0"/>
          <c:extLst>
            <c:ext xmlns:c16="http://schemas.microsoft.com/office/drawing/2014/chart" uri="{C3380CC4-5D6E-409C-BE32-E72D297353CC}">
              <c16:uniqueId val="{00000004-0C63-4719-A94A-E03A31793F1B}"/>
            </c:ext>
          </c:extLst>
        </c:ser>
        <c:ser>
          <c:idx val="21"/>
          <c:order val="15"/>
          <c:tx>
            <c:v>Plain</c:v>
          </c:tx>
          <c:spPr>
            <a:ln w="25400">
              <a:noFill/>
            </a:ln>
          </c:spPr>
          <c:xVal>
            <c:numRef>
              <c:f>'[1]PLAIN PANEL AVGS'!$L$8:$L$12</c:f>
              <c:numCache>
                <c:formatCode>General</c:formatCode>
                <c:ptCount val="5"/>
                <c:pt idx="0">
                  <c:v>25760.602619047622</c:v>
                </c:pt>
                <c:pt idx="1">
                  <c:v>31861.797976190479</c:v>
                </c:pt>
                <c:pt idx="2">
                  <c:v>39318.814523809524</c:v>
                </c:pt>
                <c:pt idx="3">
                  <c:v>45871.950277777782</c:v>
                </c:pt>
                <c:pt idx="4">
                  <c:v>52651.056230158734</c:v>
                </c:pt>
              </c:numCache>
            </c:numRef>
          </c:xVal>
          <c:yVal>
            <c:numRef>
              <c:f>'[1]PLAIN PANEL AVGS'!$O$8:$O$12</c:f>
              <c:numCache>
                <c:formatCode>General</c:formatCode>
                <c:ptCount val="5"/>
                <c:pt idx="0">
                  <c:v>7.8546251968259328E-3</c:v>
                </c:pt>
                <c:pt idx="1">
                  <c:v>7.7415345859246877E-3</c:v>
                </c:pt>
                <c:pt idx="2">
                  <c:v>7.4983871209308439E-3</c:v>
                </c:pt>
                <c:pt idx="3">
                  <c:v>7.3294546557718847E-3</c:v>
                </c:pt>
                <c:pt idx="4">
                  <c:v>6.8598709171845025E-3</c:v>
                </c:pt>
              </c:numCache>
            </c:numRef>
          </c:yVal>
          <c:smooth val="0"/>
          <c:extLst>
            <c:ext xmlns:c16="http://schemas.microsoft.com/office/drawing/2014/chart" uri="{C3380CC4-5D6E-409C-BE32-E72D297353CC}">
              <c16:uniqueId val="{0000000B-0C63-4719-A94A-E03A31793F1B}"/>
            </c:ext>
          </c:extLst>
        </c:ser>
        <c:ser>
          <c:idx val="2"/>
          <c:order val="22"/>
          <c:tx>
            <c:v>high flow 3</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power"/>
            <c:dispRSqr val="0"/>
            <c:dispEq val="0"/>
          </c:trendline>
          <c:xVal>
            <c:numRef>
              <c:f>'1highflow'!$L$8:$L$18</c:f>
              <c:numCache>
                <c:formatCode>0.0E+00</c:formatCode>
                <c:ptCount val="11"/>
                <c:pt idx="0">
                  <c:v>15454.936159680115</c:v>
                </c:pt>
                <c:pt idx="1">
                  <c:v>18524.368264082797</c:v>
                </c:pt>
                <c:pt idx="2">
                  <c:v>20631.751727995339</c:v>
                </c:pt>
                <c:pt idx="3">
                  <c:v>25048.996447219975</c:v>
                </c:pt>
                <c:pt idx="4">
                  <c:v>28198.78454255719</c:v>
                </c:pt>
                <c:pt idx="5">
                  <c:v>31265.403834949855</c:v>
                </c:pt>
                <c:pt idx="6">
                  <c:v>34259.694948025433</c:v>
                </c:pt>
                <c:pt idx="7">
                  <c:v>37034.499620913441</c:v>
                </c:pt>
                <c:pt idx="8">
                  <c:v>40360.125820300396</c:v>
                </c:pt>
                <c:pt idx="9">
                  <c:v>43639.079495168728</c:v>
                </c:pt>
                <c:pt idx="10">
                  <c:v>47969.923211297224</c:v>
                </c:pt>
              </c:numCache>
            </c:numRef>
          </c:xVal>
          <c:yVal>
            <c:numRef>
              <c:f>'1highflow'!$O$8:$O$18</c:f>
              <c:numCache>
                <c:formatCode>0.000</c:formatCode>
                <c:ptCount val="11"/>
                <c:pt idx="0">
                  <c:v>1.301532022368841E-2</c:v>
                </c:pt>
                <c:pt idx="1">
                  <c:v>1.3772420210359812E-2</c:v>
                </c:pt>
                <c:pt idx="2">
                  <c:v>1.2928900059818687E-2</c:v>
                </c:pt>
                <c:pt idx="3">
                  <c:v>1.2553876981203574E-2</c:v>
                </c:pt>
                <c:pt idx="4">
                  <c:v>1.2347665741863396E-2</c:v>
                </c:pt>
                <c:pt idx="5">
                  <c:v>1.1853528700416524E-2</c:v>
                </c:pt>
                <c:pt idx="6">
                  <c:v>1.222348438009928E-2</c:v>
                </c:pt>
                <c:pt idx="7">
                  <c:v>1.1963731172165487E-2</c:v>
                </c:pt>
                <c:pt idx="8">
                  <c:v>1.1166421961693098E-2</c:v>
                </c:pt>
                <c:pt idx="9">
                  <c:v>9.8737152118695114E-3</c:v>
                </c:pt>
                <c:pt idx="10">
                  <c:v>9.0094798904756575E-3</c:v>
                </c:pt>
              </c:numCache>
            </c:numRef>
          </c:yVal>
          <c:smooth val="0"/>
          <c:extLst>
            <c:ext xmlns:c16="http://schemas.microsoft.com/office/drawing/2014/chart" uri="{C3380CC4-5D6E-409C-BE32-E72D297353CC}">
              <c16:uniqueId val="{0000000D-0C63-4719-A94A-E03A31793F1B}"/>
            </c:ext>
          </c:extLst>
        </c:ser>
        <c:ser>
          <c:idx val="3"/>
          <c:order val="23"/>
          <c:tx>
            <c:v>high flow 4</c:v>
          </c:tx>
          <c:spPr>
            <a:ln w="25400" cap="rnd">
              <a:noFill/>
              <a:round/>
            </a:ln>
            <a:effectLst/>
          </c:spPr>
          <c:marker>
            <c:symbol val="circle"/>
            <c:size val="5"/>
            <c:spPr>
              <a:solidFill>
                <a:schemeClr val="accent4"/>
              </a:solidFill>
              <a:ln w="9525">
                <a:solidFill>
                  <a:schemeClr val="accent4"/>
                </a:solidFill>
              </a:ln>
              <a:effectLst/>
            </c:spPr>
          </c:marker>
          <c:trendline>
            <c:spPr>
              <a:ln w="19050" cap="rnd">
                <a:solidFill>
                  <a:schemeClr val="accent4"/>
                </a:solidFill>
                <a:prstDash val="sysDot"/>
              </a:ln>
              <a:effectLst/>
            </c:spPr>
            <c:trendlineType val="power"/>
            <c:dispRSqr val="0"/>
            <c:dispEq val="0"/>
          </c:trendline>
          <c:xVal>
            <c:numRef>
              <c:f>'2highflow'!$L$8:$L$18</c:f>
              <c:numCache>
                <c:formatCode>0.0E+00</c:formatCode>
                <c:ptCount val="11"/>
                <c:pt idx="0">
                  <c:v>14235.074615581883</c:v>
                </c:pt>
                <c:pt idx="1">
                  <c:v>17784.19117252437</c:v>
                </c:pt>
                <c:pt idx="2">
                  <c:v>20635.121088169126</c:v>
                </c:pt>
                <c:pt idx="3">
                  <c:v>25328.87781493273</c:v>
                </c:pt>
                <c:pt idx="4">
                  <c:v>29245.84218112973</c:v>
                </c:pt>
                <c:pt idx="5">
                  <c:v>32490.733597588063</c:v>
                </c:pt>
                <c:pt idx="6">
                  <c:v>35642.4334047722</c:v>
                </c:pt>
                <c:pt idx="7">
                  <c:v>38930.57589305914</c:v>
                </c:pt>
                <c:pt idx="8">
                  <c:v>40193.15185576061</c:v>
                </c:pt>
                <c:pt idx="9">
                  <c:v>45478.337961884761</c:v>
                </c:pt>
                <c:pt idx="10">
                  <c:v>48810.402891542297</c:v>
                </c:pt>
              </c:numCache>
            </c:numRef>
          </c:xVal>
          <c:yVal>
            <c:numRef>
              <c:f>'2highflow'!$O$8:$O$18</c:f>
              <c:numCache>
                <c:formatCode>0.000</c:formatCode>
                <c:ptCount val="11"/>
                <c:pt idx="0">
                  <c:v>1.1409161196247434E-2</c:v>
                </c:pt>
                <c:pt idx="1">
                  <c:v>1.1699816313497532E-2</c:v>
                </c:pt>
                <c:pt idx="2">
                  <c:v>1.1209504197456456E-2</c:v>
                </c:pt>
                <c:pt idx="3">
                  <c:v>1.1019084061312811E-2</c:v>
                </c:pt>
                <c:pt idx="4">
                  <c:v>1.0880741885077198E-2</c:v>
                </c:pt>
                <c:pt idx="5">
                  <c:v>1.1258111775358919E-2</c:v>
                </c:pt>
                <c:pt idx="6">
                  <c:v>1.0952949418663966E-2</c:v>
                </c:pt>
                <c:pt idx="7">
                  <c:v>1.1001071484525187E-2</c:v>
                </c:pt>
                <c:pt idx="8">
                  <c:v>1.0102294114435416E-2</c:v>
                </c:pt>
                <c:pt idx="9">
                  <c:v>9.9405038134654424E-3</c:v>
                </c:pt>
                <c:pt idx="10">
                  <c:v>9.0759036659764942E-3</c:v>
                </c:pt>
              </c:numCache>
            </c:numRef>
          </c:yVal>
          <c:smooth val="0"/>
          <c:extLst>
            <c:ext xmlns:c16="http://schemas.microsoft.com/office/drawing/2014/chart" uri="{C3380CC4-5D6E-409C-BE32-E72D297353CC}">
              <c16:uniqueId val="{0000000F-0C63-4719-A94A-E03A31793F1B}"/>
            </c:ext>
          </c:extLst>
        </c:ser>
        <c:ser>
          <c:idx val="4"/>
          <c:order val="24"/>
          <c:tx>
            <c:v>low flow 3</c:v>
          </c:tx>
          <c:spPr>
            <a:ln w="25400" cap="rnd">
              <a:noFill/>
              <a:round/>
            </a:ln>
            <a:effectLst/>
          </c:spPr>
          <c:marker>
            <c:symbol val="circle"/>
            <c:size val="5"/>
            <c:spPr>
              <a:solidFill>
                <a:schemeClr val="accent5"/>
              </a:solidFill>
              <a:ln w="9525">
                <a:solidFill>
                  <a:schemeClr val="accent5"/>
                </a:solidFill>
              </a:ln>
              <a:effectLst/>
            </c:spPr>
          </c:marker>
          <c:trendline>
            <c:spPr>
              <a:ln w="19050" cap="rnd">
                <a:solidFill>
                  <a:schemeClr val="accent5"/>
                </a:solidFill>
                <a:prstDash val="sysDot"/>
              </a:ln>
              <a:effectLst/>
            </c:spPr>
            <c:trendlineType val="power"/>
            <c:dispRSqr val="0"/>
            <c:dispEq val="0"/>
          </c:trendline>
          <c:xVal>
            <c:numRef>
              <c:f>'1lowflow'!$L$8:$L$18</c:f>
              <c:numCache>
                <c:formatCode>0.0E+00</c:formatCode>
                <c:ptCount val="11"/>
                <c:pt idx="0">
                  <c:v>15086.426160303949</c:v>
                </c:pt>
                <c:pt idx="1">
                  <c:v>18557.509953635461</c:v>
                </c:pt>
                <c:pt idx="2">
                  <c:v>23060.553536426025</c:v>
                </c:pt>
                <c:pt idx="3">
                  <c:v>26502.360622555469</c:v>
                </c:pt>
                <c:pt idx="4">
                  <c:v>29410.854076769891</c:v>
                </c:pt>
                <c:pt idx="5">
                  <c:v>33375.548729294744</c:v>
                </c:pt>
                <c:pt idx="6">
                  <c:v>37354.431473417128</c:v>
                </c:pt>
                <c:pt idx="7">
                  <c:v>40297.735531614446</c:v>
                </c:pt>
                <c:pt idx="8">
                  <c:v>43781.931758187238</c:v>
                </c:pt>
                <c:pt idx="9">
                  <c:v>46688.956144955337</c:v>
                </c:pt>
                <c:pt idx="10">
                  <c:v>49806.545409764061</c:v>
                </c:pt>
              </c:numCache>
            </c:numRef>
          </c:xVal>
          <c:yVal>
            <c:numRef>
              <c:f>'1lowflow'!$O$8:$O$18</c:f>
              <c:numCache>
                <c:formatCode>0.000</c:formatCode>
                <c:ptCount val="11"/>
                <c:pt idx="0">
                  <c:v>1.304073392937141E-2</c:v>
                </c:pt>
                <c:pt idx="1">
                  <c:v>1.3092179033432381E-2</c:v>
                </c:pt>
                <c:pt idx="2">
                  <c:v>1.3132502834906768E-2</c:v>
                </c:pt>
                <c:pt idx="3">
                  <c:v>1.2990869956031638E-2</c:v>
                </c:pt>
                <c:pt idx="4">
                  <c:v>1.3194472800569264E-2</c:v>
                </c:pt>
                <c:pt idx="5">
                  <c:v>1.2681148474084235E-2</c:v>
                </c:pt>
                <c:pt idx="6">
                  <c:v>1.2711167217235721E-2</c:v>
                </c:pt>
                <c:pt idx="7">
                  <c:v>1.2507568501996951E-2</c:v>
                </c:pt>
                <c:pt idx="8">
                  <c:v>1.1486588192017713E-2</c:v>
                </c:pt>
                <c:pt idx="9">
                  <c:v>1.0199121203308502E-2</c:v>
                </c:pt>
                <c:pt idx="10">
                  <c:v>9.2659188093637684E-3</c:v>
                </c:pt>
              </c:numCache>
            </c:numRef>
          </c:yVal>
          <c:smooth val="0"/>
          <c:extLst>
            <c:ext xmlns:c16="http://schemas.microsoft.com/office/drawing/2014/chart" uri="{C3380CC4-5D6E-409C-BE32-E72D297353CC}">
              <c16:uniqueId val="{00000011-0C63-4719-A94A-E03A31793F1B}"/>
            </c:ext>
          </c:extLst>
        </c:ser>
        <c:ser>
          <c:idx val="5"/>
          <c:order val="25"/>
          <c:tx>
            <c:v>low flow 4</c:v>
          </c:tx>
          <c:spPr>
            <a:ln w="2540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power"/>
            <c:dispRSqr val="0"/>
            <c:dispEq val="0"/>
          </c:trendline>
          <c:xVal>
            <c:numRef>
              <c:f>('2lowflow'!$L$8,'2lowflow'!$L$10:$L$18)</c:f>
              <c:numCache>
                <c:formatCode>0.0E+00</c:formatCode>
                <c:ptCount val="10"/>
                <c:pt idx="0">
                  <c:v>14264.395221837269</c:v>
                </c:pt>
                <c:pt idx="1">
                  <c:v>21278.686563893971</c:v>
                </c:pt>
                <c:pt idx="2">
                  <c:v>26625.705078418359</c:v>
                </c:pt>
                <c:pt idx="3">
                  <c:v>29794.458989530936</c:v>
                </c:pt>
                <c:pt idx="4">
                  <c:v>33131.63036178083</c:v>
                </c:pt>
                <c:pt idx="5">
                  <c:v>36502.48462879999</c:v>
                </c:pt>
                <c:pt idx="6">
                  <c:v>40660.846296579126</c:v>
                </c:pt>
                <c:pt idx="7">
                  <c:v>44179.980053855405</c:v>
                </c:pt>
                <c:pt idx="8">
                  <c:v>47288.172743160452</c:v>
                </c:pt>
                <c:pt idx="9">
                  <c:v>50255.634950659114</c:v>
                </c:pt>
              </c:numCache>
            </c:numRef>
          </c:xVal>
          <c:yVal>
            <c:numRef>
              <c:f>('2lowflow'!$O$8,'2lowflow'!$O$10:$O$18)</c:f>
              <c:numCache>
                <c:formatCode>0.000</c:formatCode>
                <c:ptCount val="10"/>
                <c:pt idx="0">
                  <c:v>1.1891761786368395E-2</c:v>
                </c:pt>
                <c:pt idx="1">
                  <c:v>1.1695335987554286E-2</c:v>
                </c:pt>
                <c:pt idx="2">
                  <c:v>1.1826774127943251E-2</c:v>
                </c:pt>
                <c:pt idx="3">
                  <c:v>1.1877348027892474E-2</c:v>
                </c:pt>
                <c:pt idx="4">
                  <c:v>1.1483046501742863E-2</c:v>
                </c:pt>
                <c:pt idx="5">
                  <c:v>1.1283472706249083E-2</c:v>
                </c:pt>
                <c:pt idx="6">
                  <c:v>1.0821101270403269E-2</c:v>
                </c:pt>
                <c:pt idx="7">
                  <c:v>1.0688637825367402E-2</c:v>
                </c:pt>
                <c:pt idx="8">
                  <c:v>1.0023204683531125E-2</c:v>
                </c:pt>
                <c:pt idx="9">
                  <c:v>9.3326336329008705E-3</c:v>
                </c:pt>
              </c:numCache>
            </c:numRef>
          </c:yVal>
          <c:smooth val="0"/>
          <c:extLst>
            <c:ext xmlns:c16="http://schemas.microsoft.com/office/drawing/2014/chart" uri="{C3380CC4-5D6E-409C-BE32-E72D297353CC}">
              <c16:uniqueId val="{00000013-0C63-4719-A94A-E03A31793F1B}"/>
            </c:ext>
          </c:extLst>
        </c:ser>
        <c:ser>
          <c:idx val="7"/>
          <c:order val="26"/>
          <c:tx>
            <c:v>PVC 3</c:v>
          </c:tx>
          <c:spPr>
            <a:ln w="25400" cap="rnd">
              <a:noFill/>
              <a:round/>
            </a:ln>
            <a:effectLst/>
          </c:spPr>
          <c:marker>
            <c:symbol val="circle"/>
            <c:size val="5"/>
            <c:spPr>
              <a:solidFill>
                <a:schemeClr val="accent2">
                  <a:lumMod val="60000"/>
                </a:schemeClr>
              </a:solidFill>
              <a:ln w="9525">
                <a:solidFill>
                  <a:schemeClr val="accent2">
                    <a:lumMod val="60000"/>
                  </a:schemeClr>
                </a:solidFill>
              </a:ln>
              <a:effectLst/>
            </c:spPr>
          </c:marker>
          <c:trendline>
            <c:spPr>
              <a:ln w="19050" cap="rnd">
                <a:solidFill>
                  <a:schemeClr val="accent2">
                    <a:lumMod val="60000"/>
                  </a:schemeClr>
                </a:solidFill>
                <a:prstDash val="sysDot"/>
              </a:ln>
              <a:effectLst/>
            </c:spPr>
            <c:trendlineType val="power"/>
            <c:dispRSqr val="0"/>
            <c:dispEq val="0"/>
          </c:trendline>
          <c:xVal>
            <c:numRef>
              <c:f>'smoothPVC (3)'!$L$8:$L$18</c:f>
              <c:numCache>
                <c:formatCode>0.0E+00</c:formatCode>
                <c:ptCount val="11"/>
                <c:pt idx="0">
                  <c:v>15817.913888888887</c:v>
                </c:pt>
                <c:pt idx="1">
                  <c:v>18893.619367283951</c:v>
                </c:pt>
                <c:pt idx="2">
                  <c:v>22408.711342592593</c:v>
                </c:pt>
                <c:pt idx="3">
                  <c:v>26363.189814814814</c:v>
                </c:pt>
                <c:pt idx="4">
                  <c:v>29438.895293209873</c:v>
                </c:pt>
                <c:pt idx="5">
                  <c:v>32514.600771604935</c:v>
                </c:pt>
                <c:pt idx="6">
                  <c:v>36469.07924382716</c:v>
                </c:pt>
                <c:pt idx="7">
                  <c:v>39544.784722222219</c:v>
                </c:pt>
                <c:pt idx="8">
                  <c:v>43059.876697530861</c:v>
                </c:pt>
                <c:pt idx="9">
                  <c:v>46574.968672839503</c:v>
                </c:pt>
                <c:pt idx="10">
                  <c:v>49211.287654320979</c:v>
                </c:pt>
              </c:numCache>
            </c:numRef>
          </c:xVal>
          <c:yVal>
            <c:numRef>
              <c:f>'smoothPVC (3)'!$O$8:$O$18</c:f>
              <c:numCache>
                <c:formatCode>0.000</c:formatCode>
                <c:ptCount val="11"/>
                <c:pt idx="0">
                  <c:v>7.1147813848673278E-3</c:v>
                </c:pt>
                <c:pt idx="1">
                  <c:v>7.2863568014363712E-3</c:v>
                </c:pt>
                <c:pt idx="2">
                  <c:v>7.1172430949041935E-3</c:v>
                </c:pt>
                <c:pt idx="3">
                  <c:v>6.5200882091631584E-3</c:v>
                </c:pt>
                <c:pt idx="4">
                  <c:v>6.5558373039927252E-3</c:v>
                </c:pt>
                <c:pt idx="5">
                  <c:v>6.5107341024713133E-3</c:v>
                </c:pt>
                <c:pt idx="6">
                  <c:v>6.3250388368889963E-3</c:v>
                </c:pt>
                <c:pt idx="7">
                  <c:v>6.5034187069277424E-3</c:v>
                </c:pt>
                <c:pt idx="8">
                  <c:v>6.2898996549063521E-3</c:v>
                </c:pt>
                <c:pt idx="9">
                  <c:v>6.2805012144920361E-3</c:v>
                </c:pt>
                <c:pt idx="10">
                  <c:v>6.207379432015347E-3</c:v>
                </c:pt>
              </c:numCache>
            </c:numRef>
          </c:yVal>
          <c:smooth val="0"/>
          <c:extLst>
            <c:ext xmlns:c16="http://schemas.microsoft.com/office/drawing/2014/chart" uri="{C3380CC4-5D6E-409C-BE32-E72D297353CC}">
              <c16:uniqueId val="{00000015-0C63-4719-A94A-E03A31793F1B}"/>
            </c:ext>
          </c:extLst>
        </c:ser>
        <c:ser>
          <c:idx val="6"/>
          <c:order val="27"/>
          <c:tx>
            <c:v>PVC 2</c:v>
          </c:tx>
          <c:spPr>
            <a:ln w="25400" cap="rnd">
              <a:noFill/>
              <a:round/>
            </a:ln>
            <a:effectLst/>
          </c:spPr>
          <c:marker>
            <c:symbol val="circle"/>
            <c:size val="5"/>
            <c:spPr>
              <a:solidFill>
                <a:schemeClr val="accent1">
                  <a:lumMod val="60000"/>
                </a:schemeClr>
              </a:solidFill>
              <a:ln w="9525">
                <a:solidFill>
                  <a:schemeClr val="accent1">
                    <a:lumMod val="60000"/>
                  </a:schemeClr>
                </a:solidFill>
              </a:ln>
              <a:effectLst/>
            </c:spPr>
          </c:marker>
          <c:trendline>
            <c:spPr>
              <a:ln w="19050" cap="rnd">
                <a:solidFill>
                  <a:schemeClr val="accent1">
                    <a:lumMod val="60000"/>
                  </a:schemeClr>
                </a:solidFill>
                <a:prstDash val="sysDot"/>
              </a:ln>
              <a:effectLst/>
            </c:spPr>
            <c:trendlineType val="power"/>
            <c:dispRSqr val="0"/>
            <c:dispEq val="0"/>
          </c:trendline>
          <c:xVal>
            <c:numRef>
              <c:f>'smoothPVC (2)'!$L$8:$L$18</c:f>
              <c:numCache>
                <c:formatCode>0.0E+00</c:formatCode>
                <c:ptCount val="11"/>
                <c:pt idx="0">
                  <c:v>13181.594907407407</c:v>
                </c:pt>
                <c:pt idx="1">
                  <c:v>17136.07337962963</c:v>
                </c:pt>
                <c:pt idx="2">
                  <c:v>21969.324845679006</c:v>
                </c:pt>
                <c:pt idx="3">
                  <c:v>25484.416820987655</c:v>
                </c:pt>
                <c:pt idx="4">
                  <c:v>28560.122299382714</c:v>
                </c:pt>
                <c:pt idx="5">
                  <c:v>32953.987268518511</c:v>
                </c:pt>
                <c:pt idx="6">
                  <c:v>36029.692746913577</c:v>
                </c:pt>
                <c:pt idx="7">
                  <c:v>39544.784722222219</c:v>
                </c:pt>
                <c:pt idx="8">
                  <c:v>42620.490200617278</c:v>
                </c:pt>
                <c:pt idx="9">
                  <c:v>46574.968672839503</c:v>
                </c:pt>
                <c:pt idx="10">
                  <c:v>50968.83364197531</c:v>
                </c:pt>
              </c:numCache>
            </c:numRef>
          </c:xVal>
          <c:yVal>
            <c:numRef>
              <c:f>'smoothPVC (2)'!$O$8:$O$18</c:f>
              <c:numCache>
                <c:formatCode>0.000</c:formatCode>
                <c:ptCount val="11"/>
                <c:pt idx="0">
                  <c:v>5.8564098466219634E-3</c:v>
                </c:pt>
                <c:pt idx="1">
                  <c:v>6.2395925785539803E-3</c:v>
                </c:pt>
                <c:pt idx="2">
                  <c:v>6.650067758049244E-3</c:v>
                </c:pt>
                <c:pt idx="3">
                  <c:v>6.6498812148136095E-3</c:v>
                </c:pt>
                <c:pt idx="4">
                  <c:v>6.5667148873216142E-3</c:v>
                </c:pt>
                <c:pt idx="5">
                  <c:v>6.3960524100992074E-3</c:v>
                </c:pt>
                <c:pt idx="6">
                  <c:v>6.3221042539284636E-3</c:v>
                </c:pt>
                <c:pt idx="7">
                  <c:v>6.2964940973335203E-3</c:v>
                </c:pt>
                <c:pt idx="8">
                  <c:v>6.3545000361549236E-3</c:v>
                </c:pt>
                <c:pt idx="9">
                  <c:v>6.1840979003342277E-3</c:v>
                </c:pt>
                <c:pt idx="10">
                  <c:v>5.9494215882764699E-3</c:v>
                </c:pt>
              </c:numCache>
            </c:numRef>
          </c:yVal>
          <c:smooth val="0"/>
          <c:extLst>
            <c:ext xmlns:c16="http://schemas.microsoft.com/office/drawing/2014/chart" uri="{C3380CC4-5D6E-409C-BE32-E72D297353CC}">
              <c16:uniqueId val="{00000017-0C63-4719-A94A-E03A31793F1B}"/>
            </c:ext>
          </c:extLst>
        </c:ser>
        <c:dLbls>
          <c:showLegendKey val="0"/>
          <c:showVal val="0"/>
          <c:showCatName val="0"/>
          <c:showSerName val="0"/>
          <c:showPercent val="0"/>
          <c:showBubbleSize val="0"/>
        </c:dLbls>
        <c:axId val="282477984"/>
        <c:axId val="282479648"/>
        <c:extLst>
          <c:ext xmlns:c15="http://schemas.microsoft.com/office/drawing/2012/chart" uri="{02D57815-91ED-43cb-92C2-25804820EDAC}">
            <c15:filteredScatterSeries>
              <c15:ser>
                <c:idx val="0"/>
                <c:order val="0"/>
                <c:tx>
                  <c:v>P80 (Fabbri et al., 2019)</c:v>
                </c:tx>
                <c:spPr>
                  <a:ln w="25400">
                    <a:noFill/>
                  </a:ln>
                </c:spPr>
                <c:xVal>
                  <c:numRef>
                    <c:extLst>
                      <c:ext uri="{02D57815-91ED-43cb-92C2-25804820EDAC}">
                        <c15:formulaRef>
                          <c15:sqref>[1]P80!$L$8:$L$22</c15:sqref>
                        </c15:formulaRef>
                      </c:ext>
                    </c:extLst>
                    <c:numCache>
                      <c:formatCode>General</c:formatCode>
                      <c:ptCount val="15"/>
                      <c:pt idx="0">
                        <c:v>8917.0688054128441</c:v>
                      </c:pt>
                      <c:pt idx="1">
                        <c:v>9695.5430662028557</c:v>
                      </c:pt>
                      <c:pt idx="2">
                        <c:v>10332.476552303773</c:v>
                      </c:pt>
                      <c:pt idx="3">
                        <c:v>11040.180425749237</c:v>
                      </c:pt>
                      <c:pt idx="4">
                        <c:v>11677.113911850154</c:v>
                      </c:pt>
                      <c:pt idx="5">
                        <c:v>12314.047397951073</c:v>
                      </c:pt>
                      <c:pt idx="6">
                        <c:v>12880.210496707443</c:v>
                      </c:pt>
                      <c:pt idx="7">
                        <c:v>14861.781342354741</c:v>
                      </c:pt>
                      <c:pt idx="8">
                        <c:v>16277.18908924567</c:v>
                      </c:pt>
                      <c:pt idx="9">
                        <c:v>17409.515286758415</c:v>
                      </c:pt>
                      <c:pt idx="10">
                        <c:v>18966.463808338434</c:v>
                      </c:pt>
                      <c:pt idx="11">
                        <c:v>20028.019618506631</c:v>
                      </c:pt>
                      <c:pt idx="12">
                        <c:v>21372.656978053008</c:v>
                      </c:pt>
                      <c:pt idx="13">
                        <c:v>22363.442400876658</c:v>
                      </c:pt>
                      <c:pt idx="14">
                        <c:v>23354.227823700308</c:v>
                      </c:pt>
                    </c:numCache>
                  </c:numRef>
                </c:xVal>
                <c:yVal>
                  <c:numRef>
                    <c:extLst>
                      <c:ext uri="{02D57815-91ED-43cb-92C2-25804820EDAC}">
                        <c15:formulaRef>
                          <c15:sqref>[1]P80!$O$8:$O$22</c15:sqref>
                        </c15:formulaRef>
                      </c:ext>
                    </c:extLst>
                    <c:numCache>
                      <c:formatCode>General</c:formatCode>
                      <c:ptCount val="15"/>
                      <c:pt idx="0">
                        <c:v>2.3815916011654573E-2</c:v>
                      </c:pt>
                      <c:pt idx="1">
                        <c:v>2.2483257596648959E-2</c:v>
                      </c:pt>
                      <c:pt idx="2">
                        <c:v>2.1855650265621168E-2</c:v>
                      </c:pt>
                      <c:pt idx="3">
                        <c:v>2.1224261689750223E-2</c:v>
                      </c:pt>
                      <c:pt idx="4">
                        <c:v>2.108003805659673E-2</c:v>
                      </c:pt>
                      <c:pt idx="5">
                        <c:v>2.0070785342758829E-2</c:v>
                      </c:pt>
                      <c:pt idx="6">
                        <c:v>1.9364272370000206E-2</c:v>
                      </c:pt>
                      <c:pt idx="7">
                        <c:v>1.9137789652222424E-2</c:v>
                      </c:pt>
                      <c:pt idx="8">
                        <c:v>1.8506857607733275E-2</c:v>
                      </c:pt>
                      <c:pt idx="9">
                        <c:v>1.8409164704130669E-2</c:v>
                      </c:pt>
                      <c:pt idx="10">
                        <c:v>1.7860942247267954E-2</c:v>
                      </c:pt>
                      <c:pt idx="11">
                        <c:v>1.8125330828208309E-2</c:v>
                      </c:pt>
                      <c:pt idx="12">
                        <c:v>1.7767147553100486E-2</c:v>
                      </c:pt>
                      <c:pt idx="13">
                        <c:v>1.7918104371951397E-2</c:v>
                      </c:pt>
                      <c:pt idx="14">
                        <c:v>1.8135032739866306E-2</c:v>
                      </c:pt>
                    </c:numCache>
                  </c:numRef>
                </c:yVal>
                <c:smooth val="0"/>
                <c:extLst>
                  <c:ext xmlns:c16="http://schemas.microsoft.com/office/drawing/2014/chart" uri="{C3380CC4-5D6E-409C-BE32-E72D297353CC}">
                    <c16:uniqueId val="{00000018-0C63-4719-A94A-E03A31793F1B}"/>
                  </c:ext>
                </c:extLst>
              </c15:ser>
            </c15:filteredScatterSeries>
            <c15:filteredScatterSeries>
              <c15:ser>
                <c:idx val="1"/>
                <c:order val="1"/>
                <c:tx>
                  <c:v>P80 sandpaper</c:v>
                </c:tx>
                <c:spPr>
                  <a:ln w="25400">
                    <a:noFill/>
                  </a:ln>
                </c:spPr>
                <c:xVal>
                  <c:numRef>
                    <c:extLst xmlns:c15="http://schemas.microsoft.com/office/drawing/2012/chart">
                      <c:ext xmlns:c15="http://schemas.microsoft.com/office/drawing/2012/chart" uri="{02D57815-91ED-43cb-92C2-25804820EDAC}">
                        <c15:formulaRef>
                          <c15:sqref>'[1]P80 sandpaper AVGS'!$M$8:$M$12</c15:sqref>
                        </c15:formulaRef>
                      </c:ext>
                    </c:extLst>
                    <c:numCache>
                      <c:formatCode>General</c:formatCode>
                      <c:ptCount val="5"/>
                      <c:pt idx="0">
                        <c:v>24348.721922902492</c:v>
                      </c:pt>
                      <c:pt idx="1">
                        <c:v>32249.962811791389</c:v>
                      </c:pt>
                      <c:pt idx="2">
                        <c:v>39183.704816326535</c:v>
                      </c:pt>
                      <c:pt idx="3">
                        <c:v>45956.197006802722</c:v>
                      </c:pt>
                      <c:pt idx="4">
                        <c:v>52486.814476190477</c:v>
                      </c:pt>
                    </c:numCache>
                  </c:numRef>
                </c:xVal>
                <c:yVal>
                  <c:numRef>
                    <c:extLst xmlns:c15="http://schemas.microsoft.com/office/drawing/2012/chart">
                      <c:ext xmlns:c15="http://schemas.microsoft.com/office/drawing/2012/chart" uri="{02D57815-91ED-43cb-92C2-25804820EDAC}">
                        <c15:formulaRef>
                          <c15:sqref>'[1]P80 sandpaper AVGS'!$P$8:$P$12</c15:sqref>
                        </c15:formulaRef>
                      </c:ext>
                    </c:extLst>
                    <c:numCache>
                      <c:formatCode>General</c:formatCode>
                      <c:ptCount val="5"/>
                      <c:pt idx="0">
                        <c:v>1.2423623758869535E-2</c:v>
                      </c:pt>
                      <c:pt idx="1">
                        <c:v>1.256604135507821E-2</c:v>
                      </c:pt>
                      <c:pt idx="2">
                        <c:v>1.2688328481080976E-2</c:v>
                      </c:pt>
                      <c:pt idx="3">
                        <c:v>1.2236436649216273E-2</c:v>
                      </c:pt>
                      <c:pt idx="4">
                        <c:v>9.7314080436958095E-3</c:v>
                      </c:pt>
                    </c:numCache>
                  </c:numRef>
                </c:yVal>
                <c:smooth val="0"/>
                <c:extLst xmlns:c15="http://schemas.microsoft.com/office/drawing/2012/chart">
                  <c:ext xmlns:c16="http://schemas.microsoft.com/office/drawing/2014/chart" uri="{C3380CC4-5D6E-409C-BE32-E72D297353CC}">
                    <c16:uniqueId val="{00000019-0C63-4719-A94A-E03A31793F1B}"/>
                  </c:ext>
                </c:extLst>
              </c15:ser>
            </c15:filteredScatterSeries>
            <c15:filteredScatterSeries>
              <c15:ser>
                <c:idx val="8"/>
                <c:order val="2"/>
                <c:tx>
                  <c:v>P240 sandpaper</c:v>
                </c:tx>
                <c:spPr>
                  <a:ln w="25400">
                    <a:noFill/>
                  </a:ln>
                </c:spPr>
                <c:xVal>
                  <c:numRef>
                    <c:extLst xmlns:c15="http://schemas.microsoft.com/office/drawing/2012/chart">
                      <c:ext xmlns:c15="http://schemas.microsoft.com/office/drawing/2012/chart" uri="{02D57815-91ED-43cb-92C2-25804820EDAC}">
                        <c15:formulaRef>
                          <c15:sqref>'[1]P240 sandpaper AVGS'!$L$8:$L$12</c15:sqref>
                        </c15:formulaRef>
                      </c:ext>
                    </c:extLst>
                    <c:numCache>
                      <c:formatCode>General</c:formatCode>
                      <c:ptCount val="5"/>
                      <c:pt idx="0">
                        <c:v>25621.499581445525</c:v>
                      </c:pt>
                      <c:pt idx="1">
                        <c:v>32985.762934196326</c:v>
                      </c:pt>
                      <c:pt idx="2">
                        <c:v>40810.292746494059</c:v>
                      </c:pt>
                      <c:pt idx="3">
                        <c:v>46793.756720604091</c:v>
                      </c:pt>
                      <c:pt idx="4">
                        <c:v>53544.331460625675</c:v>
                      </c:pt>
                    </c:numCache>
                  </c:numRef>
                </c:xVal>
                <c:yVal>
                  <c:numRef>
                    <c:extLst xmlns:c15="http://schemas.microsoft.com/office/drawing/2012/chart">
                      <c:ext xmlns:c15="http://schemas.microsoft.com/office/drawing/2012/chart" uri="{02D57815-91ED-43cb-92C2-25804820EDAC}">
                        <c15:formulaRef>
                          <c15:sqref>'[1]P240 sandpaper AVGS'!$O$8:$O$12</c15:sqref>
                        </c15:formulaRef>
                      </c:ext>
                    </c:extLst>
                    <c:numCache>
                      <c:formatCode>General</c:formatCode>
                      <c:ptCount val="5"/>
                      <c:pt idx="0">
                        <c:v>7.3768057355044943E-3</c:v>
                      </c:pt>
                      <c:pt idx="1">
                        <c:v>7.6045020159216286E-3</c:v>
                      </c:pt>
                      <c:pt idx="2">
                        <c:v>7.6823078619262667E-3</c:v>
                      </c:pt>
                      <c:pt idx="3">
                        <c:v>7.8456121937399356E-3</c:v>
                      </c:pt>
                      <c:pt idx="4">
                        <c:v>7.5893012677243025E-3</c:v>
                      </c:pt>
                    </c:numCache>
                  </c:numRef>
                </c:yVal>
                <c:smooth val="0"/>
                <c:extLst xmlns:c15="http://schemas.microsoft.com/office/drawing/2012/chart">
                  <c:ext xmlns:c16="http://schemas.microsoft.com/office/drawing/2014/chart" uri="{C3380CC4-5D6E-409C-BE32-E72D297353CC}">
                    <c16:uniqueId val="{0000001A-0C63-4719-A94A-E03A31793F1B}"/>
                  </c:ext>
                </c:extLst>
              </c15:ser>
            </c15:filteredScatterSeries>
            <c15:filteredScatterSeries>
              <c15:ser>
                <c:idx val="9"/>
                <c:order val="3"/>
                <c:tx>
                  <c:v>P240 sandpaper RT</c:v>
                </c:tx>
                <c:spPr>
                  <a:ln w="25400">
                    <a:noFill/>
                  </a:ln>
                </c:spPr>
                <c:xVal>
                  <c:numRef>
                    <c:extLst xmlns:c15="http://schemas.microsoft.com/office/drawing/2012/chart">
                      <c:ext xmlns:c15="http://schemas.microsoft.com/office/drawing/2012/chart" uri="{02D57815-91ED-43cb-92C2-25804820EDAC}">
                        <c15:formulaRef>
                          <c15:sqref>'[1]RT P240 sandpaper AVGS'!$M$7:$M$12</c15:sqref>
                        </c15:formulaRef>
                      </c:ext>
                    </c:extLst>
                    <c:numCache>
                      <c:formatCode>General</c:formatCode>
                      <c:ptCount val="6"/>
                      <c:pt idx="0">
                        <c:v>17523.544149614961</c:v>
                      </c:pt>
                      <c:pt idx="1">
                        <c:v>25815.935577557753</c:v>
                      </c:pt>
                      <c:pt idx="2">
                        <c:v>33951.866789878986</c:v>
                      </c:pt>
                      <c:pt idx="3">
                        <c:v>41774.877570957091</c:v>
                      </c:pt>
                      <c:pt idx="4">
                        <c:v>48033.286195819586</c:v>
                      </c:pt>
                      <c:pt idx="5">
                        <c:v>53978.77438943895</c:v>
                      </c:pt>
                    </c:numCache>
                  </c:numRef>
                </c:xVal>
                <c:yVal>
                  <c:numRef>
                    <c:extLst xmlns:c15="http://schemas.microsoft.com/office/drawing/2012/chart">
                      <c:ext xmlns:c15="http://schemas.microsoft.com/office/drawing/2012/chart" uri="{02D57815-91ED-43cb-92C2-25804820EDAC}">
                        <c15:formulaRef>
                          <c15:sqref>'[1]RT P240 sandpaper AVGS'!$P$7:$P$12</c15:sqref>
                        </c15:formulaRef>
                      </c:ext>
                    </c:extLst>
                    <c:numCache>
                      <c:formatCode>General</c:formatCode>
                      <c:ptCount val="6"/>
                      <c:pt idx="0">
                        <c:v>8.8188914771809464E-3</c:v>
                      </c:pt>
                      <c:pt idx="1">
                        <c:v>9.1491646423141251E-3</c:v>
                      </c:pt>
                      <c:pt idx="2">
                        <c:v>9.4977856484117374E-3</c:v>
                      </c:pt>
                      <c:pt idx="3">
                        <c:v>9.9357960701823445E-3</c:v>
                      </c:pt>
                      <c:pt idx="4">
                        <c:v>1.029021497694853E-2</c:v>
                      </c:pt>
                      <c:pt idx="5">
                        <c:v>8.7994752429320314E-3</c:v>
                      </c:pt>
                    </c:numCache>
                  </c:numRef>
                </c:yVal>
                <c:smooth val="0"/>
                <c:extLst xmlns:c15="http://schemas.microsoft.com/office/drawing/2012/chart">
                  <c:ext xmlns:c16="http://schemas.microsoft.com/office/drawing/2014/chart" uri="{C3380CC4-5D6E-409C-BE32-E72D297353CC}">
                    <c16:uniqueId val="{0000001B-0C63-4719-A94A-E03A31793F1B}"/>
                  </c:ext>
                </c:extLst>
              </c15:ser>
            </c15:filteredScatterSeries>
            <c15:filteredScatterSeries>
              <c15:ser>
                <c:idx val="10"/>
                <c:order val="4"/>
                <c:tx>
                  <c:v>P80 sandpaper RT</c:v>
                </c:tx>
                <c:spPr>
                  <a:ln w="25400">
                    <a:noFill/>
                  </a:ln>
                </c:spPr>
                <c:xVal>
                  <c:numRef>
                    <c:extLst xmlns:c15="http://schemas.microsoft.com/office/drawing/2012/chart">
                      <c:ext xmlns:c15="http://schemas.microsoft.com/office/drawing/2012/chart" uri="{02D57815-91ED-43cb-92C2-25804820EDAC}">
                        <c15:formulaRef>
                          <c15:sqref>'[1]RT P80 sandpaper AVGS'!$M$7:$M$10</c15:sqref>
                        </c15:formulaRef>
                      </c:ext>
                    </c:extLst>
                    <c:numCache>
                      <c:formatCode>General</c:formatCode>
                      <c:ptCount val="4"/>
                      <c:pt idx="0">
                        <c:v>15238.107428571429</c:v>
                      </c:pt>
                      <c:pt idx="1">
                        <c:v>22615.286421768709</c:v>
                      </c:pt>
                      <c:pt idx="2">
                        <c:v>30113.402775510203</c:v>
                      </c:pt>
                      <c:pt idx="3">
                        <c:v>36119.958349206354</c:v>
                      </c:pt>
                    </c:numCache>
                  </c:numRef>
                </c:xVal>
                <c:yVal>
                  <c:numRef>
                    <c:extLst xmlns:c15="http://schemas.microsoft.com/office/drawing/2012/chart">
                      <c:ext xmlns:c15="http://schemas.microsoft.com/office/drawing/2012/chart" uri="{02D57815-91ED-43cb-92C2-25804820EDAC}">
                        <c15:formulaRef>
                          <c15:sqref>'[1]RT P80 sandpaper AVGS'!$P$7:$P$10</c15:sqref>
                        </c15:formulaRef>
                      </c:ext>
                    </c:extLst>
                    <c:numCache>
                      <c:formatCode>General</c:formatCode>
                      <c:ptCount val="4"/>
                      <c:pt idx="0">
                        <c:v>2.2418441413025465E-2</c:v>
                      </c:pt>
                      <c:pt idx="1">
                        <c:v>2.1994137921016441E-2</c:v>
                      </c:pt>
                      <c:pt idx="2">
                        <c:v>2.1836251649501356E-2</c:v>
                      </c:pt>
                      <c:pt idx="3">
                        <c:v>2.0368564068620709E-2</c:v>
                      </c:pt>
                    </c:numCache>
                  </c:numRef>
                </c:yVal>
                <c:smooth val="0"/>
                <c:extLst xmlns:c15="http://schemas.microsoft.com/office/drawing/2012/chart">
                  <c:ext xmlns:c16="http://schemas.microsoft.com/office/drawing/2014/chart" uri="{C3380CC4-5D6E-409C-BE32-E72D297353CC}">
                    <c16:uniqueId val="{0000001C-0C63-4719-A94A-E03A31793F1B}"/>
                  </c:ext>
                </c:extLst>
              </c15:ser>
            </c15:filteredScatterSeries>
            <c15:filteredScatterSeries>
              <c15:ser>
                <c:idx val="13"/>
                <c:order val="7"/>
                <c:tx>
                  <c:v>Rigid P80 RT</c:v>
                </c:tx>
                <c:spPr>
                  <a:ln w="25400">
                    <a:noFill/>
                  </a:ln>
                </c:spPr>
                <c:xVal>
                  <c:numRef>
                    <c:extLst xmlns:c15="http://schemas.microsoft.com/office/drawing/2012/chart">
                      <c:ext xmlns:c15="http://schemas.microsoft.com/office/drawing/2012/chart" uri="{02D57815-91ED-43cb-92C2-25804820EDAC}">
                        <c15:formulaRef>
                          <c15:sqref>'[1]RT EF25 P80 AVGS'!$M$7:$M$10</c15:sqref>
                        </c15:formulaRef>
                      </c:ext>
                    </c:extLst>
                    <c:numCache>
                      <c:formatCode>General</c:formatCode>
                      <c:ptCount val="4"/>
                      <c:pt idx="0">
                        <c:v>14941.127117040121</c:v>
                      </c:pt>
                      <c:pt idx="1">
                        <c:v>21344.46731005732</c:v>
                      </c:pt>
                      <c:pt idx="2">
                        <c:v>27866.387877019275</c:v>
                      </c:pt>
                      <c:pt idx="3">
                        <c:v>33439.665452423134</c:v>
                      </c:pt>
                    </c:numCache>
                  </c:numRef>
                </c:xVal>
                <c:yVal>
                  <c:numRef>
                    <c:extLst xmlns:c15="http://schemas.microsoft.com/office/drawing/2012/chart">
                      <c:ext xmlns:c15="http://schemas.microsoft.com/office/drawing/2012/chart" uri="{02D57815-91ED-43cb-92C2-25804820EDAC}">
                        <c15:formulaRef>
                          <c15:sqref>'[1]RT EF25 P80 AVGS'!$P$7:$P$10</c15:sqref>
                        </c15:formulaRef>
                      </c:ext>
                    </c:extLst>
                    <c:numCache>
                      <c:formatCode>General</c:formatCode>
                      <c:ptCount val="4"/>
                      <c:pt idx="0">
                        <c:v>2.3486158360350586E-2</c:v>
                      </c:pt>
                      <c:pt idx="1">
                        <c:v>2.3722874078658026E-2</c:v>
                      </c:pt>
                      <c:pt idx="2">
                        <c:v>2.4222003605140735E-2</c:v>
                      </c:pt>
                      <c:pt idx="3">
                        <c:v>1.9765926972059766E-2</c:v>
                      </c:pt>
                    </c:numCache>
                  </c:numRef>
                </c:yVal>
                <c:smooth val="0"/>
                <c:extLst xmlns:c15="http://schemas.microsoft.com/office/drawing/2012/chart">
                  <c:ext xmlns:c16="http://schemas.microsoft.com/office/drawing/2014/chart" uri="{C3380CC4-5D6E-409C-BE32-E72D297353CC}">
                    <c16:uniqueId val="{0000001D-0C63-4719-A94A-E03A31793F1B}"/>
                  </c:ext>
                </c:extLst>
              </c15:ser>
            </c15:filteredScatterSeries>
            <c15:filteredScatterSeries>
              <c15:ser>
                <c:idx val="15"/>
                <c:order val="9"/>
                <c:tx>
                  <c:v>Rigid Smooth</c:v>
                </c:tx>
                <c:spPr>
                  <a:ln w="25400">
                    <a:noFill/>
                  </a:ln>
                </c:spPr>
                <c:xVal>
                  <c:numRef>
                    <c:extLst xmlns:c15="http://schemas.microsoft.com/office/drawing/2012/chart">
                      <c:ext xmlns:c15="http://schemas.microsoft.com/office/drawing/2012/chart" uri="{02D57815-91ED-43cb-92C2-25804820EDAC}">
                        <c15:formulaRef>
                          <c15:sqref>'[1]EF25 flat AVGS'!$L$8:$L$12</c15:sqref>
                        </c15:formulaRef>
                      </c:ext>
                    </c:extLst>
                    <c:numCache>
                      <c:formatCode>General</c:formatCode>
                      <c:ptCount val="5"/>
                      <c:pt idx="0">
                        <c:v>24203.089020070838</c:v>
                      </c:pt>
                      <c:pt idx="1">
                        <c:v>30702.066627312077</c:v>
                      </c:pt>
                      <c:pt idx="2">
                        <c:v>38097.454939000396</c:v>
                      </c:pt>
                      <c:pt idx="3">
                        <c:v>45268.740574576928</c:v>
                      </c:pt>
                      <c:pt idx="4">
                        <c:v>51991.820857929946</c:v>
                      </c:pt>
                    </c:numCache>
                  </c:numRef>
                </c:xVal>
                <c:yVal>
                  <c:numRef>
                    <c:extLst xmlns:c15="http://schemas.microsoft.com/office/drawing/2012/chart">
                      <c:ext xmlns:c15="http://schemas.microsoft.com/office/drawing/2012/chart" uri="{02D57815-91ED-43cb-92C2-25804820EDAC}">
                        <c15:formulaRef>
                          <c15:sqref>'[1]EF25 flat AVGS'!$O$8:$O$12</c15:sqref>
                        </c15:formulaRef>
                      </c:ext>
                    </c:extLst>
                    <c:numCache>
                      <c:formatCode>General</c:formatCode>
                      <c:ptCount val="5"/>
                      <c:pt idx="0">
                        <c:v>7.4776636450018044E-3</c:v>
                      </c:pt>
                      <c:pt idx="1">
                        <c:v>7.2481135651974752E-3</c:v>
                      </c:pt>
                      <c:pt idx="2">
                        <c:v>6.9796046123650861E-3</c:v>
                      </c:pt>
                      <c:pt idx="3">
                        <c:v>6.7045059317648341E-3</c:v>
                      </c:pt>
                      <c:pt idx="4">
                        <c:v>6.4920279779756753E-3</c:v>
                      </c:pt>
                    </c:numCache>
                  </c:numRef>
                </c:yVal>
                <c:smooth val="0"/>
                <c:extLst xmlns:c15="http://schemas.microsoft.com/office/drawing/2012/chart">
                  <c:ext xmlns:c16="http://schemas.microsoft.com/office/drawing/2014/chart" uri="{C3380CC4-5D6E-409C-BE32-E72D297353CC}">
                    <c16:uniqueId val="{0000001E-0C63-4719-A94A-E03A31793F1B}"/>
                  </c:ext>
                </c:extLst>
              </c15:ser>
            </c15:filteredScatterSeries>
            <c15:filteredScatterSeries>
              <c15:ser>
                <c:idx val="16"/>
                <c:order val="10"/>
                <c:tx>
                  <c:v>Rigid P240 RT</c:v>
                </c:tx>
                <c:spPr>
                  <a:ln w="25400">
                    <a:noFill/>
                  </a:ln>
                </c:spPr>
                <c:xVal>
                  <c:numRef>
                    <c:extLst xmlns:c15="http://schemas.microsoft.com/office/drawing/2012/chart">
                      <c:ext xmlns:c15="http://schemas.microsoft.com/office/drawing/2012/chart" uri="{02D57815-91ED-43cb-92C2-25804820EDAC}">
                        <c15:formulaRef>
                          <c15:sqref>'[1]RT EF25 P240 AVGS'!$L$7:$L$12</c15:sqref>
                        </c15:formulaRef>
                      </c:ext>
                    </c:extLst>
                    <c:numCache>
                      <c:formatCode>General</c:formatCode>
                      <c:ptCount val="6"/>
                      <c:pt idx="0">
                        <c:v>15711.520344206057</c:v>
                      </c:pt>
                      <c:pt idx="1">
                        <c:v>23153.819454619461</c:v>
                      </c:pt>
                      <c:pt idx="2">
                        <c:v>30596.118565032859</c:v>
                      </c:pt>
                      <c:pt idx="3">
                        <c:v>37707.648826094541</c:v>
                      </c:pt>
                      <c:pt idx="4">
                        <c:v>45149.947936507939</c:v>
                      </c:pt>
                      <c:pt idx="5">
                        <c:v>51434.556074190361</c:v>
                      </c:pt>
                    </c:numCache>
                  </c:numRef>
                </c:xVal>
                <c:yVal>
                  <c:numRef>
                    <c:extLst xmlns:c15="http://schemas.microsoft.com/office/drawing/2012/chart">
                      <c:ext xmlns:c15="http://schemas.microsoft.com/office/drawing/2012/chart" uri="{02D57815-91ED-43cb-92C2-25804820EDAC}">
                        <c15:formulaRef>
                          <c15:sqref>'[1]RT EF25 P240 AVGS'!$O$7:$O$12</c15:sqref>
                        </c15:formulaRef>
                      </c:ext>
                    </c:extLst>
                    <c:numCache>
                      <c:formatCode>General</c:formatCode>
                      <c:ptCount val="6"/>
                      <c:pt idx="1">
                        <c:v>9.0880139416152864E-3</c:v>
                      </c:pt>
                      <c:pt idx="2">
                        <c:v>9.4770992116655697E-3</c:v>
                      </c:pt>
                      <c:pt idx="3">
                        <c:v>9.6907967665861086E-3</c:v>
                      </c:pt>
                      <c:pt idx="4">
                        <c:v>8.7689500019708655E-3</c:v>
                      </c:pt>
                      <c:pt idx="5">
                        <c:v>6.9442345010425101E-3</c:v>
                      </c:pt>
                    </c:numCache>
                  </c:numRef>
                </c:yVal>
                <c:smooth val="0"/>
                <c:extLst xmlns:c15="http://schemas.microsoft.com/office/drawing/2012/chart">
                  <c:ext xmlns:c16="http://schemas.microsoft.com/office/drawing/2014/chart" uri="{C3380CC4-5D6E-409C-BE32-E72D297353CC}">
                    <c16:uniqueId val="{0000001F-0C63-4719-A94A-E03A31793F1B}"/>
                  </c:ext>
                </c:extLst>
              </c15:ser>
            </c15:filteredScatterSeries>
            <c15:filteredScatterSeries>
              <c15:ser>
                <c:idx val="17"/>
                <c:order val="11"/>
                <c:tx>
                  <c:v>Elastomer P40</c:v>
                </c:tx>
                <c:spPr>
                  <a:ln w="25400">
                    <a:noFill/>
                  </a:ln>
                </c:spPr>
                <c:trendline>
                  <c:trendlineType val="power"/>
                  <c:dispRSqr val="0"/>
                  <c:dispEq val="0"/>
                </c:trendline>
                <c:xVal>
                  <c:numRef>
                    <c:extLst xmlns:c15="http://schemas.microsoft.com/office/drawing/2012/chart">
                      <c:ext xmlns:c15="http://schemas.microsoft.com/office/drawing/2012/chart" uri="{02D57815-91ED-43cb-92C2-25804820EDAC}">
                        <c15:formulaRef>
                          <c15:sqref>'[1]MMHSE P40 AVGS'!$L$8:$L$13</c15:sqref>
                        </c15:formulaRef>
                      </c:ext>
                    </c:extLst>
                    <c:numCache>
                      <c:formatCode>General</c:formatCode>
                      <c:ptCount val="6"/>
                      <c:pt idx="0">
                        <c:v>13320.348538011694</c:v>
                      </c:pt>
                      <c:pt idx="1">
                        <c:v>19770.201514312095</c:v>
                      </c:pt>
                      <c:pt idx="2">
                        <c:v>25518.983514927677</c:v>
                      </c:pt>
                      <c:pt idx="3">
                        <c:v>31548.193905817174</c:v>
                      </c:pt>
                      <c:pt idx="4">
                        <c:v>36736.119125884892</c:v>
                      </c:pt>
                      <c:pt idx="5">
                        <c:v>44167.471468144046</c:v>
                      </c:pt>
                    </c:numCache>
                  </c:numRef>
                </c:xVal>
                <c:yVal>
                  <c:numRef>
                    <c:extLst xmlns:c15="http://schemas.microsoft.com/office/drawing/2012/chart">
                      <c:ext xmlns:c15="http://schemas.microsoft.com/office/drawing/2012/chart" uri="{02D57815-91ED-43cb-92C2-25804820EDAC}">
                        <c15:formulaRef>
                          <c15:sqref>'[1]MMHSE P40 AVGS'!$O$8:$O$13</c15:sqref>
                        </c15:formulaRef>
                      </c:ext>
                    </c:extLst>
                    <c:numCache>
                      <c:formatCode>General</c:formatCode>
                      <c:ptCount val="6"/>
                      <c:pt idx="0">
                        <c:v>1.4202500335449595E-2</c:v>
                      </c:pt>
                      <c:pt idx="1">
                        <c:v>1.5008220187502492E-2</c:v>
                      </c:pt>
                      <c:pt idx="2">
                        <c:v>1.5006721088056956E-2</c:v>
                      </c:pt>
                      <c:pt idx="3">
                        <c:v>1.4420842650896113E-2</c:v>
                      </c:pt>
                      <c:pt idx="4">
                        <c:v>1.2274729939700709E-2</c:v>
                      </c:pt>
                      <c:pt idx="5">
                        <c:v>7.1106485889659296E-3</c:v>
                      </c:pt>
                    </c:numCache>
                  </c:numRef>
                </c:yVal>
                <c:smooth val="0"/>
                <c:extLst xmlns:c15="http://schemas.microsoft.com/office/drawing/2012/chart">
                  <c:ext xmlns:c16="http://schemas.microsoft.com/office/drawing/2014/chart" uri="{C3380CC4-5D6E-409C-BE32-E72D297353CC}">
                    <c16:uniqueId val="{00000006-0C63-4719-A94A-E03A31793F1B}"/>
                  </c:ext>
                </c:extLst>
              </c15:ser>
            </c15:filteredScatterSeries>
            <c15:filteredScatterSeries>
              <c15:ser>
                <c:idx val="18"/>
                <c:order val="12"/>
                <c:tx>
                  <c:v>Elastomer P80</c:v>
                </c:tx>
                <c:spPr>
                  <a:ln w="25400">
                    <a:noFill/>
                  </a:ln>
                </c:spPr>
                <c:trendline>
                  <c:trendlineType val="power"/>
                  <c:dispRSqr val="0"/>
                  <c:dispEq val="0"/>
                </c:trendline>
                <c:xVal>
                  <c:numRef>
                    <c:extLst xmlns:c15="http://schemas.microsoft.com/office/drawing/2012/chart">
                      <c:ext xmlns:c15="http://schemas.microsoft.com/office/drawing/2012/chart" uri="{02D57815-91ED-43cb-92C2-25804820EDAC}">
                        <c15:formulaRef>
                          <c15:sqref>'[1]MMHSE P80 AVGS'!$L$8:$L$11</c15:sqref>
                        </c15:formulaRef>
                      </c:ext>
                    </c:extLst>
                    <c:numCache>
                      <c:formatCode>General</c:formatCode>
                      <c:ptCount val="4"/>
                      <c:pt idx="0">
                        <c:v>18801.896461659773</c:v>
                      </c:pt>
                      <c:pt idx="1">
                        <c:v>24835.340848610296</c:v>
                      </c:pt>
                      <c:pt idx="2">
                        <c:v>30447.8472550759</c:v>
                      </c:pt>
                      <c:pt idx="3">
                        <c:v>34727.383390005925</c:v>
                      </c:pt>
                    </c:numCache>
                  </c:numRef>
                </c:xVal>
                <c:yVal>
                  <c:numRef>
                    <c:extLst xmlns:c15="http://schemas.microsoft.com/office/drawing/2012/chart">
                      <c:ext xmlns:c15="http://schemas.microsoft.com/office/drawing/2012/chart" uri="{02D57815-91ED-43cb-92C2-25804820EDAC}">
                        <c15:formulaRef>
                          <c15:sqref>'[1]MMHSE P80 AVGS'!$O$8:$O$11</c15:sqref>
                        </c15:formulaRef>
                      </c:ext>
                    </c:extLst>
                    <c:numCache>
                      <c:formatCode>General</c:formatCode>
                      <c:ptCount val="4"/>
                      <c:pt idx="0">
                        <c:v>1.6904693184688124E-2</c:v>
                      </c:pt>
                      <c:pt idx="1">
                        <c:v>1.6167390968992418E-2</c:v>
                      </c:pt>
                      <c:pt idx="2">
                        <c:v>1.5215475539243689E-2</c:v>
                      </c:pt>
                      <c:pt idx="3">
                        <c:v>9.2263514973087574E-3</c:v>
                      </c:pt>
                    </c:numCache>
                  </c:numRef>
                </c:yVal>
                <c:smooth val="0"/>
                <c:extLst xmlns:c15="http://schemas.microsoft.com/office/drawing/2012/chart">
                  <c:ext xmlns:c16="http://schemas.microsoft.com/office/drawing/2014/chart" uri="{C3380CC4-5D6E-409C-BE32-E72D297353CC}">
                    <c16:uniqueId val="{00000008-0C63-4719-A94A-E03A31793F1B}"/>
                  </c:ext>
                </c:extLst>
              </c15:ser>
            </c15:filteredScatterSeries>
            <c15:filteredScatterSeries>
              <c15:ser>
                <c:idx val="19"/>
                <c:order val="13"/>
                <c:tx>
                  <c:v>Elastomer P240</c:v>
                </c:tx>
                <c:spPr>
                  <a:ln w="25400">
                    <a:noFill/>
                  </a:ln>
                </c:spPr>
                <c:trendline>
                  <c:trendlineType val="power"/>
                  <c:dispRSqr val="0"/>
                  <c:dispEq val="0"/>
                </c:trendline>
                <c:xVal>
                  <c:numRef>
                    <c:extLst xmlns:c15="http://schemas.microsoft.com/office/drawing/2012/chart">
                      <c:ext xmlns:c15="http://schemas.microsoft.com/office/drawing/2012/chart" uri="{02D57815-91ED-43cb-92C2-25804820EDAC}">
                        <c15:formulaRef>
                          <c15:sqref>'[1]MMHSE P240 AVG'!$L$8:$L$11</c15:sqref>
                        </c15:formulaRef>
                      </c:ext>
                    </c:extLst>
                    <c:numCache>
                      <c:formatCode>General</c:formatCode>
                      <c:ptCount val="4"/>
                      <c:pt idx="0">
                        <c:v>18828.41348329734</c:v>
                      </c:pt>
                      <c:pt idx="1">
                        <c:v>24891.800876223599</c:v>
                      </c:pt>
                      <c:pt idx="2">
                        <c:v>31832.783812862872</c:v>
                      </c:pt>
                      <c:pt idx="3">
                        <c:v>37816.389792724316</c:v>
                      </c:pt>
                    </c:numCache>
                  </c:numRef>
                </c:xVal>
                <c:yVal>
                  <c:numRef>
                    <c:extLst xmlns:c15="http://schemas.microsoft.com/office/drawing/2012/chart">
                      <c:ext xmlns:c15="http://schemas.microsoft.com/office/drawing/2012/chart" uri="{02D57815-91ED-43cb-92C2-25804820EDAC}">
                        <c15:formulaRef>
                          <c15:sqref>'[1]MMHSE P240 AVG'!$O$8:$O$11</c15:sqref>
                        </c15:formulaRef>
                      </c:ext>
                    </c:extLst>
                    <c:numCache>
                      <c:formatCode>General</c:formatCode>
                      <c:ptCount val="4"/>
                      <c:pt idx="0">
                        <c:v>1.438557933187895E-2</c:v>
                      </c:pt>
                      <c:pt idx="1">
                        <c:v>1.3673141980240184E-2</c:v>
                      </c:pt>
                      <c:pt idx="2">
                        <c:v>9.9228677402318291E-3</c:v>
                      </c:pt>
                      <c:pt idx="3">
                        <c:v>1.000637253343376E-2</c:v>
                      </c:pt>
                    </c:numCache>
                  </c:numRef>
                </c:yVal>
                <c:smooth val="0"/>
                <c:extLst xmlns:c15="http://schemas.microsoft.com/office/drawing/2012/chart">
                  <c:ext xmlns:c16="http://schemas.microsoft.com/office/drawing/2014/chart" uri="{C3380CC4-5D6E-409C-BE32-E72D297353CC}">
                    <c16:uniqueId val="{0000000A-0C63-4719-A94A-E03A31793F1B}"/>
                  </c:ext>
                </c:extLst>
              </c15:ser>
            </c15:filteredScatterSeries>
            <c15:filteredScatterSeries>
              <c15:ser>
                <c:idx val="20"/>
                <c:order val="14"/>
                <c:tx>
                  <c:v>Elastomer Smooth</c:v>
                </c:tx>
                <c:spPr>
                  <a:ln w="25400">
                    <a:noFill/>
                  </a:ln>
                </c:spPr>
                <c:xVal>
                  <c:numRef>
                    <c:extLst xmlns:c15="http://schemas.microsoft.com/office/drawing/2012/chart">
                      <c:ext xmlns:c15="http://schemas.microsoft.com/office/drawing/2012/chart" uri="{02D57815-91ED-43cb-92C2-25804820EDAC}">
                        <c15:formulaRef>
                          <c15:sqref>'[1]MMHSE flat AVG'!$L$7:$L$12</c15:sqref>
                        </c15:formulaRef>
                      </c:ext>
                    </c:extLst>
                    <c:numCache>
                      <c:formatCode>General</c:formatCode>
                      <c:ptCount val="6"/>
                      <c:pt idx="0">
                        <c:v>16791.76035066746</c:v>
                      </c:pt>
                      <c:pt idx="1">
                        <c:v>24733.809165172341</c:v>
                      </c:pt>
                      <c:pt idx="2">
                        <c:v>31541.279577605099</c:v>
                      </c:pt>
                      <c:pt idx="3">
                        <c:v>38802.581350866705</c:v>
                      </c:pt>
                      <c:pt idx="4">
                        <c:v>46971.545845786015</c:v>
                      </c:pt>
                      <c:pt idx="5">
                        <c:v>52871.353536561066</c:v>
                      </c:pt>
                    </c:numCache>
                  </c:numRef>
                </c:xVal>
                <c:yVal>
                  <c:numRef>
                    <c:extLst xmlns:c15="http://schemas.microsoft.com/office/drawing/2012/chart">
                      <c:ext xmlns:c15="http://schemas.microsoft.com/office/drawing/2012/chart" uri="{02D57815-91ED-43cb-92C2-25804820EDAC}">
                        <c15:formulaRef>
                          <c15:sqref>'[1]MMHSE flat AVG'!$O$7:$O$12</c15:sqref>
                        </c15:formulaRef>
                      </c:ext>
                    </c:extLst>
                    <c:numCache>
                      <c:formatCode>General</c:formatCode>
                      <c:ptCount val="6"/>
                      <c:pt idx="0">
                        <c:v>9.5924628430963041E-3</c:v>
                      </c:pt>
                      <c:pt idx="1">
                        <c:v>7.9919512554307154E-3</c:v>
                      </c:pt>
                      <c:pt idx="2">
                        <c:v>7.6143534622810276E-3</c:v>
                      </c:pt>
                      <c:pt idx="3">
                        <c:v>7.2699028256832353E-3</c:v>
                      </c:pt>
                      <c:pt idx="4">
                        <c:v>6.8600008124494851E-3</c:v>
                      </c:pt>
                      <c:pt idx="5">
                        <c:v>6.5583043169987199E-3</c:v>
                      </c:pt>
                    </c:numCache>
                  </c:numRef>
                </c:yVal>
                <c:smooth val="0"/>
                <c:extLst xmlns:c15="http://schemas.microsoft.com/office/drawing/2012/chart">
                  <c:ext xmlns:c16="http://schemas.microsoft.com/office/drawing/2014/chart" uri="{C3380CC4-5D6E-409C-BE32-E72D297353CC}">
                    <c16:uniqueId val="{00000020-0C63-4719-A94A-E03A31793F1B}"/>
                  </c:ext>
                </c:extLst>
              </c15:ser>
            </c15:filteredScatterSeries>
            <c15:filteredScatterSeries>
              <c15:ser>
                <c:idx val="22"/>
                <c:order val="16"/>
                <c:tx>
                  <c:v>Elastomer P40 RT</c:v>
                </c:tx>
                <c:spPr>
                  <a:ln w="25400">
                    <a:noFill/>
                  </a:ln>
                </c:spPr>
                <c:xVal>
                  <c:numRef>
                    <c:extLst xmlns:c15="http://schemas.microsoft.com/office/drawing/2012/chart">
                      <c:ext xmlns:c15="http://schemas.microsoft.com/office/drawing/2012/chart" uri="{02D57815-91ED-43cb-92C2-25804820EDAC}">
                        <c15:formulaRef>
                          <c15:sqref>'[1]RT MMHSE P40 AVGS'!$L$8:$L$11</c15:sqref>
                        </c15:formulaRef>
                      </c:ext>
                    </c:extLst>
                    <c:numCache>
                      <c:formatCode>General</c:formatCode>
                      <c:ptCount val="4"/>
                      <c:pt idx="0">
                        <c:v>9667.9949066213921</c:v>
                      </c:pt>
                      <c:pt idx="1">
                        <c:v>12610.42813907138</c:v>
                      </c:pt>
                      <c:pt idx="2">
                        <c:v>17724.657328805883</c:v>
                      </c:pt>
                      <c:pt idx="3">
                        <c:v>19672.267896951351</c:v>
                      </c:pt>
                    </c:numCache>
                  </c:numRef>
                </c:xVal>
                <c:yVal>
                  <c:numRef>
                    <c:extLst xmlns:c15="http://schemas.microsoft.com/office/drawing/2012/chart">
                      <c:ext xmlns:c15="http://schemas.microsoft.com/office/drawing/2012/chart" uri="{02D57815-91ED-43cb-92C2-25804820EDAC}">
                        <c15:formulaRef>
                          <c15:sqref>'[1]RT MMHSE P40 AVGS'!$P$8:$P$11</c15:sqref>
                        </c15:formulaRef>
                      </c:ext>
                    </c:extLst>
                    <c:numCache>
                      <c:formatCode>General</c:formatCode>
                      <c:ptCount val="4"/>
                      <c:pt idx="0">
                        <c:v>0.18389059445297115</c:v>
                      </c:pt>
                      <c:pt idx="1">
                        <c:v>0.20307745126259161</c:v>
                      </c:pt>
                      <c:pt idx="2">
                        <c:v>0.222908479016144</c:v>
                      </c:pt>
                      <c:pt idx="3">
                        <c:v>0.21347618818132327</c:v>
                      </c:pt>
                    </c:numCache>
                  </c:numRef>
                </c:yVal>
                <c:smooth val="0"/>
                <c:extLst xmlns:c15="http://schemas.microsoft.com/office/drawing/2012/chart">
                  <c:ext xmlns:c16="http://schemas.microsoft.com/office/drawing/2014/chart" uri="{C3380CC4-5D6E-409C-BE32-E72D297353CC}">
                    <c16:uniqueId val="{00000021-0C63-4719-A94A-E03A31793F1B}"/>
                  </c:ext>
                </c:extLst>
              </c15:ser>
            </c15:filteredScatterSeries>
            <c15:filteredScatterSeries>
              <c15:ser>
                <c:idx val="23"/>
                <c:order val="17"/>
                <c:tx>
                  <c:v>Rigid P40 RT</c:v>
                </c:tx>
                <c:spPr>
                  <a:ln w="25400">
                    <a:noFill/>
                  </a:ln>
                </c:spPr>
                <c:xVal>
                  <c:numRef>
                    <c:extLst xmlns:c15="http://schemas.microsoft.com/office/drawing/2012/chart">
                      <c:ext xmlns:c15="http://schemas.microsoft.com/office/drawing/2012/chart" uri="{02D57815-91ED-43cb-92C2-25804820EDAC}">
                        <c15:formulaRef>
                          <c15:sqref>'[1]RT EF25 P40 AVGS'!$L$8:$L$11</c15:sqref>
                        </c15:formulaRef>
                      </c:ext>
                    </c:extLst>
                    <c:numCache>
                      <c:formatCode>General</c:formatCode>
                      <c:ptCount val="4"/>
                      <c:pt idx="0">
                        <c:v>8814.9365325077415</c:v>
                      </c:pt>
                      <c:pt idx="1">
                        <c:v>12487.826754385966</c:v>
                      </c:pt>
                      <c:pt idx="2">
                        <c:v>17944.692226890758</c:v>
                      </c:pt>
                      <c:pt idx="3">
                        <c:v>20568.185242518062</c:v>
                      </c:pt>
                    </c:numCache>
                  </c:numRef>
                </c:xVal>
                <c:yVal>
                  <c:numRef>
                    <c:extLst xmlns:c15="http://schemas.microsoft.com/office/drawing/2012/chart">
                      <c:ext xmlns:c15="http://schemas.microsoft.com/office/drawing/2012/chart" uri="{02D57815-91ED-43cb-92C2-25804820EDAC}">
                        <c15:formulaRef>
                          <c15:sqref>'[1]RT EF25 P40 AVGS'!$O$8:$O$11</c15:sqref>
                        </c15:formulaRef>
                      </c:ext>
                    </c:extLst>
                    <c:numCache>
                      <c:formatCode>General</c:formatCode>
                      <c:ptCount val="4"/>
                      <c:pt idx="0">
                        <c:v>0.35231335478988152</c:v>
                      </c:pt>
                      <c:pt idx="1">
                        <c:v>0.30303075307813349</c:v>
                      </c:pt>
                      <c:pt idx="2">
                        <c:v>0.31240017360926797</c:v>
                      </c:pt>
                      <c:pt idx="3">
                        <c:v>0.30233675661320342</c:v>
                      </c:pt>
                    </c:numCache>
                  </c:numRef>
                </c:yVal>
                <c:smooth val="0"/>
                <c:extLst xmlns:c15="http://schemas.microsoft.com/office/drawing/2012/chart">
                  <c:ext xmlns:c16="http://schemas.microsoft.com/office/drawing/2014/chart" uri="{C3380CC4-5D6E-409C-BE32-E72D297353CC}">
                    <c16:uniqueId val="{00000022-0C63-4719-A94A-E03A31793F1B}"/>
                  </c:ext>
                </c:extLst>
              </c15:ser>
            </c15:filteredScatterSeries>
            <c15:filteredScatterSeries>
              <c15:ser>
                <c:idx val="24"/>
                <c:order val="18"/>
                <c:tx>
                  <c:v>Elastomer P80 RT</c:v>
                </c:tx>
                <c:spPr>
                  <a:ln w="25400">
                    <a:noFill/>
                  </a:ln>
                </c:spPr>
                <c:xVal>
                  <c:numRef>
                    <c:extLst xmlns:c15="http://schemas.microsoft.com/office/drawing/2012/chart">
                      <c:ext xmlns:c15="http://schemas.microsoft.com/office/drawing/2012/chart" uri="{02D57815-91ED-43cb-92C2-25804820EDAC}">
                        <c15:formulaRef>
                          <c15:sqref>'[1]RT MMHSE P80 AVGS'!$L$8:$L$11</c15:sqref>
                        </c15:formulaRef>
                      </c:ext>
                    </c:extLst>
                    <c:numCache>
                      <c:formatCode>General</c:formatCode>
                      <c:ptCount val="4"/>
                      <c:pt idx="0">
                        <c:v>13573.656500958734</c:v>
                      </c:pt>
                      <c:pt idx="1">
                        <c:v>19667.951256491229</c:v>
                      </c:pt>
                      <c:pt idx="2">
                        <c:v>25346.725915055591</c:v>
                      </c:pt>
                      <c:pt idx="3">
                        <c:v>29640.433583726204</c:v>
                      </c:pt>
                    </c:numCache>
                  </c:numRef>
                </c:xVal>
                <c:yVal>
                  <c:numRef>
                    <c:extLst xmlns:c15="http://schemas.microsoft.com/office/drawing/2012/chart">
                      <c:ext xmlns:c15="http://schemas.microsoft.com/office/drawing/2012/chart" uri="{02D57815-91ED-43cb-92C2-25804820EDAC}">
                        <c15:formulaRef>
                          <c15:sqref>'[1]RT MMHSE P80 AVGS'!$O$8:$O$11</c15:sqref>
                        </c15:formulaRef>
                      </c:ext>
                    </c:extLst>
                    <c:numCache>
                      <c:formatCode>General</c:formatCode>
                      <c:ptCount val="4"/>
                      <c:pt idx="0">
                        <c:v>1.6643431385673885E-2</c:v>
                      </c:pt>
                      <c:pt idx="1">
                        <c:v>1.9263379481418413E-2</c:v>
                      </c:pt>
                      <c:pt idx="2">
                        <c:v>1.9976426556881106E-2</c:v>
                      </c:pt>
                      <c:pt idx="3">
                        <c:v>1.78447042310221E-2</c:v>
                      </c:pt>
                    </c:numCache>
                  </c:numRef>
                </c:yVal>
                <c:smooth val="0"/>
                <c:extLst xmlns:c15="http://schemas.microsoft.com/office/drawing/2012/chart">
                  <c:ext xmlns:c16="http://schemas.microsoft.com/office/drawing/2014/chart" uri="{C3380CC4-5D6E-409C-BE32-E72D297353CC}">
                    <c16:uniqueId val="{00000023-0C63-4719-A94A-E03A31793F1B}"/>
                  </c:ext>
                </c:extLst>
              </c15:ser>
            </c15:filteredScatterSeries>
            <c15:filteredScatterSeries>
              <c15:ser>
                <c:idx val="25"/>
                <c:order val="19"/>
                <c:tx>
                  <c:v>LowFlow2Biofilm</c:v>
                </c:tx>
                <c:spPr>
                  <a:ln w="25400">
                    <a:noFill/>
                  </a:ln>
                </c:spPr>
                <c:xVal>
                  <c:numRef>
                    <c:extLst xmlns:c15="http://schemas.microsoft.com/office/drawing/2012/chart">
                      <c:ext xmlns:c15="http://schemas.microsoft.com/office/drawing/2012/chart" uri="{02D57815-91ED-43cb-92C2-25804820EDAC}">
                        <c15:formulaRef>
                          <c15:sqref>'[1]2lowflowHartlepoolBiofilm'!$L$8:$L$18</c15:sqref>
                        </c15:formulaRef>
                      </c:ext>
                    </c:extLst>
                    <c:numCache>
                      <c:formatCode>General</c:formatCode>
                      <c:ptCount val="11"/>
                      <c:pt idx="0">
                        <c:v>17100.447447447445</c:v>
                      </c:pt>
                      <c:pt idx="1">
                        <c:v>21803.070495495493</c:v>
                      </c:pt>
                      <c:pt idx="2">
                        <c:v>25223.159984984981</c:v>
                      </c:pt>
                      <c:pt idx="3">
                        <c:v>28215.738288288281</c:v>
                      </c:pt>
                      <c:pt idx="4">
                        <c:v>31635.827777777773</c:v>
                      </c:pt>
                      <c:pt idx="5">
                        <c:v>35483.428453453453</c:v>
                      </c:pt>
                      <c:pt idx="6">
                        <c:v>39331.029129129121</c:v>
                      </c:pt>
                      <c:pt idx="7">
                        <c:v>42751.11861861861</c:v>
                      </c:pt>
                      <c:pt idx="8">
                        <c:v>47453.741666666654</c:v>
                      </c:pt>
                      <c:pt idx="9">
                        <c:v>50446.319969969962</c:v>
                      </c:pt>
                      <c:pt idx="10">
                        <c:v>53438.898273273262</c:v>
                      </c:pt>
                    </c:numCache>
                  </c:numRef>
                </c:xVal>
                <c:yVal>
                  <c:numRef>
                    <c:extLst xmlns:c15="http://schemas.microsoft.com/office/drawing/2012/chart">
                      <c:ext xmlns:c15="http://schemas.microsoft.com/office/drawing/2012/chart" uri="{02D57815-91ED-43cb-92C2-25804820EDAC}">
                        <c15:formulaRef>
                          <c15:sqref>'[1]2lowflowHartlepoolBiofilm'!$O$8:$O$18</c15:sqref>
                        </c15:formulaRef>
                      </c:ext>
                    </c:extLst>
                    <c:numCache>
                      <c:formatCode>General</c:formatCode>
                      <c:ptCount val="11"/>
                      <c:pt idx="0">
                        <c:v>6.1254868938190286E-3</c:v>
                      </c:pt>
                      <c:pt idx="1">
                        <c:v>6.3490842247765833E-3</c:v>
                      </c:pt>
                      <c:pt idx="2">
                        <c:v>6.1711834485194813E-3</c:v>
                      </c:pt>
                      <c:pt idx="3">
                        <c:v>6.3543442850512583E-3</c:v>
                      </c:pt>
                      <c:pt idx="4">
                        <c:v>6.2014935570063687E-3</c:v>
                      </c:pt>
                      <c:pt idx="5">
                        <c:v>6.0953386310123826E-3</c:v>
                      </c:pt>
                      <c:pt idx="6">
                        <c:v>6.0990737191354595E-3</c:v>
                      </c:pt>
                      <c:pt idx="7">
                        <c:v>5.9232890717324871E-3</c:v>
                      </c:pt>
                      <c:pt idx="8">
                        <c:v>5.6727892545667714E-3</c:v>
                      </c:pt>
                      <c:pt idx="9">
                        <c:v>5.4766818604617268E-3</c:v>
                      </c:pt>
                      <c:pt idx="10">
                        <c:v>5.4081387566197962E-3</c:v>
                      </c:pt>
                    </c:numCache>
                  </c:numRef>
                </c:yVal>
                <c:smooth val="0"/>
                <c:extLst xmlns:c15="http://schemas.microsoft.com/office/drawing/2012/chart">
                  <c:ext xmlns:c16="http://schemas.microsoft.com/office/drawing/2014/chart" uri="{C3380CC4-5D6E-409C-BE32-E72D297353CC}">
                    <c16:uniqueId val="{00000024-0C63-4719-A94A-E03A31793F1B}"/>
                  </c:ext>
                </c:extLst>
              </c15:ser>
            </c15:filteredScatterSeries>
            <c15:filteredScatterSeries>
              <c15:ser>
                <c:idx val="26"/>
                <c:order val="20"/>
                <c:tx>
                  <c:v>HighFlow1Biofilm</c:v>
                </c:tx>
                <c:spPr>
                  <a:ln w="25400">
                    <a:noFill/>
                  </a:ln>
                </c:spPr>
                <c:xVal>
                  <c:numRef>
                    <c:extLst xmlns:c15="http://schemas.microsoft.com/office/drawing/2012/chart">
                      <c:ext xmlns:c15="http://schemas.microsoft.com/office/drawing/2012/chart" uri="{02D57815-91ED-43cb-92C2-25804820EDAC}">
                        <c15:formulaRef>
                          <c15:sqref>'[1]1highflowHartlepoolBiofilm'!$L$8:$L$18</c15:sqref>
                        </c15:formulaRef>
                      </c:ext>
                    </c:extLst>
                    <c:numCache>
                      <c:formatCode>General</c:formatCode>
                      <c:ptCount val="11"/>
                      <c:pt idx="0">
                        <c:v>17066.696564327489</c:v>
                      </c:pt>
                      <c:pt idx="1">
                        <c:v>21229.305482456144</c:v>
                      </c:pt>
                      <c:pt idx="2">
                        <c:v>24143.131725146202</c:v>
                      </c:pt>
                      <c:pt idx="3">
                        <c:v>27889.47975146199</c:v>
                      </c:pt>
                      <c:pt idx="4">
                        <c:v>32052.088669590645</c:v>
                      </c:pt>
                      <c:pt idx="5">
                        <c:v>35798.436695906435</c:v>
                      </c:pt>
                      <c:pt idx="6">
                        <c:v>38712.262938596497</c:v>
                      </c:pt>
                      <c:pt idx="7">
                        <c:v>42458.610964912288</c:v>
                      </c:pt>
                      <c:pt idx="8">
                        <c:v>45788.698099415204</c:v>
                      </c:pt>
                      <c:pt idx="9">
                        <c:v>48702.524342105266</c:v>
                      </c:pt>
                      <c:pt idx="10">
                        <c:v>51616.350584795327</c:v>
                      </c:pt>
                    </c:numCache>
                  </c:numRef>
                </c:xVal>
                <c:yVal>
                  <c:numRef>
                    <c:extLst xmlns:c15="http://schemas.microsoft.com/office/drawing/2012/chart">
                      <c:ext xmlns:c15="http://schemas.microsoft.com/office/drawing/2012/chart" uri="{02D57815-91ED-43cb-92C2-25804820EDAC}">
                        <c15:formulaRef>
                          <c15:sqref>'[1]1highflowHartlepoolBiofilm'!$O$8:$O$18</c15:sqref>
                        </c15:formulaRef>
                      </c:ext>
                    </c:extLst>
                    <c:numCache>
                      <c:formatCode>General</c:formatCode>
                      <c:ptCount val="11"/>
                      <c:pt idx="0">
                        <c:v>6.0736836220771969E-3</c:v>
                      </c:pt>
                      <c:pt idx="1">
                        <c:v>6.2146944743690811E-3</c:v>
                      </c:pt>
                      <c:pt idx="2">
                        <c:v>6.6014847514868531E-3</c:v>
                      </c:pt>
                      <c:pt idx="3">
                        <c:v>6.1622651460291724E-3</c:v>
                      </c:pt>
                      <c:pt idx="4">
                        <c:v>6.0579909725427461E-3</c:v>
                      </c:pt>
                      <c:pt idx="5">
                        <c:v>5.9815687345770941E-3</c:v>
                      </c:pt>
                      <c:pt idx="6">
                        <c:v>5.9533511070667478E-3</c:v>
                      </c:pt>
                      <c:pt idx="7">
                        <c:v>5.9712925875035627E-3</c:v>
                      </c:pt>
                      <c:pt idx="8">
                        <c:v>5.9314523231922224E-3</c:v>
                      </c:pt>
                      <c:pt idx="9">
                        <c:v>5.9636867064611424E-3</c:v>
                      </c:pt>
                      <c:pt idx="10">
                        <c:v>5.9506426825317151E-3</c:v>
                      </c:pt>
                    </c:numCache>
                  </c:numRef>
                </c:yVal>
                <c:smooth val="0"/>
                <c:extLst xmlns:c15="http://schemas.microsoft.com/office/drawing/2012/chart">
                  <c:ext xmlns:c16="http://schemas.microsoft.com/office/drawing/2014/chart" uri="{C3380CC4-5D6E-409C-BE32-E72D297353CC}">
                    <c16:uniqueId val="{00000025-0C63-4719-A94A-E03A31793F1B}"/>
                  </c:ext>
                </c:extLst>
              </c15:ser>
            </c15:filteredScatterSeries>
            <c15:filteredScatterSeries>
              <c15:ser>
                <c:idx val="27"/>
                <c:order val="21"/>
                <c:tx>
                  <c:v>HighFlow2Biofilm</c:v>
                </c:tx>
                <c:spPr>
                  <a:ln w="25400">
                    <a:noFill/>
                  </a:ln>
                </c:spPr>
                <c:xVal>
                  <c:numRef>
                    <c:extLst xmlns:c15="http://schemas.microsoft.com/office/drawing/2012/chart">
                      <c:ext xmlns:c15="http://schemas.microsoft.com/office/drawing/2012/chart" uri="{02D57815-91ED-43cb-92C2-25804820EDAC}">
                        <c15:formulaRef>
                          <c15:sqref>'[1]2highflowHartlepoolBiofilm'!$L$8:$L$18</c15:sqref>
                        </c15:formulaRef>
                      </c:ext>
                    </c:extLst>
                    <c:numCache>
                      <c:formatCode>General</c:formatCode>
                      <c:ptCount val="11"/>
                      <c:pt idx="0">
                        <c:v>16234.17478070176</c:v>
                      </c:pt>
                      <c:pt idx="1">
                        <c:v>19564.261915204683</c:v>
                      </c:pt>
                      <c:pt idx="2">
                        <c:v>23726.870833333338</c:v>
                      </c:pt>
                      <c:pt idx="3">
                        <c:v>26224.436184210532</c:v>
                      </c:pt>
                      <c:pt idx="4">
                        <c:v>29970.784210526319</c:v>
                      </c:pt>
                      <c:pt idx="5">
                        <c:v>34133.393128654978</c:v>
                      </c:pt>
                      <c:pt idx="6">
                        <c:v>37463.4802631579</c:v>
                      </c:pt>
                      <c:pt idx="7">
                        <c:v>40377.306505847955</c:v>
                      </c:pt>
                      <c:pt idx="8">
                        <c:v>43291.132748538017</c:v>
                      </c:pt>
                      <c:pt idx="9">
                        <c:v>47037.480774853808</c:v>
                      </c:pt>
                      <c:pt idx="10">
                        <c:v>52032.611476608196</c:v>
                      </c:pt>
                    </c:numCache>
                  </c:numRef>
                </c:xVal>
                <c:yVal>
                  <c:numRef>
                    <c:extLst xmlns:c15="http://schemas.microsoft.com/office/drawing/2012/chart">
                      <c:ext xmlns:c15="http://schemas.microsoft.com/office/drawing/2012/chart" uri="{02D57815-91ED-43cb-92C2-25804820EDAC}">
                        <c15:formulaRef>
                          <c15:sqref>'[1]2highflowHartlepoolBiofilm'!$O$8:$O$18</c15:sqref>
                        </c15:formulaRef>
                      </c:ext>
                    </c:extLst>
                    <c:numCache>
                      <c:formatCode>General</c:formatCode>
                      <c:ptCount val="11"/>
                      <c:pt idx="0">
                        <c:v>4.6455179925348972E-3</c:v>
                      </c:pt>
                      <c:pt idx="1">
                        <c:v>5.2184631645308373E-3</c:v>
                      </c:pt>
                      <c:pt idx="2">
                        <c:v>5.3846898742834822E-3</c:v>
                      </c:pt>
                      <c:pt idx="3">
                        <c:v>5.533689558116367E-3</c:v>
                      </c:pt>
                      <c:pt idx="4">
                        <c:v>5.4809253734460226E-3</c:v>
                      </c:pt>
                      <c:pt idx="5">
                        <c:v>5.1933722564785839E-3</c:v>
                      </c:pt>
                      <c:pt idx="6">
                        <c:v>5.2267008154562233E-3</c:v>
                      </c:pt>
                      <c:pt idx="7">
                        <c:v>5.2451899235133907E-3</c:v>
                      </c:pt>
                      <c:pt idx="8">
                        <c:v>5.1359223315332134E-3</c:v>
                      </c:pt>
                      <c:pt idx="9">
                        <c:v>4.964555038571363E-3</c:v>
                      </c:pt>
                      <c:pt idx="10">
                        <c:v>4.3769519700416031E-3</c:v>
                      </c:pt>
                    </c:numCache>
                  </c:numRef>
                </c:yVal>
                <c:smooth val="0"/>
                <c:extLst xmlns:c15="http://schemas.microsoft.com/office/drawing/2012/chart">
                  <c:ext xmlns:c16="http://schemas.microsoft.com/office/drawing/2014/chart" uri="{C3380CC4-5D6E-409C-BE32-E72D297353CC}">
                    <c16:uniqueId val="{00000026-0C63-4719-A94A-E03A31793F1B}"/>
                  </c:ext>
                </c:extLst>
              </c15:ser>
            </c15:filteredScatterSeries>
          </c:ext>
        </c:extLst>
      </c:scatterChart>
      <c:valAx>
        <c:axId val="2824779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2479648"/>
        <c:crosses val="autoZero"/>
        <c:crossBetween val="midCat"/>
      </c:valAx>
      <c:valAx>
        <c:axId val="282479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2477984"/>
        <c:crosses val="autoZero"/>
        <c:crossBetween val="midCat"/>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low flow 3</c:v>
          </c:tx>
          <c:spPr>
            <a:ln w="25400" cap="rnd">
              <a:noFill/>
              <a:round/>
            </a:ln>
            <a:effectLst/>
          </c:spPr>
          <c:marker>
            <c:symbol val="circle"/>
            <c:size val="5"/>
            <c:spPr>
              <a:solidFill>
                <a:schemeClr val="accent1"/>
              </a:solidFill>
              <a:ln w="9525">
                <a:solidFill>
                  <a:schemeClr val="accent1"/>
                </a:solidFill>
              </a:ln>
              <a:effectLst/>
            </c:spPr>
          </c:marker>
          <c:xVal>
            <c:numRef>
              <c:f>'1lowflow'!$L$8:$L$18</c:f>
              <c:numCache>
                <c:formatCode>0.0E+00</c:formatCode>
                <c:ptCount val="11"/>
                <c:pt idx="0">
                  <c:v>15086.426160303949</c:v>
                </c:pt>
                <c:pt idx="1">
                  <c:v>18557.509953635461</c:v>
                </c:pt>
                <c:pt idx="2">
                  <c:v>23060.553536426025</c:v>
                </c:pt>
                <c:pt idx="3">
                  <c:v>26502.360622555469</c:v>
                </c:pt>
                <c:pt idx="4">
                  <c:v>29410.854076769891</c:v>
                </c:pt>
                <c:pt idx="5">
                  <c:v>33375.548729294744</c:v>
                </c:pt>
                <c:pt idx="6">
                  <c:v>37354.431473417128</c:v>
                </c:pt>
                <c:pt idx="7">
                  <c:v>40297.735531614446</c:v>
                </c:pt>
                <c:pt idx="8">
                  <c:v>43781.931758187238</c:v>
                </c:pt>
                <c:pt idx="9">
                  <c:v>46688.956144955337</c:v>
                </c:pt>
                <c:pt idx="10">
                  <c:v>49806.545409764061</c:v>
                </c:pt>
              </c:numCache>
            </c:numRef>
          </c:xVal>
          <c:yVal>
            <c:numRef>
              <c:f>'1lowflow'!$P$8:$P$18</c:f>
              <c:numCache>
                <c:formatCode>0.000</c:formatCode>
                <c:ptCount val="11"/>
                <c:pt idx="0">
                  <c:v>2.1236959933993455E-2</c:v>
                </c:pt>
                <c:pt idx="1">
                  <c:v>2.1983848183955199E-2</c:v>
                </c:pt>
                <c:pt idx="2">
                  <c:v>2.260113822729215E-2</c:v>
                </c:pt>
                <c:pt idx="3">
                  <c:v>2.2164831522142273E-2</c:v>
                </c:pt>
                <c:pt idx="4">
                  <c:v>2.3273147656483539E-2</c:v>
                </c:pt>
                <c:pt idx="5">
                  <c:v>2.1057187790948062E-2</c:v>
                </c:pt>
                <c:pt idx="6">
                  <c:v>2.1325139131115986E-2</c:v>
                </c:pt>
                <c:pt idx="7">
                  <c:v>2.0488085552348267E-2</c:v>
                </c:pt>
                <c:pt idx="8">
                  <c:v>1.6212416988581061E-2</c:v>
                </c:pt>
                <c:pt idx="9">
                  <c:v>1.1395354838373234E-2</c:v>
                </c:pt>
                <c:pt idx="10">
                  <c:v>8.386800643759254E-3</c:v>
                </c:pt>
              </c:numCache>
            </c:numRef>
          </c:yVal>
          <c:smooth val="0"/>
          <c:extLst>
            <c:ext xmlns:c16="http://schemas.microsoft.com/office/drawing/2014/chart" uri="{C3380CC4-5D6E-409C-BE32-E72D297353CC}">
              <c16:uniqueId val="{00000000-E94B-4335-8818-11F756E17459}"/>
            </c:ext>
          </c:extLst>
        </c:ser>
        <c:ser>
          <c:idx val="1"/>
          <c:order val="1"/>
          <c:tx>
            <c:v>low flow 4</c:v>
          </c:tx>
          <c:spPr>
            <a:ln w="25400" cap="rnd">
              <a:noFill/>
              <a:round/>
            </a:ln>
            <a:effectLst/>
          </c:spPr>
          <c:marker>
            <c:symbol val="circle"/>
            <c:size val="5"/>
            <c:spPr>
              <a:solidFill>
                <a:schemeClr val="accent2"/>
              </a:solidFill>
              <a:ln w="9525">
                <a:solidFill>
                  <a:schemeClr val="accent2"/>
                </a:solidFill>
              </a:ln>
              <a:effectLst/>
            </c:spPr>
          </c:marker>
          <c:xVal>
            <c:numRef>
              <c:f>'2lowflow'!$L$8:$L$18</c:f>
              <c:numCache>
                <c:formatCode>0.0E+00</c:formatCode>
                <c:ptCount val="11"/>
                <c:pt idx="0">
                  <c:v>14264.395221837269</c:v>
                </c:pt>
                <c:pt idx="2">
                  <c:v>21278.686563893971</c:v>
                </c:pt>
                <c:pt idx="3">
                  <c:v>26625.705078418359</c:v>
                </c:pt>
                <c:pt idx="4">
                  <c:v>29794.458989530936</c:v>
                </c:pt>
                <c:pt idx="5">
                  <c:v>33131.63036178083</c:v>
                </c:pt>
                <c:pt idx="6">
                  <c:v>36502.48462879999</c:v>
                </c:pt>
                <c:pt idx="7">
                  <c:v>40660.846296579126</c:v>
                </c:pt>
                <c:pt idx="8">
                  <c:v>44179.980053855405</c:v>
                </c:pt>
                <c:pt idx="9">
                  <c:v>47288.172743160452</c:v>
                </c:pt>
                <c:pt idx="10">
                  <c:v>50255.634950659114</c:v>
                </c:pt>
              </c:numCache>
            </c:numRef>
          </c:xVal>
          <c:yVal>
            <c:numRef>
              <c:f>'2lowflow'!$P$8:$P$18</c:f>
              <c:numCache>
                <c:formatCode>0.000</c:formatCode>
                <c:ptCount val="11"/>
                <c:pt idx="0">
                  <c:v>1.5880047190864381E-2</c:v>
                </c:pt>
                <c:pt idx="1">
                  <c:v>0</c:v>
                </c:pt>
                <c:pt idx="2">
                  <c:v>1.6032660697081636E-2</c:v>
                </c:pt>
                <c:pt idx="3">
                  <c:v>1.699029662067612E-2</c:v>
                </c:pt>
                <c:pt idx="4">
                  <c:v>1.7374859142742768E-2</c:v>
                </c:pt>
                <c:pt idx="5">
                  <c:v>1.5879866409559455E-2</c:v>
                </c:pt>
                <c:pt idx="6">
                  <c:v>1.5196158840664211E-2</c:v>
                </c:pt>
                <c:pt idx="7">
                  <c:v>1.3521328693364486E-2</c:v>
                </c:pt>
                <c:pt idx="8">
                  <c:v>1.3111236231935861E-2</c:v>
                </c:pt>
                <c:pt idx="9">
                  <c:v>1.0797876888812976E-2</c:v>
                </c:pt>
                <c:pt idx="10">
                  <c:v>8.6013786832872651E-3</c:v>
                </c:pt>
              </c:numCache>
            </c:numRef>
          </c:yVal>
          <c:smooth val="0"/>
          <c:extLst>
            <c:ext xmlns:c16="http://schemas.microsoft.com/office/drawing/2014/chart" uri="{C3380CC4-5D6E-409C-BE32-E72D297353CC}">
              <c16:uniqueId val="{00000001-E94B-4335-8818-11F756E17459}"/>
            </c:ext>
          </c:extLst>
        </c:ser>
        <c:ser>
          <c:idx val="2"/>
          <c:order val="2"/>
          <c:tx>
            <c:v>high flow 3</c:v>
          </c:tx>
          <c:spPr>
            <a:ln w="25400" cap="rnd">
              <a:noFill/>
              <a:round/>
            </a:ln>
            <a:effectLst/>
          </c:spPr>
          <c:marker>
            <c:symbol val="circle"/>
            <c:size val="5"/>
            <c:spPr>
              <a:solidFill>
                <a:schemeClr val="accent3"/>
              </a:solidFill>
              <a:ln w="9525">
                <a:solidFill>
                  <a:schemeClr val="accent3"/>
                </a:solidFill>
              </a:ln>
              <a:effectLst/>
            </c:spPr>
          </c:marker>
          <c:xVal>
            <c:numRef>
              <c:f>'1highflow'!$L$8:$L$18</c:f>
              <c:numCache>
                <c:formatCode>0.0E+00</c:formatCode>
                <c:ptCount val="11"/>
                <c:pt idx="0">
                  <c:v>15454.936159680115</c:v>
                </c:pt>
                <c:pt idx="1">
                  <c:v>18524.368264082797</c:v>
                </c:pt>
                <c:pt idx="2">
                  <c:v>20631.751727995339</c:v>
                </c:pt>
                <c:pt idx="3">
                  <c:v>25048.996447219975</c:v>
                </c:pt>
                <c:pt idx="4">
                  <c:v>28198.78454255719</c:v>
                </c:pt>
                <c:pt idx="5">
                  <c:v>31265.403834949855</c:v>
                </c:pt>
                <c:pt idx="6">
                  <c:v>34259.694948025433</c:v>
                </c:pt>
                <c:pt idx="7">
                  <c:v>37034.499620913441</c:v>
                </c:pt>
                <c:pt idx="8">
                  <c:v>40360.125820300396</c:v>
                </c:pt>
                <c:pt idx="9">
                  <c:v>43639.079495168728</c:v>
                </c:pt>
                <c:pt idx="10">
                  <c:v>47969.923211297224</c:v>
                </c:pt>
              </c:numCache>
            </c:numRef>
          </c:xVal>
          <c:yVal>
            <c:numRef>
              <c:f>'1highflow'!$P$8:$P$18</c:f>
              <c:numCache>
                <c:formatCode>0.000</c:formatCode>
                <c:ptCount val="11"/>
                <c:pt idx="0">
                  <c:v>2.118122629213396E-2</c:v>
                </c:pt>
                <c:pt idx="1">
                  <c:v>2.5275383728235179E-2</c:v>
                </c:pt>
                <c:pt idx="2">
                  <c:v>2.1437874962880927E-2</c:v>
                </c:pt>
                <c:pt idx="3">
                  <c:v>2.006936889016455E-2</c:v>
                </c:pt>
                <c:pt idx="4">
                  <c:v>1.9333390550337389E-2</c:v>
                </c:pt>
                <c:pt idx="5">
                  <c:v>1.7341286901444108E-2</c:v>
                </c:pt>
                <c:pt idx="6">
                  <c:v>1.9050125250185922E-2</c:v>
                </c:pt>
                <c:pt idx="7">
                  <c:v>1.8021280451854107E-2</c:v>
                </c:pt>
                <c:pt idx="8">
                  <c:v>1.4847060436247846E-2</c:v>
                </c:pt>
                <c:pt idx="9">
                  <c:v>1.0208002969185895E-2</c:v>
                </c:pt>
                <c:pt idx="10">
                  <c:v>7.5773745920065527E-3</c:v>
                </c:pt>
              </c:numCache>
            </c:numRef>
          </c:yVal>
          <c:smooth val="0"/>
          <c:extLst>
            <c:ext xmlns:c16="http://schemas.microsoft.com/office/drawing/2014/chart" uri="{C3380CC4-5D6E-409C-BE32-E72D297353CC}">
              <c16:uniqueId val="{00000002-E94B-4335-8818-11F756E17459}"/>
            </c:ext>
          </c:extLst>
        </c:ser>
        <c:ser>
          <c:idx val="3"/>
          <c:order val="3"/>
          <c:tx>
            <c:v>high flow 4</c:v>
          </c:tx>
          <c:spPr>
            <a:ln w="25400" cap="rnd">
              <a:noFill/>
              <a:round/>
            </a:ln>
            <a:effectLst/>
          </c:spPr>
          <c:marker>
            <c:symbol val="circle"/>
            <c:size val="5"/>
            <c:spPr>
              <a:solidFill>
                <a:schemeClr val="accent4"/>
              </a:solidFill>
              <a:ln w="9525">
                <a:solidFill>
                  <a:schemeClr val="accent4"/>
                </a:solidFill>
              </a:ln>
              <a:effectLst/>
            </c:spPr>
          </c:marker>
          <c:xVal>
            <c:numRef>
              <c:f>'2highflow'!$L$8:$L$18</c:f>
              <c:numCache>
                <c:formatCode>0.0E+00</c:formatCode>
                <c:ptCount val="11"/>
                <c:pt idx="0">
                  <c:v>14235.074615581883</c:v>
                </c:pt>
                <c:pt idx="1">
                  <c:v>17784.19117252437</c:v>
                </c:pt>
                <c:pt idx="2">
                  <c:v>20635.121088169126</c:v>
                </c:pt>
                <c:pt idx="3">
                  <c:v>25328.87781493273</c:v>
                </c:pt>
                <c:pt idx="4">
                  <c:v>29245.84218112973</c:v>
                </c:pt>
                <c:pt idx="5">
                  <c:v>32490.733597588063</c:v>
                </c:pt>
                <c:pt idx="6">
                  <c:v>35642.4334047722</c:v>
                </c:pt>
                <c:pt idx="7">
                  <c:v>38930.57589305914</c:v>
                </c:pt>
                <c:pt idx="8">
                  <c:v>40193.15185576061</c:v>
                </c:pt>
                <c:pt idx="9">
                  <c:v>45478.337961884761</c:v>
                </c:pt>
                <c:pt idx="10">
                  <c:v>48810.402891542297</c:v>
                </c:pt>
              </c:numCache>
            </c:numRef>
          </c:xVal>
          <c:yVal>
            <c:numRef>
              <c:f>'2highflow'!$P$8:$P$18</c:f>
              <c:numCache>
                <c:formatCode>0.000</c:formatCode>
                <c:ptCount val="11"/>
                <c:pt idx="0">
                  <c:v>1.3837930544144962E-2</c:v>
                </c:pt>
                <c:pt idx="1">
                  <c:v>1.5655029549229742E-2</c:v>
                </c:pt>
                <c:pt idx="2">
                  <c:v>1.3978268853639314E-2</c:v>
                </c:pt>
                <c:pt idx="3">
                  <c:v>1.362129752258882E-2</c:v>
                </c:pt>
                <c:pt idx="4">
                  <c:v>1.332073756197528E-2</c:v>
                </c:pt>
                <c:pt idx="5">
                  <c:v>1.4947071448769915E-2</c:v>
                </c:pt>
                <c:pt idx="6">
                  <c:v>1.387095806064869E-2</c:v>
                </c:pt>
                <c:pt idx="7">
                  <c:v>1.4161739073143494E-2</c:v>
                </c:pt>
                <c:pt idx="8">
                  <c:v>1.0897909105995614E-2</c:v>
                </c:pt>
                <c:pt idx="9">
                  <c:v>1.0476800793151273E-2</c:v>
                </c:pt>
                <c:pt idx="10">
                  <c:v>7.791895615189357E-3</c:v>
                </c:pt>
              </c:numCache>
            </c:numRef>
          </c:yVal>
          <c:smooth val="0"/>
          <c:extLst>
            <c:ext xmlns:c16="http://schemas.microsoft.com/office/drawing/2014/chart" uri="{C3380CC4-5D6E-409C-BE32-E72D297353CC}">
              <c16:uniqueId val="{00000003-E94B-4335-8818-11F756E17459}"/>
            </c:ext>
          </c:extLst>
        </c:ser>
        <c:dLbls>
          <c:showLegendKey val="0"/>
          <c:showVal val="0"/>
          <c:showCatName val="0"/>
          <c:showSerName val="0"/>
          <c:showPercent val="0"/>
          <c:showBubbleSize val="0"/>
        </c:dLbls>
        <c:axId val="1492214336"/>
        <c:axId val="1492220160"/>
      </c:scatterChart>
      <c:valAx>
        <c:axId val="1492214336"/>
        <c:scaling>
          <c:orientation val="minMax"/>
        </c:scaling>
        <c:delete val="0"/>
        <c:axPos val="b"/>
        <c:majorGridlines>
          <c:spPr>
            <a:ln w="9525" cap="flat" cmpd="sng" algn="ctr">
              <a:solidFill>
                <a:schemeClr val="tx1">
                  <a:lumMod val="15000"/>
                  <a:lumOff val="85000"/>
                </a:schemeClr>
              </a:solidFill>
              <a:round/>
            </a:ln>
            <a:effectLst/>
          </c:spPr>
        </c:majorGridlines>
        <c:numFmt formatCode="0.0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2220160"/>
        <c:crosses val="autoZero"/>
        <c:crossBetween val="midCat"/>
      </c:valAx>
      <c:valAx>
        <c:axId val="1492220160"/>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922143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1"/>
          <c:order val="3"/>
          <c:tx>
            <c:v>Rigid P240</c:v>
          </c:tx>
          <c:spPr>
            <a:ln w="25400">
              <a:noFill/>
            </a:ln>
          </c:spPr>
          <c:xVal>
            <c:numRef>
              <c:f>'[1]EF25 P240 AVGS'!$L$8:$L$12</c:f>
              <c:numCache>
                <c:formatCode>General</c:formatCode>
                <c:ptCount val="5"/>
                <c:pt idx="0">
                  <c:v>24959.435551948049</c:v>
                </c:pt>
                <c:pt idx="1">
                  <c:v>32971.106222943716</c:v>
                </c:pt>
                <c:pt idx="2">
                  <c:v>40212.423944805189</c:v>
                </c:pt>
                <c:pt idx="3">
                  <c:v>46837.459307359313</c:v>
                </c:pt>
                <c:pt idx="4">
                  <c:v>51767.718181818185</c:v>
                </c:pt>
              </c:numCache>
            </c:numRef>
          </c:xVal>
          <c:yVal>
            <c:numRef>
              <c:f>'[1]EF25 P240 AVGS'!$O$8:$O$12</c:f>
              <c:numCache>
                <c:formatCode>General</c:formatCode>
                <c:ptCount val="5"/>
                <c:pt idx="0">
                  <c:v>8.2918058912631841E-3</c:v>
                </c:pt>
                <c:pt idx="1">
                  <c:v>8.0103373727871859E-3</c:v>
                </c:pt>
                <c:pt idx="2">
                  <c:v>7.8994868078460165E-3</c:v>
                </c:pt>
                <c:pt idx="3">
                  <c:v>7.1540356801380782E-3</c:v>
                </c:pt>
                <c:pt idx="4">
                  <c:v>6.1201523299938771E-3</c:v>
                </c:pt>
              </c:numCache>
            </c:numRef>
          </c:yVal>
          <c:smooth val="0"/>
          <c:extLst>
            <c:ext xmlns:c16="http://schemas.microsoft.com/office/drawing/2014/chart" uri="{C3380CC4-5D6E-409C-BE32-E72D297353CC}">
              <c16:uniqueId val="{0000003D-889F-40EB-8887-33DA49C2A47B}"/>
            </c:ext>
          </c:extLst>
        </c:ser>
        <c:ser>
          <c:idx val="14"/>
          <c:order val="6"/>
          <c:tx>
            <c:v>Elastomer P40</c:v>
          </c:tx>
          <c:spPr>
            <a:ln w="19050">
              <a:noFill/>
            </a:ln>
          </c:spPr>
          <c:xVal>
            <c:numRef>
              <c:f>'[1]MMHSE P40 AVGS'!$L$8:$L$13</c:f>
              <c:numCache>
                <c:formatCode>General</c:formatCode>
                <c:ptCount val="6"/>
                <c:pt idx="0">
                  <c:v>13320.348538011694</c:v>
                </c:pt>
                <c:pt idx="1">
                  <c:v>19770.201514312095</c:v>
                </c:pt>
                <c:pt idx="2">
                  <c:v>25518.983514927677</c:v>
                </c:pt>
                <c:pt idx="3">
                  <c:v>31548.193905817174</c:v>
                </c:pt>
                <c:pt idx="4">
                  <c:v>36736.119125884892</c:v>
                </c:pt>
                <c:pt idx="5">
                  <c:v>44167.471468144046</c:v>
                </c:pt>
              </c:numCache>
            </c:numRef>
          </c:xVal>
          <c:yVal>
            <c:numRef>
              <c:f>'[1]MMHSE P40 AVGS'!$O$8:$O$13</c:f>
              <c:numCache>
                <c:formatCode>General</c:formatCode>
                <c:ptCount val="6"/>
                <c:pt idx="0">
                  <c:v>1.4202500335449595E-2</c:v>
                </c:pt>
                <c:pt idx="1">
                  <c:v>1.5008220187502492E-2</c:v>
                </c:pt>
                <c:pt idx="2">
                  <c:v>1.5006721088056956E-2</c:v>
                </c:pt>
                <c:pt idx="3">
                  <c:v>1.4420842650896113E-2</c:v>
                </c:pt>
                <c:pt idx="4">
                  <c:v>1.2274729939700709E-2</c:v>
                </c:pt>
                <c:pt idx="5">
                  <c:v>7.1106485889659296E-3</c:v>
                </c:pt>
              </c:numCache>
            </c:numRef>
          </c:yVal>
          <c:smooth val="0"/>
          <c:extLst>
            <c:ext xmlns:c16="http://schemas.microsoft.com/office/drawing/2014/chart" uri="{C3380CC4-5D6E-409C-BE32-E72D297353CC}">
              <c16:uniqueId val="{00000040-889F-40EB-8887-33DA49C2A47B}"/>
            </c:ext>
          </c:extLst>
        </c:ser>
        <c:ser>
          <c:idx val="15"/>
          <c:order val="7"/>
          <c:tx>
            <c:v>Elastomer P80</c:v>
          </c:tx>
          <c:spPr>
            <a:ln w="19050">
              <a:noFill/>
            </a:ln>
          </c:spPr>
          <c:xVal>
            <c:numRef>
              <c:f>'[1]MMHSE P80 AVGS'!$L$8:$L$11</c:f>
              <c:numCache>
                <c:formatCode>General</c:formatCode>
                <c:ptCount val="4"/>
                <c:pt idx="0">
                  <c:v>18801.896461659773</c:v>
                </c:pt>
                <c:pt idx="1">
                  <c:v>24835.340848610296</c:v>
                </c:pt>
                <c:pt idx="2">
                  <c:v>30447.8472550759</c:v>
                </c:pt>
                <c:pt idx="3">
                  <c:v>34727.383390005925</c:v>
                </c:pt>
              </c:numCache>
            </c:numRef>
          </c:xVal>
          <c:yVal>
            <c:numRef>
              <c:f>'[1]MMHSE P80 AVGS'!$O$8:$O$11</c:f>
              <c:numCache>
                <c:formatCode>General</c:formatCode>
                <c:ptCount val="4"/>
                <c:pt idx="0">
                  <c:v>1.6904693184688124E-2</c:v>
                </c:pt>
                <c:pt idx="1">
                  <c:v>1.6167390968992418E-2</c:v>
                </c:pt>
                <c:pt idx="2">
                  <c:v>1.5215475539243689E-2</c:v>
                </c:pt>
                <c:pt idx="3">
                  <c:v>9.2263514973087574E-3</c:v>
                </c:pt>
              </c:numCache>
            </c:numRef>
          </c:yVal>
          <c:smooth val="0"/>
          <c:extLst>
            <c:ext xmlns:c16="http://schemas.microsoft.com/office/drawing/2014/chart" uri="{C3380CC4-5D6E-409C-BE32-E72D297353CC}">
              <c16:uniqueId val="{00000041-889F-40EB-8887-33DA49C2A47B}"/>
            </c:ext>
          </c:extLst>
        </c:ser>
        <c:ser>
          <c:idx val="16"/>
          <c:order val="8"/>
          <c:tx>
            <c:v>Elastomer P240</c:v>
          </c:tx>
          <c:spPr>
            <a:ln w="25400">
              <a:solidFill>
                <a:schemeClr val="accent1">
                  <a:lumMod val="60000"/>
                </a:schemeClr>
              </a:solidFill>
            </a:ln>
          </c:spPr>
          <c:xVal>
            <c:numRef>
              <c:f>'[1]MMHSE P240 AVG'!$L$8:$L$11</c:f>
              <c:numCache>
                <c:formatCode>General</c:formatCode>
                <c:ptCount val="4"/>
                <c:pt idx="0">
                  <c:v>18828.41348329734</c:v>
                </c:pt>
                <c:pt idx="1">
                  <c:v>24891.800876223599</c:v>
                </c:pt>
                <c:pt idx="2">
                  <c:v>31832.783812862872</c:v>
                </c:pt>
                <c:pt idx="3">
                  <c:v>37816.389792724316</c:v>
                </c:pt>
              </c:numCache>
            </c:numRef>
          </c:xVal>
          <c:yVal>
            <c:numRef>
              <c:f>'[1]MMHSE P240 AVG'!$O$8:$O$11</c:f>
              <c:numCache>
                <c:formatCode>General</c:formatCode>
                <c:ptCount val="4"/>
                <c:pt idx="0">
                  <c:v>1.438557933187895E-2</c:v>
                </c:pt>
                <c:pt idx="1">
                  <c:v>1.3673141980240184E-2</c:v>
                </c:pt>
                <c:pt idx="2">
                  <c:v>9.9228677402318291E-3</c:v>
                </c:pt>
                <c:pt idx="3">
                  <c:v>1.000637253343376E-2</c:v>
                </c:pt>
              </c:numCache>
            </c:numRef>
          </c:yVal>
          <c:smooth val="0"/>
          <c:extLst>
            <c:ext xmlns:c16="http://schemas.microsoft.com/office/drawing/2014/chart" uri="{C3380CC4-5D6E-409C-BE32-E72D297353CC}">
              <c16:uniqueId val="{00000042-889F-40EB-8887-33DA49C2A47B}"/>
            </c:ext>
          </c:extLst>
        </c:ser>
        <c:ser>
          <c:idx val="17"/>
          <c:order val="9"/>
          <c:tx>
            <c:v>Elastomer Smooth</c:v>
          </c:tx>
          <c:spPr>
            <a:ln w="19050">
              <a:noFill/>
            </a:ln>
          </c:spPr>
          <c:xVal>
            <c:numRef>
              <c:f>'[1]MMHSE flat AVG'!$L$7:$L$12</c:f>
              <c:numCache>
                <c:formatCode>General</c:formatCode>
                <c:ptCount val="6"/>
                <c:pt idx="0">
                  <c:v>16791.76035066746</c:v>
                </c:pt>
                <c:pt idx="1">
                  <c:v>24733.809165172341</c:v>
                </c:pt>
                <c:pt idx="2">
                  <c:v>31541.279577605099</c:v>
                </c:pt>
                <c:pt idx="3">
                  <c:v>38802.581350866705</c:v>
                </c:pt>
                <c:pt idx="4">
                  <c:v>46971.545845786015</c:v>
                </c:pt>
                <c:pt idx="5">
                  <c:v>52871.353536561066</c:v>
                </c:pt>
              </c:numCache>
            </c:numRef>
          </c:xVal>
          <c:yVal>
            <c:numRef>
              <c:f>'[1]MMHSE flat AVG'!$O$7:$O$12</c:f>
              <c:numCache>
                <c:formatCode>General</c:formatCode>
                <c:ptCount val="6"/>
                <c:pt idx="0">
                  <c:v>9.5924628430963041E-3</c:v>
                </c:pt>
                <c:pt idx="1">
                  <c:v>7.9919512554307154E-3</c:v>
                </c:pt>
                <c:pt idx="2">
                  <c:v>7.6143534622810276E-3</c:v>
                </c:pt>
                <c:pt idx="3">
                  <c:v>7.2699028256832353E-3</c:v>
                </c:pt>
                <c:pt idx="4">
                  <c:v>6.8600008124494851E-3</c:v>
                </c:pt>
                <c:pt idx="5">
                  <c:v>6.5583043169987199E-3</c:v>
                </c:pt>
              </c:numCache>
            </c:numRef>
          </c:yVal>
          <c:smooth val="0"/>
          <c:extLst>
            <c:ext xmlns:c16="http://schemas.microsoft.com/office/drawing/2014/chart" uri="{C3380CC4-5D6E-409C-BE32-E72D297353CC}">
              <c16:uniqueId val="{00000043-889F-40EB-8887-33DA49C2A47B}"/>
            </c:ext>
          </c:extLst>
        </c:ser>
        <c:ser>
          <c:idx val="22"/>
          <c:order val="11"/>
          <c:tx>
            <c:v>LowFlow2Biofilm</c:v>
          </c:tx>
          <c:spPr>
            <a:ln w="19050">
              <a:noFill/>
            </a:ln>
          </c:spPr>
          <c:xVal>
            <c:numRef>
              <c:f>'[1]2lowflowHartlepoolBiofilm'!$L$8:$L$18</c:f>
              <c:numCache>
                <c:formatCode>General</c:formatCode>
                <c:ptCount val="11"/>
                <c:pt idx="0">
                  <c:v>17100.447447447445</c:v>
                </c:pt>
                <c:pt idx="1">
                  <c:v>21803.070495495493</c:v>
                </c:pt>
                <c:pt idx="2">
                  <c:v>25223.159984984981</c:v>
                </c:pt>
                <c:pt idx="3">
                  <c:v>28215.738288288281</c:v>
                </c:pt>
                <c:pt idx="4">
                  <c:v>31635.827777777773</c:v>
                </c:pt>
                <c:pt idx="5">
                  <c:v>35483.428453453453</c:v>
                </c:pt>
                <c:pt idx="6">
                  <c:v>39331.029129129121</c:v>
                </c:pt>
                <c:pt idx="7">
                  <c:v>42751.11861861861</c:v>
                </c:pt>
                <c:pt idx="8">
                  <c:v>47453.741666666654</c:v>
                </c:pt>
                <c:pt idx="9">
                  <c:v>50446.319969969962</c:v>
                </c:pt>
                <c:pt idx="10">
                  <c:v>53438.898273273262</c:v>
                </c:pt>
              </c:numCache>
            </c:numRef>
          </c:xVal>
          <c:yVal>
            <c:numRef>
              <c:f>'[1]2lowflowHartlepoolBiofilm'!$O$8:$O$18</c:f>
              <c:numCache>
                <c:formatCode>General</c:formatCode>
                <c:ptCount val="11"/>
                <c:pt idx="0">
                  <c:v>6.1254868938190286E-3</c:v>
                </c:pt>
                <c:pt idx="1">
                  <c:v>6.3490842247765833E-3</c:v>
                </c:pt>
                <c:pt idx="2">
                  <c:v>6.1711834485194813E-3</c:v>
                </c:pt>
                <c:pt idx="3">
                  <c:v>6.3543442850512583E-3</c:v>
                </c:pt>
                <c:pt idx="4">
                  <c:v>6.2014935570063687E-3</c:v>
                </c:pt>
                <c:pt idx="5">
                  <c:v>6.0953386310123826E-3</c:v>
                </c:pt>
                <c:pt idx="6">
                  <c:v>6.0990737191354595E-3</c:v>
                </c:pt>
                <c:pt idx="7">
                  <c:v>5.9232890717324871E-3</c:v>
                </c:pt>
                <c:pt idx="8">
                  <c:v>5.6727892545667714E-3</c:v>
                </c:pt>
                <c:pt idx="9">
                  <c:v>5.4766818604617268E-3</c:v>
                </c:pt>
                <c:pt idx="10">
                  <c:v>5.4081387566197962E-3</c:v>
                </c:pt>
              </c:numCache>
            </c:numRef>
          </c:yVal>
          <c:smooth val="0"/>
          <c:extLst>
            <c:ext xmlns:c16="http://schemas.microsoft.com/office/drawing/2014/chart" uri="{C3380CC4-5D6E-409C-BE32-E72D297353CC}">
              <c16:uniqueId val="{00000048-889F-40EB-8887-33DA49C2A47B}"/>
            </c:ext>
          </c:extLst>
        </c:ser>
        <c:ser>
          <c:idx val="23"/>
          <c:order val="12"/>
          <c:tx>
            <c:v>HighFlow1Biofilm</c:v>
          </c:tx>
          <c:spPr>
            <a:ln w="25400">
              <a:noFill/>
            </a:ln>
          </c:spPr>
          <c:xVal>
            <c:numRef>
              <c:f>'[1]1highflowHartlepoolBiofilm'!$L$8:$L$18</c:f>
              <c:numCache>
                <c:formatCode>General</c:formatCode>
                <c:ptCount val="11"/>
                <c:pt idx="0">
                  <c:v>17066.696564327489</c:v>
                </c:pt>
                <c:pt idx="1">
                  <c:v>21229.305482456144</c:v>
                </c:pt>
                <c:pt idx="2">
                  <c:v>24143.131725146202</c:v>
                </c:pt>
                <c:pt idx="3">
                  <c:v>27889.47975146199</c:v>
                </c:pt>
                <c:pt idx="4">
                  <c:v>32052.088669590645</c:v>
                </c:pt>
                <c:pt idx="5">
                  <c:v>35798.436695906435</c:v>
                </c:pt>
                <c:pt idx="6">
                  <c:v>38712.262938596497</c:v>
                </c:pt>
                <c:pt idx="7">
                  <c:v>42458.610964912288</c:v>
                </c:pt>
                <c:pt idx="8">
                  <c:v>45788.698099415204</c:v>
                </c:pt>
                <c:pt idx="9">
                  <c:v>48702.524342105266</c:v>
                </c:pt>
                <c:pt idx="10">
                  <c:v>51616.350584795327</c:v>
                </c:pt>
              </c:numCache>
            </c:numRef>
          </c:xVal>
          <c:yVal>
            <c:numRef>
              <c:f>'[1]1highflowHartlepoolBiofilm'!$O$8:$O$18</c:f>
              <c:numCache>
                <c:formatCode>General</c:formatCode>
                <c:ptCount val="11"/>
                <c:pt idx="0">
                  <c:v>6.0736836220771969E-3</c:v>
                </c:pt>
                <c:pt idx="1">
                  <c:v>6.2146944743690811E-3</c:v>
                </c:pt>
                <c:pt idx="2">
                  <c:v>6.6014847514868531E-3</c:v>
                </c:pt>
                <c:pt idx="3">
                  <c:v>6.1622651460291724E-3</c:v>
                </c:pt>
                <c:pt idx="4">
                  <c:v>6.0579909725427461E-3</c:v>
                </c:pt>
                <c:pt idx="5">
                  <c:v>5.9815687345770941E-3</c:v>
                </c:pt>
                <c:pt idx="6">
                  <c:v>5.9533511070667478E-3</c:v>
                </c:pt>
                <c:pt idx="7">
                  <c:v>5.9712925875035627E-3</c:v>
                </c:pt>
                <c:pt idx="8">
                  <c:v>5.9314523231922224E-3</c:v>
                </c:pt>
                <c:pt idx="9">
                  <c:v>5.9636867064611424E-3</c:v>
                </c:pt>
                <c:pt idx="10">
                  <c:v>5.9506426825317151E-3</c:v>
                </c:pt>
              </c:numCache>
            </c:numRef>
          </c:yVal>
          <c:smooth val="0"/>
          <c:extLst>
            <c:ext xmlns:c16="http://schemas.microsoft.com/office/drawing/2014/chart" uri="{C3380CC4-5D6E-409C-BE32-E72D297353CC}">
              <c16:uniqueId val="{00000049-889F-40EB-8887-33DA49C2A47B}"/>
            </c:ext>
          </c:extLst>
        </c:ser>
        <c:ser>
          <c:idx val="24"/>
          <c:order val="13"/>
          <c:tx>
            <c:v>HighFlow2Biofilm</c:v>
          </c:tx>
          <c:spPr>
            <a:ln w="25400">
              <a:noFill/>
            </a:ln>
          </c:spPr>
          <c:xVal>
            <c:numRef>
              <c:f>'[1]2highflowHartlepoolBiofilm'!$L$8:$L$18</c:f>
              <c:numCache>
                <c:formatCode>General</c:formatCode>
                <c:ptCount val="11"/>
                <c:pt idx="0">
                  <c:v>16234.17478070176</c:v>
                </c:pt>
                <c:pt idx="1">
                  <c:v>19564.261915204683</c:v>
                </c:pt>
                <c:pt idx="2">
                  <c:v>23726.870833333338</c:v>
                </c:pt>
                <c:pt idx="3">
                  <c:v>26224.436184210532</c:v>
                </c:pt>
                <c:pt idx="4">
                  <c:v>29970.784210526319</c:v>
                </c:pt>
                <c:pt idx="5">
                  <c:v>34133.393128654978</c:v>
                </c:pt>
                <c:pt idx="6">
                  <c:v>37463.4802631579</c:v>
                </c:pt>
                <c:pt idx="7">
                  <c:v>40377.306505847955</c:v>
                </c:pt>
                <c:pt idx="8">
                  <c:v>43291.132748538017</c:v>
                </c:pt>
                <c:pt idx="9">
                  <c:v>47037.480774853808</c:v>
                </c:pt>
                <c:pt idx="10">
                  <c:v>52032.611476608196</c:v>
                </c:pt>
              </c:numCache>
            </c:numRef>
          </c:xVal>
          <c:yVal>
            <c:numRef>
              <c:f>'[1]2highflowHartlepoolBiofilm'!$O$8:$O$18</c:f>
              <c:numCache>
                <c:formatCode>General</c:formatCode>
                <c:ptCount val="11"/>
                <c:pt idx="0">
                  <c:v>4.6455179925348972E-3</c:v>
                </c:pt>
                <c:pt idx="1">
                  <c:v>5.2184631645308373E-3</c:v>
                </c:pt>
                <c:pt idx="2">
                  <c:v>5.3846898742834822E-3</c:v>
                </c:pt>
                <c:pt idx="3">
                  <c:v>5.533689558116367E-3</c:v>
                </c:pt>
                <c:pt idx="4">
                  <c:v>5.4809253734460226E-3</c:v>
                </c:pt>
                <c:pt idx="5">
                  <c:v>5.1933722564785839E-3</c:v>
                </c:pt>
                <c:pt idx="6">
                  <c:v>5.2267008154562233E-3</c:v>
                </c:pt>
                <c:pt idx="7">
                  <c:v>5.2451899235133907E-3</c:v>
                </c:pt>
                <c:pt idx="8">
                  <c:v>5.1359223315332134E-3</c:v>
                </c:pt>
                <c:pt idx="9">
                  <c:v>4.964555038571363E-3</c:v>
                </c:pt>
                <c:pt idx="10">
                  <c:v>4.3769519700416031E-3</c:v>
                </c:pt>
              </c:numCache>
            </c:numRef>
          </c:yVal>
          <c:smooth val="0"/>
          <c:extLst>
            <c:ext xmlns:c16="http://schemas.microsoft.com/office/drawing/2014/chart" uri="{C3380CC4-5D6E-409C-BE32-E72D297353CC}">
              <c16:uniqueId val="{0000004A-889F-40EB-8887-33DA49C2A47B}"/>
            </c:ext>
          </c:extLst>
        </c:ser>
        <c:ser>
          <c:idx val="29"/>
          <c:order val="18"/>
          <c:tx>
            <c:v>PVC 3</c:v>
          </c:tx>
          <c:spPr>
            <a:ln w="25400" cap="rnd">
              <a:noFill/>
              <a:round/>
            </a:ln>
            <a:effectLst/>
          </c:spPr>
          <c:xVal>
            <c:numRef>
              <c:f>'smoothPVC (3)'!$L$8:$L$18</c:f>
              <c:numCache>
                <c:formatCode>0.0E+00</c:formatCode>
                <c:ptCount val="11"/>
                <c:pt idx="0">
                  <c:v>15817.913888888887</c:v>
                </c:pt>
                <c:pt idx="1">
                  <c:v>18893.619367283951</c:v>
                </c:pt>
                <c:pt idx="2">
                  <c:v>22408.711342592593</c:v>
                </c:pt>
                <c:pt idx="3">
                  <c:v>26363.189814814814</c:v>
                </c:pt>
                <c:pt idx="4">
                  <c:v>29438.895293209873</c:v>
                </c:pt>
                <c:pt idx="5">
                  <c:v>32514.600771604935</c:v>
                </c:pt>
                <c:pt idx="6">
                  <c:v>36469.07924382716</c:v>
                </c:pt>
                <c:pt idx="7">
                  <c:v>39544.784722222219</c:v>
                </c:pt>
                <c:pt idx="8">
                  <c:v>43059.876697530861</c:v>
                </c:pt>
                <c:pt idx="9">
                  <c:v>46574.968672839503</c:v>
                </c:pt>
                <c:pt idx="10">
                  <c:v>49211.287654320979</c:v>
                </c:pt>
              </c:numCache>
            </c:numRef>
          </c:xVal>
          <c:yVal>
            <c:numRef>
              <c:f>'smoothPVC (3)'!$O$8:$O$18</c:f>
              <c:numCache>
                <c:formatCode>0.000</c:formatCode>
                <c:ptCount val="11"/>
                <c:pt idx="0">
                  <c:v>7.1147813848673278E-3</c:v>
                </c:pt>
                <c:pt idx="1">
                  <c:v>7.2863568014363712E-3</c:v>
                </c:pt>
                <c:pt idx="2">
                  <c:v>7.1172430949041935E-3</c:v>
                </c:pt>
                <c:pt idx="3">
                  <c:v>6.5200882091631584E-3</c:v>
                </c:pt>
                <c:pt idx="4">
                  <c:v>6.5558373039927252E-3</c:v>
                </c:pt>
                <c:pt idx="5">
                  <c:v>6.5107341024713133E-3</c:v>
                </c:pt>
                <c:pt idx="6">
                  <c:v>6.3250388368889963E-3</c:v>
                </c:pt>
                <c:pt idx="7">
                  <c:v>6.5034187069277424E-3</c:v>
                </c:pt>
                <c:pt idx="8">
                  <c:v>6.2898996549063521E-3</c:v>
                </c:pt>
                <c:pt idx="9">
                  <c:v>6.2805012144920361E-3</c:v>
                </c:pt>
                <c:pt idx="10">
                  <c:v>6.207379432015347E-3</c:v>
                </c:pt>
              </c:numCache>
            </c:numRef>
          </c:yVal>
          <c:smooth val="0"/>
          <c:extLst>
            <c:ext xmlns:c16="http://schemas.microsoft.com/office/drawing/2014/chart" uri="{C3380CC4-5D6E-409C-BE32-E72D297353CC}">
              <c16:uniqueId val="{0000004F-889F-40EB-8887-33DA49C2A47B}"/>
            </c:ext>
          </c:extLst>
        </c:ser>
        <c:ser>
          <c:idx val="30"/>
          <c:order val="19"/>
          <c:tx>
            <c:v>PVC 2</c:v>
          </c:tx>
          <c:spPr>
            <a:ln w="25400" cap="rnd">
              <a:noFill/>
              <a:round/>
            </a:ln>
            <a:effectLst/>
          </c:spPr>
          <c:xVal>
            <c:numRef>
              <c:f>'smoothPVC (2)'!$L$8:$L$18</c:f>
              <c:numCache>
                <c:formatCode>0.0E+00</c:formatCode>
                <c:ptCount val="11"/>
                <c:pt idx="0">
                  <c:v>13181.594907407407</c:v>
                </c:pt>
                <c:pt idx="1">
                  <c:v>17136.07337962963</c:v>
                </c:pt>
                <c:pt idx="2">
                  <c:v>21969.324845679006</c:v>
                </c:pt>
                <c:pt idx="3">
                  <c:v>25484.416820987655</c:v>
                </c:pt>
                <c:pt idx="4">
                  <c:v>28560.122299382714</c:v>
                </c:pt>
                <c:pt idx="5">
                  <c:v>32953.987268518511</c:v>
                </c:pt>
                <c:pt idx="6">
                  <c:v>36029.692746913577</c:v>
                </c:pt>
                <c:pt idx="7">
                  <c:v>39544.784722222219</c:v>
                </c:pt>
                <c:pt idx="8">
                  <c:v>42620.490200617278</c:v>
                </c:pt>
                <c:pt idx="9">
                  <c:v>46574.968672839503</c:v>
                </c:pt>
                <c:pt idx="10">
                  <c:v>50968.83364197531</c:v>
                </c:pt>
              </c:numCache>
            </c:numRef>
          </c:xVal>
          <c:yVal>
            <c:numRef>
              <c:f>'smoothPVC (2)'!$O$8:$O$18</c:f>
              <c:numCache>
                <c:formatCode>0.000</c:formatCode>
                <c:ptCount val="11"/>
                <c:pt idx="0">
                  <c:v>5.8564098466219634E-3</c:v>
                </c:pt>
                <c:pt idx="1">
                  <c:v>6.2395925785539803E-3</c:v>
                </c:pt>
                <c:pt idx="2">
                  <c:v>6.650067758049244E-3</c:v>
                </c:pt>
                <c:pt idx="3">
                  <c:v>6.6498812148136095E-3</c:v>
                </c:pt>
                <c:pt idx="4">
                  <c:v>6.5667148873216142E-3</c:v>
                </c:pt>
                <c:pt idx="5">
                  <c:v>6.3960524100992074E-3</c:v>
                </c:pt>
                <c:pt idx="6">
                  <c:v>6.3221042539284636E-3</c:v>
                </c:pt>
                <c:pt idx="7">
                  <c:v>6.2964940973335203E-3</c:v>
                </c:pt>
                <c:pt idx="8">
                  <c:v>6.3545000361549236E-3</c:v>
                </c:pt>
                <c:pt idx="9">
                  <c:v>6.1840979003342277E-3</c:v>
                </c:pt>
                <c:pt idx="10">
                  <c:v>5.9494215882764699E-3</c:v>
                </c:pt>
              </c:numCache>
            </c:numRef>
          </c:yVal>
          <c:smooth val="0"/>
          <c:extLst>
            <c:ext xmlns:c16="http://schemas.microsoft.com/office/drawing/2014/chart" uri="{C3380CC4-5D6E-409C-BE32-E72D297353CC}">
              <c16:uniqueId val="{00000050-889F-40EB-8887-33DA49C2A47B}"/>
            </c:ext>
          </c:extLst>
        </c:ser>
        <c:ser>
          <c:idx val="0"/>
          <c:order val="20"/>
          <c:tx>
            <c:v>Low Flow Loading</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8.5908014802818275E-2"/>
                  <c:y val="-6.478984787375764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'LF averages'!$L$8:$L$18</c:f>
              <c:numCache>
                <c:formatCode>General</c:formatCode>
                <c:ptCount val="11"/>
                <c:pt idx="0">
                  <c:v>14675.410691070609</c:v>
                </c:pt>
                <c:pt idx="1">
                  <c:v>18557.509953635461</c:v>
                </c:pt>
                <c:pt idx="2">
                  <c:v>22169.620050159996</c:v>
                </c:pt>
                <c:pt idx="3">
                  <c:v>26564.032850486914</c:v>
                </c:pt>
                <c:pt idx="4">
                  <c:v>29602.656533150413</c:v>
                </c:pt>
                <c:pt idx="5">
                  <c:v>33253.58954553779</c:v>
                </c:pt>
                <c:pt idx="6">
                  <c:v>36928.458051108559</c:v>
                </c:pt>
                <c:pt idx="7">
                  <c:v>40479.290914096782</c:v>
                </c:pt>
                <c:pt idx="8">
                  <c:v>43980.955906021321</c:v>
                </c:pt>
                <c:pt idx="9">
                  <c:v>46988.564444057891</c:v>
                </c:pt>
                <c:pt idx="10">
                  <c:v>50031.090180211584</c:v>
                </c:pt>
              </c:numCache>
            </c:numRef>
          </c:xVal>
          <c:yVal>
            <c:numRef>
              <c:f>'LF averages'!$O$8:$O$18</c:f>
              <c:numCache>
                <c:formatCode>General</c:formatCode>
                <c:ptCount val="11"/>
                <c:pt idx="0">
                  <c:v>1.2466247857869903E-2</c:v>
                </c:pt>
                <c:pt idx="1">
                  <c:v>1.3092179033432381E-2</c:v>
                </c:pt>
                <c:pt idx="2">
                  <c:v>1.2413919411230528E-2</c:v>
                </c:pt>
                <c:pt idx="3">
                  <c:v>1.2408822041987445E-2</c:v>
                </c:pt>
                <c:pt idx="4">
                  <c:v>1.2535910414230869E-2</c:v>
                </c:pt>
                <c:pt idx="5">
                  <c:v>1.208209748791355E-2</c:v>
                </c:pt>
                <c:pt idx="6">
                  <c:v>1.1997319961742402E-2</c:v>
                </c:pt>
                <c:pt idx="7">
                  <c:v>1.166433488620011E-2</c:v>
                </c:pt>
                <c:pt idx="8">
                  <c:v>1.1087613008692557E-2</c:v>
                </c:pt>
                <c:pt idx="9">
                  <c:v>1.0111162943419814E-2</c:v>
                </c:pt>
                <c:pt idx="10">
                  <c:v>9.2992762211323195E-3</c:v>
                </c:pt>
              </c:numCache>
            </c:numRef>
          </c:yVal>
          <c:smooth val="0"/>
          <c:extLst>
            <c:ext xmlns:c16="http://schemas.microsoft.com/office/drawing/2014/chart" uri="{C3380CC4-5D6E-409C-BE32-E72D297353CC}">
              <c16:uniqueId val="{0000002F-889F-40EB-8887-33DA49C2A47B}"/>
            </c:ext>
          </c:extLst>
        </c:ser>
        <c:ser>
          <c:idx val="1"/>
          <c:order val="21"/>
          <c:tx>
            <c:v>High Flow Loading</c:v>
          </c:tx>
          <c:spPr>
            <a:ln w="19050">
              <a:noFill/>
            </a:ln>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dispRSqr val="1"/>
            <c:dispEq val="1"/>
            <c:trendlineLbl>
              <c:layout>
                <c:manualLayout>
                  <c:x val="0.17887678098209575"/>
                  <c:y val="7.352692080554124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'HF averages'!$L$8:$L$18</c:f>
              <c:numCache>
                <c:formatCode>General</c:formatCode>
                <c:ptCount val="11"/>
                <c:pt idx="0">
                  <c:v>14845.005387630999</c:v>
                </c:pt>
                <c:pt idx="1">
                  <c:v>18154.279718303584</c:v>
                </c:pt>
                <c:pt idx="2">
                  <c:v>20633.436408082234</c:v>
                </c:pt>
                <c:pt idx="3">
                  <c:v>25188.937131076353</c:v>
                </c:pt>
                <c:pt idx="4">
                  <c:v>28722.313361843459</c:v>
                </c:pt>
                <c:pt idx="5">
                  <c:v>31878.068716268957</c:v>
                </c:pt>
                <c:pt idx="6">
                  <c:v>34951.064176398817</c:v>
                </c:pt>
                <c:pt idx="7">
                  <c:v>37982.53775698629</c:v>
                </c:pt>
                <c:pt idx="8">
                  <c:v>40276.6388380305</c:v>
                </c:pt>
                <c:pt idx="9">
                  <c:v>44558.708728526748</c:v>
                </c:pt>
                <c:pt idx="10">
                  <c:v>48390.16305141976</c:v>
                </c:pt>
              </c:numCache>
            </c:numRef>
          </c:xVal>
          <c:yVal>
            <c:numRef>
              <c:f>'HF averages'!$O$8:$O$18</c:f>
              <c:numCache>
                <c:formatCode>General</c:formatCode>
                <c:ptCount val="11"/>
                <c:pt idx="0">
                  <c:v>1.2212240709967922E-2</c:v>
                </c:pt>
                <c:pt idx="1">
                  <c:v>1.2736118261928671E-2</c:v>
                </c:pt>
                <c:pt idx="2">
                  <c:v>1.206920212863757E-2</c:v>
                </c:pt>
                <c:pt idx="3">
                  <c:v>1.1786480521258191E-2</c:v>
                </c:pt>
                <c:pt idx="4">
                  <c:v>1.1614203813470298E-2</c:v>
                </c:pt>
                <c:pt idx="5">
                  <c:v>1.1555820237887721E-2</c:v>
                </c:pt>
                <c:pt idx="6">
                  <c:v>1.1588216899381623E-2</c:v>
                </c:pt>
                <c:pt idx="7">
                  <c:v>1.1482401328345337E-2</c:v>
                </c:pt>
                <c:pt idx="8">
                  <c:v>1.0634358038064257E-2</c:v>
                </c:pt>
                <c:pt idx="9">
                  <c:v>9.9071095126674769E-3</c:v>
                </c:pt>
                <c:pt idx="10">
                  <c:v>9.0426917782260759E-3</c:v>
                </c:pt>
              </c:numCache>
            </c:numRef>
          </c:yVal>
          <c:smooth val="0"/>
          <c:extLst>
            <c:ext xmlns:c16="http://schemas.microsoft.com/office/drawing/2014/chart" uri="{C3380CC4-5D6E-409C-BE32-E72D297353CC}">
              <c16:uniqueId val="{00000032-889F-40EB-8887-33DA49C2A47B}"/>
            </c:ext>
          </c:extLst>
        </c:ser>
        <c:ser>
          <c:idx val="2"/>
          <c:order val="22"/>
          <c:tx>
            <c:v>PVC</c:v>
          </c:tx>
          <c:spPr>
            <a:ln w="19050">
              <a:noFill/>
            </a:ln>
          </c:spPr>
          <c:xVal>
            <c:numRef>
              <c:f>'smoothPVC averages'!$L$8:$L$18</c:f>
              <c:numCache>
                <c:formatCode>General</c:formatCode>
                <c:ptCount val="11"/>
                <c:pt idx="0">
                  <c:v>14499.754398148147</c:v>
                </c:pt>
                <c:pt idx="1">
                  <c:v>18014.846373456792</c:v>
                </c:pt>
                <c:pt idx="2">
                  <c:v>22189.018094135798</c:v>
                </c:pt>
                <c:pt idx="3">
                  <c:v>25923.803317901235</c:v>
                </c:pt>
                <c:pt idx="4">
                  <c:v>28999.508796296293</c:v>
                </c:pt>
                <c:pt idx="5">
                  <c:v>32734.294020061723</c:v>
                </c:pt>
                <c:pt idx="6">
                  <c:v>36249.385995370365</c:v>
                </c:pt>
                <c:pt idx="7">
                  <c:v>39544.784722222219</c:v>
                </c:pt>
                <c:pt idx="8">
                  <c:v>42840.183449074073</c:v>
                </c:pt>
                <c:pt idx="9">
                  <c:v>46574.968672839503</c:v>
                </c:pt>
                <c:pt idx="10">
                  <c:v>50090.060648148145</c:v>
                </c:pt>
              </c:numCache>
            </c:numRef>
          </c:xVal>
          <c:yVal>
            <c:numRef>
              <c:f>'smoothPVC averages'!$O$8:$O$18</c:f>
              <c:numCache>
                <c:formatCode>General</c:formatCode>
                <c:ptCount val="11"/>
                <c:pt idx="0">
                  <c:v>6.4855956157446456E-3</c:v>
                </c:pt>
                <c:pt idx="1">
                  <c:v>6.7629746899951753E-3</c:v>
                </c:pt>
                <c:pt idx="2">
                  <c:v>6.8836554264767192E-3</c:v>
                </c:pt>
                <c:pt idx="3">
                  <c:v>6.5849847119883835E-3</c:v>
                </c:pt>
                <c:pt idx="4">
                  <c:v>6.5612760956571693E-3</c:v>
                </c:pt>
                <c:pt idx="5">
                  <c:v>6.4533932562852604E-3</c:v>
                </c:pt>
                <c:pt idx="6">
                  <c:v>6.3235715454087304E-3</c:v>
                </c:pt>
                <c:pt idx="7">
                  <c:v>6.3999564021306309E-3</c:v>
                </c:pt>
                <c:pt idx="8">
                  <c:v>6.3221998455306374E-3</c:v>
                </c:pt>
                <c:pt idx="9">
                  <c:v>6.2322995574131314E-3</c:v>
                </c:pt>
                <c:pt idx="10">
                  <c:v>6.0784005101459085E-3</c:v>
                </c:pt>
              </c:numCache>
            </c:numRef>
          </c:yVal>
          <c:smooth val="0"/>
          <c:extLst>
            <c:ext xmlns:c16="http://schemas.microsoft.com/office/drawing/2014/chart" uri="{C3380CC4-5D6E-409C-BE32-E72D297353CC}">
              <c16:uniqueId val="{00000034-889F-40EB-8887-33DA49C2A47B}"/>
            </c:ext>
          </c:extLst>
        </c:ser>
        <c:dLbls>
          <c:showLegendKey val="0"/>
          <c:showVal val="0"/>
          <c:showCatName val="0"/>
          <c:showSerName val="0"/>
          <c:showPercent val="0"/>
          <c:showBubbleSize val="0"/>
        </c:dLbls>
        <c:axId val="52669840"/>
        <c:axId val="52693968"/>
        <c:extLst>
          <c:ext xmlns:c15="http://schemas.microsoft.com/office/drawing/2012/chart" uri="{02D57815-91ED-43cb-92C2-25804820EDAC}">
            <c15:filteredScatterSeries>
              <c15:ser>
                <c:idx val="4"/>
                <c:order val="0"/>
                <c:tx>
                  <c:v>P80 sandpaper</c:v>
                </c:tx>
                <c:spPr>
                  <a:ln w="19050">
                    <a:noFill/>
                  </a:ln>
                </c:spPr>
                <c:xVal>
                  <c:numRef>
                    <c:extLst>
                      <c:ext uri="{02D57815-91ED-43cb-92C2-25804820EDAC}">
                        <c15:formulaRef>
                          <c15:sqref>'[1]P80 sandpaper AVGS'!$M$8:$M$12</c15:sqref>
                        </c15:formulaRef>
                      </c:ext>
                    </c:extLst>
                    <c:numCache>
                      <c:formatCode>General</c:formatCode>
                      <c:ptCount val="5"/>
                      <c:pt idx="0">
                        <c:v>24348.721922902492</c:v>
                      </c:pt>
                      <c:pt idx="1">
                        <c:v>32249.962811791389</c:v>
                      </c:pt>
                      <c:pt idx="2">
                        <c:v>39183.704816326535</c:v>
                      </c:pt>
                      <c:pt idx="3">
                        <c:v>45956.197006802722</c:v>
                      </c:pt>
                      <c:pt idx="4">
                        <c:v>52486.814476190477</c:v>
                      </c:pt>
                    </c:numCache>
                  </c:numRef>
                </c:xVal>
                <c:yVal>
                  <c:numRef>
                    <c:extLst>
                      <c:ext uri="{02D57815-91ED-43cb-92C2-25804820EDAC}">
                        <c15:formulaRef>
                          <c15:sqref>'[1]P80 sandpaper AVGS'!$P$8:$P$12</c15:sqref>
                        </c15:formulaRef>
                      </c:ext>
                    </c:extLst>
                    <c:numCache>
                      <c:formatCode>General</c:formatCode>
                      <c:ptCount val="5"/>
                      <c:pt idx="0">
                        <c:v>1.2423623758869535E-2</c:v>
                      </c:pt>
                      <c:pt idx="1">
                        <c:v>1.256604135507821E-2</c:v>
                      </c:pt>
                      <c:pt idx="2">
                        <c:v>1.2688328481080976E-2</c:v>
                      </c:pt>
                      <c:pt idx="3">
                        <c:v>1.2236436649216273E-2</c:v>
                      </c:pt>
                      <c:pt idx="4">
                        <c:v>9.7314080436958095E-3</c:v>
                      </c:pt>
                    </c:numCache>
                  </c:numRef>
                </c:yVal>
                <c:smooth val="0"/>
                <c:extLst>
                  <c:ext xmlns:c16="http://schemas.microsoft.com/office/drawing/2014/chart" uri="{C3380CC4-5D6E-409C-BE32-E72D297353CC}">
                    <c16:uniqueId val="{00000036-889F-40EB-8887-33DA49C2A47B}"/>
                  </c:ext>
                </c:extLst>
              </c15:ser>
            </c15:filteredScatterSeries>
            <c15:filteredScatterSeries>
              <c15:ser>
                <c:idx val="5"/>
                <c:order val="1"/>
                <c:tx>
                  <c:v>P240 sandpaper</c:v>
                </c:tx>
                <c:spPr>
                  <a:ln w="19050">
                    <a:noFill/>
                  </a:ln>
                </c:spPr>
                <c:xVal>
                  <c:numRef>
                    <c:extLst xmlns:c15="http://schemas.microsoft.com/office/drawing/2012/chart">
                      <c:ext xmlns:c15="http://schemas.microsoft.com/office/drawing/2012/chart" uri="{02D57815-91ED-43cb-92C2-25804820EDAC}">
                        <c15:formulaRef>
                          <c15:sqref>'[1]P240 sandpaper AVGS'!$L$8:$L$12</c15:sqref>
                        </c15:formulaRef>
                      </c:ext>
                    </c:extLst>
                    <c:numCache>
                      <c:formatCode>General</c:formatCode>
                      <c:ptCount val="5"/>
                      <c:pt idx="0">
                        <c:v>25621.499581445525</c:v>
                      </c:pt>
                      <c:pt idx="1">
                        <c:v>32985.762934196326</c:v>
                      </c:pt>
                      <c:pt idx="2">
                        <c:v>40810.292746494059</c:v>
                      </c:pt>
                      <c:pt idx="3">
                        <c:v>46793.756720604091</c:v>
                      </c:pt>
                      <c:pt idx="4">
                        <c:v>53544.331460625675</c:v>
                      </c:pt>
                    </c:numCache>
                  </c:numRef>
                </c:xVal>
                <c:yVal>
                  <c:numRef>
                    <c:extLst xmlns:c15="http://schemas.microsoft.com/office/drawing/2012/chart">
                      <c:ext xmlns:c15="http://schemas.microsoft.com/office/drawing/2012/chart" uri="{02D57815-91ED-43cb-92C2-25804820EDAC}">
                        <c15:formulaRef>
                          <c15:sqref>'[1]P240 sandpaper AVGS'!$O$8:$O$12</c15:sqref>
                        </c15:formulaRef>
                      </c:ext>
                    </c:extLst>
                    <c:numCache>
                      <c:formatCode>General</c:formatCode>
                      <c:ptCount val="5"/>
                      <c:pt idx="0">
                        <c:v>7.3768057355044943E-3</c:v>
                      </c:pt>
                      <c:pt idx="1">
                        <c:v>7.6045020159216286E-3</c:v>
                      </c:pt>
                      <c:pt idx="2">
                        <c:v>7.6823078619262667E-3</c:v>
                      </c:pt>
                      <c:pt idx="3">
                        <c:v>7.8456121937399356E-3</c:v>
                      </c:pt>
                      <c:pt idx="4">
                        <c:v>7.5893012677243025E-3</c:v>
                      </c:pt>
                    </c:numCache>
                  </c:numRef>
                </c:yVal>
                <c:smooth val="0"/>
                <c:extLst xmlns:c15="http://schemas.microsoft.com/office/drawing/2012/chart">
                  <c:ext xmlns:c16="http://schemas.microsoft.com/office/drawing/2014/chart" uri="{C3380CC4-5D6E-409C-BE32-E72D297353CC}">
                    <c16:uniqueId val="{00000037-889F-40EB-8887-33DA49C2A47B}"/>
                  </c:ext>
                </c:extLst>
              </c15:ser>
            </c15:filteredScatterSeries>
            <c15:filteredScatterSeries>
              <c15:ser>
                <c:idx val="6"/>
                <c:order val="2"/>
                <c:tx>
                  <c:v>P240 sandpaper RT</c:v>
                </c:tx>
                <c:spPr>
                  <a:ln w="19050">
                    <a:noFill/>
                  </a:ln>
                </c:spPr>
                <c:xVal>
                  <c:numRef>
                    <c:extLst xmlns:c15="http://schemas.microsoft.com/office/drawing/2012/chart">
                      <c:ext xmlns:c15="http://schemas.microsoft.com/office/drawing/2012/chart" uri="{02D57815-91ED-43cb-92C2-25804820EDAC}">
                        <c15:formulaRef>
                          <c15:sqref>'[1]RT P240 sandpaper AVGS'!$M$7:$M$12</c15:sqref>
                        </c15:formulaRef>
                      </c:ext>
                    </c:extLst>
                    <c:numCache>
                      <c:formatCode>General</c:formatCode>
                      <c:ptCount val="6"/>
                      <c:pt idx="0">
                        <c:v>17523.544149614961</c:v>
                      </c:pt>
                      <c:pt idx="1">
                        <c:v>25815.935577557753</c:v>
                      </c:pt>
                      <c:pt idx="2">
                        <c:v>33951.866789878986</c:v>
                      </c:pt>
                      <c:pt idx="3">
                        <c:v>41774.877570957091</c:v>
                      </c:pt>
                      <c:pt idx="4">
                        <c:v>48033.286195819586</c:v>
                      </c:pt>
                      <c:pt idx="5">
                        <c:v>53978.77438943895</c:v>
                      </c:pt>
                    </c:numCache>
                  </c:numRef>
                </c:xVal>
                <c:yVal>
                  <c:numRef>
                    <c:extLst xmlns:c15="http://schemas.microsoft.com/office/drawing/2012/chart">
                      <c:ext xmlns:c15="http://schemas.microsoft.com/office/drawing/2012/chart" uri="{02D57815-91ED-43cb-92C2-25804820EDAC}">
                        <c15:formulaRef>
                          <c15:sqref>'[1]RT P240 sandpaper AVGS'!$P$7:$P$12</c15:sqref>
                        </c15:formulaRef>
                      </c:ext>
                    </c:extLst>
                    <c:numCache>
                      <c:formatCode>General</c:formatCode>
                      <c:ptCount val="6"/>
                      <c:pt idx="0">
                        <c:v>8.8188914771809464E-3</c:v>
                      </c:pt>
                      <c:pt idx="1">
                        <c:v>9.1491646423141251E-3</c:v>
                      </c:pt>
                      <c:pt idx="2">
                        <c:v>9.4977856484117374E-3</c:v>
                      </c:pt>
                      <c:pt idx="3">
                        <c:v>9.9357960701823445E-3</c:v>
                      </c:pt>
                      <c:pt idx="4">
                        <c:v>1.029021497694853E-2</c:v>
                      </c:pt>
                      <c:pt idx="5">
                        <c:v>8.7994752429320314E-3</c:v>
                      </c:pt>
                    </c:numCache>
                  </c:numRef>
                </c:yVal>
                <c:smooth val="0"/>
                <c:extLst xmlns:c15="http://schemas.microsoft.com/office/drawing/2012/chart">
                  <c:ext xmlns:c16="http://schemas.microsoft.com/office/drawing/2014/chart" uri="{C3380CC4-5D6E-409C-BE32-E72D297353CC}">
                    <c16:uniqueId val="{00000038-889F-40EB-8887-33DA49C2A47B}"/>
                  </c:ext>
                </c:extLst>
              </c15:ser>
            </c15:filteredScatterSeries>
            <c15:filteredScatterSeries>
              <c15:ser>
                <c:idx val="12"/>
                <c:order val="4"/>
                <c:tx>
                  <c:v>Rigid Smooth</c:v>
                </c:tx>
                <c:spPr>
                  <a:ln w="25400">
                    <a:noFill/>
                  </a:ln>
                </c:spPr>
                <c:xVal>
                  <c:numRef>
                    <c:extLst xmlns:c15="http://schemas.microsoft.com/office/drawing/2012/chart">
                      <c:ext xmlns:c15="http://schemas.microsoft.com/office/drawing/2012/chart" uri="{02D57815-91ED-43cb-92C2-25804820EDAC}">
                        <c15:formulaRef>
                          <c15:sqref>'[1]EF25 flat AVGS'!$L$8:$L$12</c15:sqref>
                        </c15:formulaRef>
                      </c:ext>
                    </c:extLst>
                    <c:numCache>
                      <c:formatCode>General</c:formatCode>
                      <c:ptCount val="5"/>
                      <c:pt idx="0">
                        <c:v>24203.089020070838</c:v>
                      </c:pt>
                      <c:pt idx="1">
                        <c:v>30702.066627312077</c:v>
                      </c:pt>
                      <c:pt idx="2">
                        <c:v>38097.454939000396</c:v>
                      </c:pt>
                      <c:pt idx="3">
                        <c:v>45268.740574576928</c:v>
                      </c:pt>
                      <c:pt idx="4">
                        <c:v>51991.820857929946</c:v>
                      </c:pt>
                    </c:numCache>
                  </c:numRef>
                </c:xVal>
                <c:yVal>
                  <c:numRef>
                    <c:extLst xmlns:c15="http://schemas.microsoft.com/office/drawing/2012/chart">
                      <c:ext xmlns:c15="http://schemas.microsoft.com/office/drawing/2012/chart" uri="{02D57815-91ED-43cb-92C2-25804820EDAC}">
                        <c15:formulaRef>
                          <c15:sqref>'[1]EF25 flat AVGS'!$O$8:$O$12</c15:sqref>
                        </c15:formulaRef>
                      </c:ext>
                    </c:extLst>
                    <c:numCache>
                      <c:formatCode>General</c:formatCode>
                      <c:ptCount val="5"/>
                      <c:pt idx="0">
                        <c:v>7.4776636450018044E-3</c:v>
                      </c:pt>
                      <c:pt idx="1">
                        <c:v>7.2481135651974752E-3</c:v>
                      </c:pt>
                      <c:pt idx="2">
                        <c:v>6.9796046123650861E-3</c:v>
                      </c:pt>
                      <c:pt idx="3">
                        <c:v>6.7045059317648341E-3</c:v>
                      </c:pt>
                      <c:pt idx="4">
                        <c:v>6.4920279779756753E-3</c:v>
                      </c:pt>
                    </c:numCache>
                  </c:numRef>
                </c:yVal>
                <c:smooth val="0"/>
                <c:extLst xmlns:c15="http://schemas.microsoft.com/office/drawing/2012/chart">
                  <c:ext xmlns:c16="http://schemas.microsoft.com/office/drawing/2014/chart" uri="{C3380CC4-5D6E-409C-BE32-E72D297353CC}">
                    <c16:uniqueId val="{0000003E-889F-40EB-8887-33DA49C2A47B}"/>
                  </c:ext>
                </c:extLst>
              </c15:ser>
            </c15:filteredScatterSeries>
            <c15:filteredScatterSeries>
              <c15:ser>
                <c:idx val="13"/>
                <c:order val="5"/>
                <c:tx>
                  <c:v>Rigid P240 RT</c:v>
                </c:tx>
                <c:spPr>
                  <a:ln w="19050">
                    <a:noFill/>
                  </a:ln>
                </c:spPr>
                <c:xVal>
                  <c:numRef>
                    <c:extLst xmlns:c15="http://schemas.microsoft.com/office/drawing/2012/chart">
                      <c:ext xmlns:c15="http://schemas.microsoft.com/office/drawing/2012/chart" uri="{02D57815-91ED-43cb-92C2-25804820EDAC}">
                        <c15:formulaRef>
                          <c15:sqref>'[1]RT EF25 P240 AVGS'!$L$7:$L$12</c15:sqref>
                        </c15:formulaRef>
                      </c:ext>
                    </c:extLst>
                    <c:numCache>
                      <c:formatCode>General</c:formatCode>
                      <c:ptCount val="6"/>
                      <c:pt idx="0">
                        <c:v>15711.520344206057</c:v>
                      </c:pt>
                      <c:pt idx="1">
                        <c:v>23153.819454619461</c:v>
                      </c:pt>
                      <c:pt idx="2">
                        <c:v>30596.118565032859</c:v>
                      </c:pt>
                      <c:pt idx="3">
                        <c:v>37707.648826094541</c:v>
                      </c:pt>
                      <c:pt idx="4">
                        <c:v>45149.947936507939</c:v>
                      </c:pt>
                      <c:pt idx="5">
                        <c:v>51434.556074190361</c:v>
                      </c:pt>
                    </c:numCache>
                  </c:numRef>
                </c:xVal>
                <c:yVal>
                  <c:numRef>
                    <c:extLst xmlns:c15="http://schemas.microsoft.com/office/drawing/2012/chart">
                      <c:ext xmlns:c15="http://schemas.microsoft.com/office/drawing/2012/chart" uri="{02D57815-91ED-43cb-92C2-25804820EDAC}">
                        <c15:formulaRef>
                          <c15:sqref>'[1]RT EF25 P240 AVGS'!$O$7:$O$12</c15:sqref>
                        </c15:formulaRef>
                      </c:ext>
                    </c:extLst>
                    <c:numCache>
                      <c:formatCode>General</c:formatCode>
                      <c:ptCount val="6"/>
                      <c:pt idx="1">
                        <c:v>9.0880139416152864E-3</c:v>
                      </c:pt>
                      <c:pt idx="2">
                        <c:v>9.4770992116655697E-3</c:v>
                      </c:pt>
                      <c:pt idx="3">
                        <c:v>9.6907967665861086E-3</c:v>
                      </c:pt>
                      <c:pt idx="4">
                        <c:v>8.7689500019708655E-3</c:v>
                      </c:pt>
                      <c:pt idx="5">
                        <c:v>6.9442345010425101E-3</c:v>
                      </c:pt>
                    </c:numCache>
                  </c:numRef>
                </c:yVal>
                <c:smooth val="0"/>
                <c:extLst xmlns:c15="http://schemas.microsoft.com/office/drawing/2012/chart">
                  <c:ext xmlns:c16="http://schemas.microsoft.com/office/drawing/2014/chart" uri="{C3380CC4-5D6E-409C-BE32-E72D297353CC}">
                    <c16:uniqueId val="{0000003F-889F-40EB-8887-33DA49C2A47B}"/>
                  </c:ext>
                </c:extLst>
              </c15:ser>
            </c15:filteredScatterSeries>
            <c15:filteredScatterSeries>
              <c15:ser>
                <c:idx val="18"/>
                <c:order val="10"/>
                <c:tx>
                  <c:v>Plain</c:v>
                </c:tx>
                <c:spPr>
                  <a:ln w="19050">
                    <a:noFill/>
                  </a:ln>
                </c:spPr>
                <c:xVal>
                  <c:numRef>
                    <c:extLst xmlns:c15="http://schemas.microsoft.com/office/drawing/2012/chart">
                      <c:ext xmlns:c15="http://schemas.microsoft.com/office/drawing/2012/chart" uri="{02D57815-91ED-43cb-92C2-25804820EDAC}">
                        <c15:formulaRef>
                          <c15:sqref>'[1]PLAIN PANEL AVGS'!$L$8:$L$12</c15:sqref>
                        </c15:formulaRef>
                      </c:ext>
                    </c:extLst>
                    <c:numCache>
                      <c:formatCode>General</c:formatCode>
                      <c:ptCount val="5"/>
                      <c:pt idx="0">
                        <c:v>25760.602619047622</c:v>
                      </c:pt>
                      <c:pt idx="1">
                        <c:v>31861.797976190479</c:v>
                      </c:pt>
                      <c:pt idx="2">
                        <c:v>39318.814523809524</c:v>
                      </c:pt>
                      <c:pt idx="3">
                        <c:v>45871.950277777782</c:v>
                      </c:pt>
                      <c:pt idx="4">
                        <c:v>52651.056230158734</c:v>
                      </c:pt>
                    </c:numCache>
                  </c:numRef>
                </c:xVal>
                <c:yVal>
                  <c:numRef>
                    <c:extLst xmlns:c15="http://schemas.microsoft.com/office/drawing/2012/chart">
                      <c:ext xmlns:c15="http://schemas.microsoft.com/office/drawing/2012/chart" uri="{02D57815-91ED-43cb-92C2-25804820EDAC}">
                        <c15:formulaRef>
                          <c15:sqref>'[1]PLAIN PANEL AVGS'!$O$8:$O$12</c15:sqref>
                        </c15:formulaRef>
                      </c:ext>
                    </c:extLst>
                    <c:numCache>
                      <c:formatCode>General</c:formatCode>
                      <c:ptCount val="5"/>
                      <c:pt idx="0">
                        <c:v>7.8546251968259328E-3</c:v>
                      </c:pt>
                      <c:pt idx="1">
                        <c:v>7.7415345859246877E-3</c:v>
                      </c:pt>
                      <c:pt idx="2">
                        <c:v>7.4983871209308439E-3</c:v>
                      </c:pt>
                      <c:pt idx="3">
                        <c:v>7.3294546557718847E-3</c:v>
                      </c:pt>
                      <c:pt idx="4">
                        <c:v>6.8598709171845025E-3</c:v>
                      </c:pt>
                    </c:numCache>
                  </c:numRef>
                </c:yVal>
                <c:smooth val="0"/>
                <c:extLst xmlns:c15="http://schemas.microsoft.com/office/drawing/2012/chart">
                  <c:ext xmlns:c16="http://schemas.microsoft.com/office/drawing/2014/chart" uri="{C3380CC4-5D6E-409C-BE32-E72D297353CC}">
                    <c16:uniqueId val="{00000044-889F-40EB-8887-33DA49C2A47B}"/>
                  </c:ext>
                </c:extLst>
              </c15:ser>
            </c15:filteredScatterSeries>
            <c15:filteredScatterSeries>
              <c15:ser>
                <c:idx val="25"/>
                <c:order val="14"/>
                <c:tx>
                  <c:v>high flow 3</c:v>
                </c:tx>
                <c:spPr>
                  <a:ln w="25400" cap="rnd">
                    <a:noFill/>
                    <a:round/>
                  </a:ln>
                  <a:effectLst/>
                </c:spPr>
                <c:xVal>
                  <c:numRef>
                    <c:extLst xmlns:c15="http://schemas.microsoft.com/office/drawing/2012/chart">
                      <c:ext xmlns:c15="http://schemas.microsoft.com/office/drawing/2012/chart" uri="{02D57815-91ED-43cb-92C2-25804820EDAC}">
                        <c15:formulaRef>
                          <c15:sqref>'1highflow'!$L$8:$L$18</c15:sqref>
                        </c15:formulaRef>
                      </c:ext>
                    </c:extLst>
                    <c:numCache>
                      <c:formatCode>0.0E+00</c:formatCode>
                      <c:ptCount val="11"/>
                      <c:pt idx="0">
                        <c:v>15454.936159680115</c:v>
                      </c:pt>
                      <c:pt idx="1">
                        <c:v>18524.368264082797</c:v>
                      </c:pt>
                      <c:pt idx="2">
                        <c:v>20631.751727995339</c:v>
                      </c:pt>
                      <c:pt idx="3">
                        <c:v>25048.996447219975</c:v>
                      </c:pt>
                      <c:pt idx="4">
                        <c:v>28198.78454255719</c:v>
                      </c:pt>
                      <c:pt idx="5">
                        <c:v>31265.403834949855</c:v>
                      </c:pt>
                      <c:pt idx="6">
                        <c:v>34259.694948025433</c:v>
                      </c:pt>
                      <c:pt idx="7">
                        <c:v>37034.499620913441</c:v>
                      </c:pt>
                      <c:pt idx="8">
                        <c:v>40360.125820300396</c:v>
                      </c:pt>
                      <c:pt idx="9">
                        <c:v>43639.079495168728</c:v>
                      </c:pt>
                      <c:pt idx="10">
                        <c:v>47969.923211297224</c:v>
                      </c:pt>
                    </c:numCache>
                  </c:numRef>
                </c:xVal>
                <c:yVal>
                  <c:numRef>
                    <c:extLst xmlns:c15="http://schemas.microsoft.com/office/drawing/2012/chart">
                      <c:ext xmlns:c15="http://schemas.microsoft.com/office/drawing/2012/chart" uri="{02D57815-91ED-43cb-92C2-25804820EDAC}">
                        <c15:formulaRef>
                          <c15:sqref>'1highflow'!$O$8:$O$18</c15:sqref>
                        </c15:formulaRef>
                      </c:ext>
                    </c:extLst>
                    <c:numCache>
                      <c:formatCode>0.000</c:formatCode>
                      <c:ptCount val="11"/>
                      <c:pt idx="0">
                        <c:v>1.301532022368841E-2</c:v>
                      </c:pt>
                      <c:pt idx="1">
                        <c:v>1.3772420210359812E-2</c:v>
                      </c:pt>
                      <c:pt idx="2">
                        <c:v>1.2928900059818687E-2</c:v>
                      </c:pt>
                      <c:pt idx="3">
                        <c:v>1.2553876981203574E-2</c:v>
                      </c:pt>
                      <c:pt idx="4">
                        <c:v>1.2347665741863396E-2</c:v>
                      </c:pt>
                      <c:pt idx="5">
                        <c:v>1.1853528700416524E-2</c:v>
                      </c:pt>
                      <c:pt idx="6">
                        <c:v>1.222348438009928E-2</c:v>
                      </c:pt>
                      <c:pt idx="7">
                        <c:v>1.1963731172165487E-2</c:v>
                      </c:pt>
                      <c:pt idx="8">
                        <c:v>1.1166421961693098E-2</c:v>
                      </c:pt>
                      <c:pt idx="9">
                        <c:v>9.8737152118695114E-3</c:v>
                      </c:pt>
                      <c:pt idx="10">
                        <c:v>9.0094798904756575E-3</c:v>
                      </c:pt>
                    </c:numCache>
                  </c:numRef>
                </c:yVal>
                <c:smooth val="0"/>
                <c:extLst xmlns:c15="http://schemas.microsoft.com/office/drawing/2012/chart">
                  <c:ext xmlns:c16="http://schemas.microsoft.com/office/drawing/2014/chart" uri="{C3380CC4-5D6E-409C-BE32-E72D297353CC}">
                    <c16:uniqueId val="{0000004B-889F-40EB-8887-33DA49C2A47B}"/>
                  </c:ext>
                </c:extLst>
              </c15:ser>
            </c15:filteredScatterSeries>
            <c15:filteredScatterSeries>
              <c15:ser>
                <c:idx val="26"/>
                <c:order val="15"/>
                <c:tx>
                  <c:v>high flow 4</c:v>
                </c:tx>
                <c:spPr>
                  <a:ln w="25400" cap="rnd">
                    <a:noFill/>
                    <a:round/>
                  </a:ln>
                  <a:effectLst/>
                </c:spPr>
                <c:xVal>
                  <c:numRef>
                    <c:extLst xmlns:c15="http://schemas.microsoft.com/office/drawing/2012/chart">
                      <c:ext xmlns:c15="http://schemas.microsoft.com/office/drawing/2012/chart" uri="{02D57815-91ED-43cb-92C2-25804820EDAC}">
                        <c15:formulaRef>
                          <c15:sqref>'2highflow'!$L$8:$L$18</c15:sqref>
                        </c15:formulaRef>
                      </c:ext>
                    </c:extLst>
                    <c:numCache>
                      <c:formatCode>0.0E+00</c:formatCode>
                      <c:ptCount val="11"/>
                      <c:pt idx="0">
                        <c:v>14235.074615581883</c:v>
                      </c:pt>
                      <c:pt idx="1">
                        <c:v>17784.19117252437</c:v>
                      </c:pt>
                      <c:pt idx="2">
                        <c:v>20635.121088169126</c:v>
                      </c:pt>
                      <c:pt idx="3">
                        <c:v>25328.87781493273</c:v>
                      </c:pt>
                      <c:pt idx="4">
                        <c:v>29245.84218112973</c:v>
                      </c:pt>
                      <c:pt idx="5">
                        <c:v>32490.733597588063</c:v>
                      </c:pt>
                      <c:pt idx="6">
                        <c:v>35642.4334047722</c:v>
                      </c:pt>
                      <c:pt idx="7">
                        <c:v>38930.57589305914</c:v>
                      </c:pt>
                      <c:pt idx="8">
                        <c:v>40193.15185576061</c:v>
                      </c:pt>
                      <c:pt idx="9">
                        <c:v>45478.337961884761</c:v>
                      </c:pt>
                      <c:pt idx="10">
                        <c:v>48810.402891542297</c:v>
                      </c:pt>
                    </c:numCache>
                  </c:numRef>
                </c:xVal>
                <c:yVal>
                  <c:numRef>
                    <c:extLst xmlns:c15="http://schemas.microsoft.com/office/drawing/2012/chart">
                      <c:ext xmlns:c15="http://schemas.microsoft.com/office/drawing/2012/chart" uri="{02D57815-91ED-43cb-92C2-25804820EDAC}">
                        <c15:formulaRef>
                          <c15:sqref>'2highflow'!$O$8:$O$18</c15:sqref>
                        </c15:formulaRef>
                      </c:ext>
                    </c:extLst>
                    <c:numCache>
                      <c:formatCode>0.000</c:formatCode>
                      <c:ptCount val="11"/>
                      <c:pt idx="0">
                        <c:v>1.1409161196247434E-2</c:v>
                      </c:pt>
                      <c:pt idx="1">
                        <c:v>1.1699816313497532E-2</c:v>
                      </c:pt>
                      <c:pt idx="2">
                        <c:v>1.1209504197456456E-2</c:v>
                      </c:pt>
                      <c:pt idx="3">
                        <c:v>1.1019084061312811E-2</c:v>
                      </c:pt>
                      <c:pt idx="4">
                        <c:v>1.0880741885077198E-2</c:v>
                      </c:pt>
                      <c:pt idx="5">
                        <c:v>1.1258111775358919E-2</c:v>
                      </c:pt>
                      <c:pt idx="6">
                        <c:v>1.0952949418663966E-2</c:v>
                      </c:pt>
                      <c:pt idx="7">
                        <c:v>1.1001071484525187E-2</c:v>
                      </c:pt>
                      <c:pt idx="8">
                        <c:v>1.0102294114435416E-2</c:v>
                      </c:pt>
                      <c:pt idx="9">
                        <c:v>9.9405038134654424E-3</c:v>
                      </c:pt>
                      <c:pt idx="10">
                        <c:v>9.0759036659764942E-3</c:v>
                      </c:pt>
                    </c:numCache>
                  </c:numRef>
                </c:yVal>
                <c:smooth val="0"/>
                <c:extLst xmlns:c15="http://schemas.microsoft.com/office/drawing/2012/chart">
                  <c:ext xmlns:c16="http://schemas.microsoft.com/office/drawing/2014/chart" uri="{C3380CC4-5D6E-409C-BE32-E72D297353CC}">
                    <c16:uniqueId val="{0000004C-889F-40EB-8887-33DA49C2A47B}"/>
                  </c:ext>
                </c:extLst>
              </c15:ser>
            </c15:filteredScatterSeries>
            <c15:filteredScatterSeries>
              <c15:ser>
                <c:idx val="27"/>
                <c:order val="16"/>
                <c:tx>
                  <c:v>low flow 3</c:v>
                </c:tx>
                <c:spPr>
                  <a:ln w="25400" cap="rnd">
                    <a:noFill/>
                    <a:round/>
                  </a:ln>
                  <a:effectLst/>
                </c:spPr>
                <c:xVal>
                  <c:numRef>
                    <c:extLst xmlns:c15="http://schemas.microsoft.com/office/drawing/2012/chart">
                      <c:ext xmlns:c15="http://schemas.microsoft.com/office/drawing/2012/chart" uri="{02D57815-91ED-43cb-92C2-25804820EDAC}">
                        <c15:formulaRef>
                          <c15:sqref>'1lowflow'!$L$8:$L$18</c15:sqref>
                        </c15:formulaRef>
                      </c:ext>
                    </c:extLst>
                    <c:numCache>
                      <c:formatCode>0.0E+00</c:formatCode>
                      <c:ptCount val="11"/>
                      <c:pt idx="0">
                        <c:v>15086.426160303949</c:v>
                      </c:pt>
                      <c:pt idx="1">
                        <c:v>18557.509953635461</c:v>
                      </c:pt>
                      <c:pt idx="2">
                        <c:v>23060.553536426025</c:v>
                      </c:pt>
                      <c:pt idx="3">
                        <c:v>26502.360622555469</c:v>
                      </c:pt>
                      <c:pt idx="4">
                        <c:v>29410.854076769891</c:v>
                      </c:pt>
                      <c:pt idx="5">
                        <c:v>33375.548729294744</c:v>
                      </c:pt>
                      <c:pt idx="6">
                        <c:v>37354.431473417128</c:v>
                      </c:pt>
                      <c:pt idx="7">
                        <c:v>40297.735531614446</c:v>
                      </c:pt>
                      <c:pt idx="8">
                        <c:v>43781.931758187238</c:v>
                      </c:pt>
                      <c:pt idx="9">
                        <c:v>46688.956144955337</c:v>
                      </c:pt>
                      <c:pt idx="10">
                        <c:v>49806.545409764061</c:v>
                      </c:pt>
                    </c:numCache>
                  </c:numRef>
                </c:xVal>
                <c:yVal>
                  <c:numRef>
                    <c:extLst xmlns:c15="http://schemas.microsoft.com/office/drawing/2012/chart">
                      <c:ext xmlns:c15="http://schemas.microsoft.com/office/drawing/2012/chart" uri="{02D57815-91ED-43cb-92C2-25804820EDAC}">
                        <c15:formulaRef>
                          <c15:sqref>'1lowflow'!$O$8:$O$18</c15:sqref>
                        </c15:formulaRef>
                      </c:ext>
                    </c:extLst>
                    <c:numCache>
                      <c:formatCode>0.000</c:formatCode>
                      <c:ptCount val="11"/>
                      <c:pt idx="0">
                        <c:v>1.304073392937141E-2</c:v>
                      </c:pt>
                      <c:pt idx="1">
                        <c:v>1.3092179033432381E-2</c:v>
                      </c:pt>
                      <c:pt idx="2">
                        <c:v>1.3132502834906768E-2</c:v>
                      </c:pt>
                      <c:pt idx="3">
                        <c:v>1.2990869956031638E-2</c:v>
                      </c:pt>
                      <c:pt idx="4">
                        <c:v>1.3194472800569264E-2</c:v>
                      </c:pt>
                      <c:pt idx="5">
                        <c:v>1.2681148474084235E-2</c:v>
                      </c:pt>
                      <c:pt idx="6">
                        <c:v>1.2711167217235721E-2</c:v>
                      </c:pt>
                      <c:pt idx="7">
                        <c:v>1.2507568501996951E-2</c:v>
                      </c:pt>
                      <c:pt idx="8">
                        <c:v>1.1486588192017713E-2</c:v>
                      </c:pt>
                      <c:pt idx="9">
                        <c:v>1.0199121203308502E-2</c:v>
                      </c:pt>
                      <c:pt idx="10">
                        <c:v>9.2659188093637684E-3</c:v>
                      </c:pt>
                    </c:numCache>
                  </c:numRef>
                </c:yVal>
                <c:smooth val="0"/>
                <c:extLst xmlns:c15="http://schemas.microsoft.com/office/drawing/2012/chart">
                  <c:ext xmlns:c16="http://schemas.microsoft.com/office/drawing/2014/chart" uri="{C3380CC4-5D6E-409C-BE32-E72D297353CC}">
                    <c16:uniqueId val="{0000004D-889F-40EB-8887-33DA49C2A47B}"/>
                  </c:ext>
                </c:extLst>
              </c15:ser>
            </c15:filteredScatterSeries>
            <c15:filteredScatterSeries>
              <c15:ser>
                <c:idx val="28"/>
                <c:order val="17"/>
                <c:tx>
                  <c:v>low flow 4</c:v>
                </c:tx>
                <c:spPr>
                  <a:ln w="25400" cap="rnd">
                    <a:noFill/>
                    <a:round/>
                  </a:ln>
                  <a:effectLst/>
                </c:spPr>
                <c:xVal>
                  <c:numRef>
                    <c:extLst xmlns:c15="http://schemas.microsoft.com/office/drawing/2012/chart">
                      <c:ext xmlns:c15="http://schemas.microsoft.com/office/drawing/2012/chart" uri="{02D57815-91ED-43cb-92C2-25804820EDAC}">
                        <c15:formulaRef>
                          <c15:sqref>('2lowflow'!$L$8,'2lowflow'!$L$10:$L$18)</c15:sqref>
                        </c15:formulaRef>
                      </c:ext>
                    </c:extLst>
                    <c:numCache>
                      <c:formatCode>0.0E+00</c:formatCode>
                      <c:ptCount val="10"/>
                      <c:pt idx="0">
                        <c:v>14264.395221837269</c:v>
                      </c:pt>
                      <c:pt idx="1">
                        <c:v>21278.686563893971</c:v>
                      </c:pt>
                      <c:pt idx="2">
                        <c:v>26625.705078418359</c:v>
                      </c:pt>
                      <c:pt idx="3">
                        <c:v>29794.458989530936</c:v>
                      </c:pt>
                      <c:pt idx="4">
                        <c:v>33131.63036178083</c:v>
                      </c:pt>
                      <c:pt idx="5">
                        <c:v>36502.48462879999</c:v>
                      </c:pt>
                      <c:pt idx="6">
                        <c:v>40660.846296579126</c:v>
                      </c:pt>
                      <c:pt idx="7">
                        <c:v>44179.980053855405</c:v>
                      </c:pt>
                      <c:pt idx="8">
                        <c:v>47288.172743160452</c:v>
                      </c:pt>
                      <c:pt idx="9">
                        <c:v>50255.634950659114</c:v>
                      </c:pt>
                    </c:numCache>
                  </c:numRef>
                </c:xVal>
                <c:yVal>
                  <c:numRef>
                    <c:extLst xmlns:c15="http://schemas.microsoft.com/office/drawing/2012/chart">
                      <c:ext xmlns:c15="http://schemas.microsoft.com/office/drawing/2012/chart" uri="{02D57815-91ED-43cb-92C2-25804820EDAC}">
                        <c15:formulaRef>
                          <c15:sqref>('2lowflow'!$O$8,'2lowflow'!$O$10:$O$18)</c15:sqref>
                        </c15:formulaRef>
                      </c:ext>
                    </c:extLst>
                    <c:numCache>
                      <c:formatCode>0.000</c:formatCode>
                      <c:ptCount val="10"/>
                      <c:pt idx="0">
                        <c:v>1.1891761786368395E-2</c:v>
                      </c:pt>
                      <c:pt idx="1">
                        <c:v>1.1695335987554286E-2</c:v>
                      </c:pt>
                      <c:pt idx="2">
                        <c:v>1.1826774127943251E-2</c:v>
                      </c:pt>
                      <c:pt idx="3">
                        <c:v>1.1877348027892474E-2</c:v>
                      </c:pt>
                      <c:pt idx="4">
                        <c:v>1.1483046501742863E-2</c:v>
                      </c:pt>
                      <c:pt idx="5">
                        <c:v>1.1283472706249083E-2</c:v>
                      </c:pt>
                      <c:pt idx="6">
                        <c:v>1.0821101270403269E-2</c:v>
                      </c:pt>
                      <c:pt idx="7">
                        <c:v>1.0688637825367402E-2</c:v>
                      </c:pt>
                      <c:pt idx="8">
                        <c:v>1.0023204683531125E-2</c:v>
                      </c:pt>
                      <c:pt idx="9">
                        <c:v>9.3326336329008705E-3</c:v>
                      </c:pt>
                    </c:numCache>
                  </c:numRef>
                </c:yVal>
                <c:smooth val="0"/>
                <c:extLst xmlns:c15="http://schemas.microsoft.com/office/drawing/2012/chart">
                  <c:ext xmlns:c16="http://schemas.microsoft.com/office/drawing/2014/chart" uri="{C3380CC4-5D6E-409C-BE32-E72D297353CC}">
                    <c16:uniqueId val="{0000004E-889F-40EB-8887-33DA49C2A47B}"/>
                  </c:ext>
                </c:extLst>
              </c15:ser>
            </c15:filteredScatterSeries>
          </c:ext>
        </c:extLst>
      </c:scatterChart>
      <c:valAx>
        <c:axId val="526698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693968"/>
        <c:crosses val="autoZero"/>
        <c:crossBetween val="midCat"/>
      </c:valAx>
      <c:valAx>
        <c:axId val="526939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669840"/>
        <c:crosses val="autoZero"/>
        <c:crossBetween val="midCat"/>
      </c:valAx>
    </c:plotArea>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87905743009573"/>
          <c:y val="7.6000885431489737E-2"/>
          <c:w val="0.87147208843029911"/>
          <c:h val="0.81169022546880432"/>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1.2229036274102455E-2"/>
                  <c:y val="-4.2143755798142056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#REF!</c:f>
            </c:numRef>
          </c:xVal>
          <c:yVal>
            <c:numRef>
              <c:f>#REF!</c:f>
              <c:numCache>
                <c:formatCode>General</c:formatCode>
                <c:ptCount val="1"/>
                <c:pt idx="0">
                  <c:v>1</c:v>
                </c:pt>
              </c:numCache>
            </c:numRef>
          </c:yVal>
          <c:smooth val="0"/>
          <c:extLst>
            <c:ext xmlns:c16="http://schemas.microsoft.com/office/drawing/2014/chart" uri="{C3380CC4-5D6E-409C-BE32-E72D297353CC}">
              <c16:uniqueId val="{00000001-29E1-47BD-BAFC-B2B7CB57B82E}"/>
            </c:ext>
          </c:extLst>
        </c:ser>
        <c:dLbls>
          <c:showLegendKey val="0"/>
          <c:showVal val="0"/>
          <c:showCatName val="0"/>
          <c:showSerName val="0"/>
          <c:showPercent val="0"/>
          <c:showBubbleSize val="0"/>
        </c:dLbls>
        <c:axId val="495907024"/>
        <c:axId val="495906368"/>
      </c:scatterChart>
      <c:valAx>
        <c:axId val="4959070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b="0" i="0" u="none" strike="noStrike" baseline="0">
                    <a:effectLst/>
                  </a:rPr>
                  <a:t>u</a:t>
                </a:r>
                <a:r>
                  <a:rPr lang="en-US" sz="1600" b="0" i="0" u="none" strike="noStrike" baseline="0"/>
                  <a:t> </a:t>
                </a:r>
                <a:endParaRPr lang="en-US" sz="1600"/>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6368"/>
        <c:crosses val="autoZero"/>
        <c:crossBetween val="midCat"/>
      </c:valAx>
      <c:valAx>
        <c:axId val="495906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el-GR" sz="1400" b="0" i="0" u="none" strike="noStrike" baseline="0">
                    <a:effectLst/>
                  </a:rPr>
                  <a:t>Δ</a:t>
                </a:r>
                <a:r>
                  <a:rPr lang="en-US" sz="1400" b="0" i="0" u="none" strike="noStrike" baseline="0">
                    <a:effectLst/>
                  </a:rPr>
                  <a:t>P(Pa)</a:t>
                </a:r>
                <a:r>
                  <a:rPr lang="en-US" sz="1400" b="0" i="0" u="none" strike="noStrike" baseline="0"/>
                  <a:t> </a:t>
                </a:r>
                <a:endParaRPr lang="en-US" sz="1400"/>
              </a:p>
            </c:rich>
          </c:tx>
          <c:layout>
            <c:manualLayout>
              <c:xMode val="edge"/>
              <c:yMode val="edge"/>
              <c:x val="1.1874859823608077E-2"/>
              <c:y val="0.37440418485845395"/>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95907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1"/>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2.6047394234618979E-2"/>
                  <c:y val="-0.1421860125637547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'1lowflow'!$L$9:$L$18</c:f>
              <c:numCache>
                <c:formatCode>0.0E+00</c:formatCode>
                <c:ptCount val="10"/>
                <c:pt idx="0">
                  <c:v>18557.509953635461</c:v>
                </c:pt>
                <c:pt idx="1">
                  <c:v>23060.553536426025</c:v>
                </c:pt>
                <c:pt idx="2">
                  <c:v>26502.360622555469</c:v>
                </c:pt>
                <c:pt idx="3">
                  <c:v>29410.854076769891</c:v>
                </c:pt>
                <c:pt idx="4">
                  <c:v>33375.548729294744</c:v>
                </c:pt>
                <c:pt idx="5">
                  <c:v>37354.431473417128</c:v>
                </c:pt>
                <c:pt idx="6">
                  <c:v>40297.735531614446</c:v>
                </c:pt>
                <c:pt idx="7">
                  <c:v>43781.931758187238</c:v>
                </c:pt>
                <c:pt idx="8">
                  <c:v>46688.956144955337</c:v>
                </c:pt>
                <c:pt idx="9">
                  <c:v>49806.545409764061</c:v>
                </c:pt>
              </c:numCache>
            </c:numRef>
          </c:xVal>
          <c:yVal>
            <c:numRef>
              <c:f>'1lowflow'!$O$9:$O$18</c:f>
              <c:numCache>
                <c:formatCode>0.000</c:formatCode>
                <c:ptCount val="10"/>
                <c:pt idx="0">
                  <c:v>1.3092179033432381E-2</c:v>
                </c:pt>
                <c:pt idx="1">
                  <c:v>1.3132502834906768E-2</c:v>
                </c:pt>
                <c:pt idx="2">
                  <c:v>1.2990869956031638E-2</c:v>
                </c:pt>
                <c:pt idx="3">
                  <c:v>1.3194472800569264E-2</c:v>
                </c:pt>
                <c:pt idx="4">
                  <c:v>1.2681148474084235E-2</c:v>
                </c:pt>
                <c:pt idx="5">
                  <c:v>1.2711167217235721E-2</c:v>
                </c:pt>
                <c:pt idx="6">
                  <c:v>1.2507568501996951E-2</c:v>
                </c:pt>
                <c:pt idx="7">
                  <c:v>1.1486588192017713E-2</c:v>
                </c:pt>
                <c:pt idx="8">
                  <c:v>1.0199121203308502E-2</c:v>
                </c:pt>
                <c:pt idx="9">
                  <c:v>9.2659188093637684E-3</c:v>
                </c:pt>
              </c:numCache>
            </c:numRef>
          </c:yVal>
          <c:smooth val="0"/>
          <c:extLst>
            <c:ext xmlns:c16="http://schemas.microsoft.com/office/drawing/2014/chart" uri="{C3380CC4-5D6E-409C-BE32-E72D297353CC}">
              <c16:uniqueId val="{00000000-3DB4-40C7-A8BE-760D61058460}"/>
            </c:ext>
          </c:extLst>
        </c:ser>
        <c:ser>
          <c:idx val="2"/>
          <c:order val="2"/>
          <c:tx>
            <c:v>LowFlowHartlepoolBiofilm2 - Unload</c:v>
          </c:tx>
          <c:spPr>
            <a:ln w="25400" cap="rnd">
              <a:noFill/>
              <a:round/>
            </a:ln>
            <a:effectLst/>
          </c:spPr>
          <c:marker>
            <c:symbol val="circle"/>
            <c:size val="5"/>
            <c:spPr>
              <a:solidFill>
                <a:schemeClr val="accent3"/>
              </a:solidFill>
              <a:ln w="9525">
                <a:solidFill>
                  <a:schemeClr val="accent3"/>
                </a:solidFill>
              </a:ln>
              <a:effectLst/>
            </c:spPr>
          </c:marker>
          <c:xVal>
            <c:numRef>
              <c:f>'1lowflow'!$L$19:$L$28</c:f>
              <c:numCache>
                <c:formatCode>0.0E+00</c:formatCode>
                <c:ptCount val="10"/>
                <c:pt idx="0">
                  <c:v>46663.186529224142</c:v>
                </c:pt>
                <c:pt idx="1">
                  <c:v>43618.274806792528</c:v>
                </c:pt>
                <c:pt idx="2">
                  <c:v>40152.084942600886</c:v>
                </c:pt>
                <c:pt idx="3">
                  <c:v>36062.181789654795</c:v>
                </c:pt>
                <c:pt idx="4">
                  <c:v>33119.998149553045</c:v>
                </c:pt>
                <c:pt idx="5">
                  <c:v>30184.563114795539</c:v>
                </c:pt>
                <c:pt idx="6">
                  <c:v>26234.782441492276</c:v>
                </c:pt>
                <c:pt idx="7">
                  <c:v>22702.610619888826</c:v>
                </c:pt>
                <c:pt idx="8">
                  <c:v>18786.166202138123</c:v>
                </c:pt>
                <c:pt idx="9">
                  <c:v>15473.089183886137</c:v>
                </c:pt>
              </c:numCache>
            </c:numRef>
          </c:xVal>
          <c:yVal>
            <c:numRef>
              <c:f>'1lowflow'!$O$19:$O$28</c:f>
              <c:numCache>
                <c:formatCode>0.000</c:formatCode>
                <c:ptCount val="10"/>
                <c:pt idx="0">
                  <c:v>1.048947049190976E-2</c:v>
                </c:pt>
                <c:pt idx="1">
                  <c:v>1.1697246292826294E-2</c:v>
                </c:pt>
                <c:pt idx="2">
                  <c:v>1.2378578717682125E-2</c:v>
                </c:pt>
                <c:pt idx="3">
                  <c:v>1.2565720237676194E-2</c:v>
                </c:pt>
                <c:pt idx="4">
                  <c:v>1.2235717248645431E-2</c:v>
                </c:pt>
                <c:pt idx="5">
                  <c:v>1.2084684968317178E-2</c:v>
                </c:pt>
                <c:pt idx="6">
                  <c:v>1.2456308094678369E-2</c:v>
                </c:pt>
                <c:pt idx="7">
                  <c:v>1.2670908899511382E-2</c:v>
                </c:pt>
                <c:pt idx="8">
                  <c:v>1.2614378631869108E-2</c:v>
                </c:pt>
                <c:pt idx="9">
                  <c:v>1.1802805958075145E-2</c:v>
                </c:pt>
              </c:numCache>
            </c:numRef>
          </c:yVal>
          <c:smooth val="0"/>
          <c:extLst>
            <c:ext xmlns:c16="http://schemas.microsoft.com/office/drawing/2014/chart" uri="{C3380CC4-5D6E-409C-BE32-E72D297353CC}">
              <c16:uniqueId val="{00000001-3DB4-40C7-A8BE-760D61058460}"/>
            </c:ext>
          </c:extLst>
        </c:ser>
        <c:dLbls>
          <c:showLegendKey val="0"/>
          <c:showVal val="0"/>
          <c:showCatName val="0"/>
          <c:showSerName val="0"/>
          <c:showPercent val="0"/>
          <c:showBubbleSize val="0"/>
        </c:dLbls>
        <c:axId val="424978536"/>
        <c:axId val="424985752"/>
        <c:extLst>
          <c:ext xmlns:c15="http://schemas.microsoft.com/office/drawing/2012/chart" uri="{02D57815-91ED-43cb-92C2-25804820EDAC}">
            <c15:filteredScatterSeries>
              <c15:ser>
                <c:idx val="1"/>
                <c:order val="0"/>
                <c:tx>
                  <c:strRef>
                    <c:extLst>
                      <c:ext uri="{02D57815-91ED-43cb-92C2-25804820EDAC}">
                        <c15:formulaRef>
                          <c15:sqref>#REF!</c15:sqref>
                        </c15:formulaRef>
                      </c:ext>
                    </c:extLst>
                    <c:strCache>
                      <c:ptCount val="1"/>
                      <c:pt idx="0">
                        <c:v>#REF!</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wer"/>
                  <c:dispRSqr val="0"/>
                  <c:dispEq val="1"/>
                  <c:trendlineLbl>
                    <c:layout>
                      <c:manualLayout>
                        <c:x val="3.2841416116786721E-4"/>
                        <c:y val="4.8865132254902813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extLst>
                      <c:ext uri="{02D57815-91ED-43cb-92C2-25804820EDAC}">
                        <c15:formulaRef>
                          <c15:sqref>#REF!</c15:sqref>
                        </c15:formulaRef>
                      </c:ext>
                    </c:extLst>
                  </c:numRef>
                </c:xVal>
                <c:yVal>
                  <c:numRef>
                    <c:extLst>
                      <c:ext uri="{02D57815-91ED-43cb-92C2-25804820EDAC}">
                        <c15:formulaRef>
                          <c15:sqref>#REF!</c15:sqref>
                        </c15:formulaRef>
                      </c:ext>
                    </c:extLst>
                    <c:numCache>
                      <c:formatCode>General</c:formatCode>
                      <c:ptCount val="1"/>
                      <c:pt idx="0">
                        <c:v>1</c:v>
                      </c:pt>
                    </c:numCache>
                  </c:numRef>
                </c:yVal>
                <c:smooth val="0"/>
                <c:extLst>
                  <c:ext xmlns:c16="http://schemas.microsoft.com/office/drawing/2014/chart" uri="{C3380CC4-5D6E-409C-BE32-E72D297353CC}">
                    <c16:uniqueId val="{00000003-3DB4-40C7-A8BE-760D61058460}"/>
                  </c:ext>
                </c:extLst>
              </c15:ser>
            </c15:filteredScatterSeries>
          </c:ext>
        </c:extLst>
      </c:scatterChart>
      <c:valAx>
        <c:axId val="424978536"/>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Re</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85752"/>
        <c:crosses val="autoZero"/>
        <c:crossBetween val="midCat"/>
      </c:valAx>
      <c:valAx>
        <c:axId val="4249857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US" sz="1600" baseline="0"/>
                  <a:t>Fanning  Friction Factor (f)</a:t>
                </a:r>
                <a:endParaRPr lang="en-US" sz="1600"/>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7853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dash"/>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1"/>
          <c:tx>
            <c:v>LowFlowHartlepoolBiofilm2 - Load</c:v>
          </c:tx>
          <c:spPr>
            <a:ln w="25400" cap="rnd">
              <a:noFill/>
              <a:round/>
            </a:ln>
            <a:effectLst/>
          </c:spPr>
          <c:marker>
            <c:symbol val="circle"/>
            <c:size val="5"/>
            <c:spPr>
              <a:solidFill>
                <a:schemeClr val="accent1"/>
              </a:solidFill>
              <a:ln w="9525">
                <a:solidFill>
                  <a:schemeClr val="accent1"/>
                </a:solidFill>
              </a:ln>
              <a:effectLst/>
            </c:spPr>
          </c:marker>
          <c:xVal>
            <c:numRef>
              <c:f>'1lowflow'!$L$8:$L$18</c:f>
              <c:numCache>
                <c:formatCode>0.0E+00</c:formatCode>
                <c:ptCount val="11"/>
                <c:pt idx="0">
                  <c:v>15086.426160303949</c:v>
                </c:pt>
                <c:pt idx="1">
                  <c:v>18557.509953635461</c:v>
                </c:pt>
                <c:pt idx="2">
                  <c:v>23060.553536426025</c:v>
                </c:pt>
                <c:pt idx="3">
                  <c:v>26502.360622555469</c:v>
                </c:pt>
                <c:pt idx="4">
                  <c:v>29410.854076769891</c:v>
                </c:pt>
                <c:pt idx="5">
                  <c:v>33375.548729294744</c:v>
                </c:pt>
                <c:pt idx="6">
                  <c:v>37354.431473417128</c:v>
                </c:pt>
                <c:pt idx="7">
                  <c:v>40297.735531614446</c:v>
                </c:pt>
                <c:pt idx="8">
                  <c:v>43781.931758187238</c:v>
                </c:pt>
                <c:pt idx="9">
                  <c:v>46688.956144955337</c:v>
                </c:pt>
                <c:pt idx="10">
                  <c:v>49806.545409764061</c:v>
                </c:pt>
              </c:numCache>
            </c:numRef>
          </c:xVal>
          <c:yVal>
            <c:numRef>
              <c:f>'1lowflow'!$O$8:$O$18</c:f>
              <c:numCache>
                <c:formatCode>0.000</c:formatCode>
                <c:ptCount val="11"/>
                <c:pt idx="0">
                  <c:v>1.304073392937141E-2</c:v>
                </c:pt>
                <c:pt idx="1">
                  <c:v>1.3092179033432381E-2</c:v>
                </c:pt>
                <c:pt idx="2">
                  <c:v>1.3132502834906768E-2</c:v>
                </c:pt>
                <c:pt idx="3">
                  <c:v>1.2990869956031638E-2</c:v>
                </c:pt>
                <c:pt idx="4">
                  <c:v>1.3194472800569264E-2</c:v>
                </c:pt>
                <c:pt idx="5">
                  <c:v>1.2681148474084235E-2</c:v>
                </c:pt>
                <c:pt idx="6">
                  <c:v>1.2711167217235721E-2</c:v>
                </c:pt>
                <c:pt idx="7">
                  <c:v>1.2507568501996951E-2</c:v>
                </c:pt>
                <c:pt idx="8">
                  <c:v>1.1486588192017713E-2</c:v>
                </c:pt>
                <c:pt idx="9">
                  <c:v>1.0199121203308502E-2</c:v>
                </c:pt>
                <c:pt idx="10">
                  <c:v>9.2659188093637684E-3</c:v>
                </c:pt>
              </c:numCache>
            </c:numRef>
          </c:yVal>
          <c:smooth val="0"/>
          <c:extLst>
            <c:ext xmlns:c16="http://schemas.microsoft.com/office/drawing/2014/chart" uri="{C3380CC4-5D6E-409C-BE32-E72D297353CC}">
              <c16:uniqueId val="{00000000-7145-4B57-BE46-677B3652806E}"/>
            </c:ext>
          </c:extLst>
        </c:ser>
        <c:ser>
          <c:idx val="2"/>
          <c:order val="2"/>
          <c:spPr>
            <a:ln w="25400" cap="rnd">
              <a:noFill/>
              <a:round/>
            </a:ln>
            <a:effectLst/>
          </c:spPr>
          <c:marker>
            <c:symbol val="circle"/>
            <c:size val="5"/>
            <c:spPr>
              <a:solidFill>
                <a:schemeClr val="accent3"/>
              </a:solidFill>
              <a:ln w="9525">
                <a:solidFill>
                  <a:schemeClr val="accent3"/>
                </a:solidFill>
              </a:ln>
              <a:effectLst/>
            </c:spPr>
          </c:marker>
          <c:xVal>
            <c:numRef>
              <c:f>'1lowflow'!$L$18:$L$28</c:f>
              <c:numCache>
                <c:formatCode>0.0E+00</c:formatCode>
                <c:ptCount val="11"/>
                <c:pt idx="0">
                  <c:v>49806.545409764061</c:v>
                </c:pt>
                <c:pt idx="1">
                  <c:v>46663.186529224142</c:v>
                </c:pt>
                <c:pt idx="2">
                  <c:v>43618.274806792528</c:v>
                </c:pt>
                <c:pt idx="3">
                  <c:v>40152.084942600886</c:v>
                </c:pt>
                <c:pt idx="4">
                  <c:v>36062.181789654795</c:v>
                </c:pt>
                <c:pt idx="5">
                  <c:v>33119.998149553045</c:v>
                </c:pt>
                <c:pt idx="6">
                  <c:v>30184.563114795539</c:v>
                </c:pt>
                <c:pt idx="7">
                  <c:v>26234.782441492276</c:v>
                </c:pt>
                <c:pt idx="8">
                  <c:v>22702.610619888826</c:v>
                </c:pt>
                <c:pt idx="9">
                  <c:v>18786.166202138123</c:v>
                </c:pt>
                <c:pt idx="10">
                  <c:v>15473.089183886137</c:v>
                </c:pt>
              </c:numCache>
            </c:numRef>
          </c:xVal>
          <c:yVal>
            <c:numRef>
              <c:f>'1lowflow'!$O$18:$O$28</c:f>
              <c:numCache>
                <c:formatCode>0.000</c:formatCode>
                <c:ptCount val="11"/>
                <c:pt idx="0">
                  <c:v>9.2659188093637684E-3</c:v>
                </c:pt>
                <c:pt idx="1">
                  <c:v>1.048947049190976E-2</c:v>
                </c:pt>
                <c:pt idx="2">
                  <c:v>1.1697246292826294E-2</c:v>
                </c:pt>
                <c:pt idx="3">
                  <c:v>1.2378578717682125E-2</c:v>
                </c:pt>
                <c:pt idx="4">
                  <c:v>1.2565720237676194E-2</c:v>
                </c:pt>
                <c:pt idx="5">
                  <c:v>1.2235717248645431E-2</c:v>
                </c:pt>
                <c:pt idx="6">
                  <c:v>1.2084684968317178E-2</c:v>
                </c:pt>
                <c:pt idx="7">
                  <c:v>1.2456308094678369E-2</c:v>
                </c:pt>
                <c:pt idx="8">
                  <c:v>1.2670908899511382E-2</c:v>
                </c:pt>
                <c:pt idx="9">
                  <c:v>1.2614378631869108E-2</c:v>
                </c:pt>
                <c:pt idx="10">
                  <c:v>1.1802805958075145E-2</c:v>
                </c:pt>
              </c:numCache>
            </c:numRef>
          </c:yVal>
          <c:smooth val="0"/>
          <c:extLst>
            <c:ext xmlns:c16="http://schemas.microsoft.com/office/drawing/2014/chart" uri="{C3380CC4-5D6E-409C-BE32-E72D297353CC}">
              <c16:uniqueId val="{00000001-7145-4B57-BE46-677B3652806E}"/>
            </c:ext>
          </c:extLst>
        </c:ser>
        <c:dLbls>
          <c:showLegendKey val="0"/>
          <c:showVal val="0"/>
          <c:showCatName val="0"/>
          <c:showSerName val="0"/>
          <c:showPercent val="0"/>
          <c:showBubbleSize val="0"/>
        </c:dLbls>
        <c:axId val="424978536"/>
        <c:axId val="424985752"/>
        <c:extLst>
          <c:ext xmlns:c15="http://schemas.microsoft.com/office/drawing/2012/chart" uri="{02D57815-91ED-43cb-92C2-25804820EDAC}">
            <c15:filteredScatterSeries>
              <c15:ser>
                <c:idx val="1"/>
                <c:order val="0"/>
                <c:tx>
                  <c:strRef>
                    <c:extLst>
                      <c:ext uri="{02D57815-91ED-43cb-92C2-25804820EDAC}">
                        <c15:formulaRef>
                          <c15:sqref>#REF!</c15:sqref>
                        </c15:formulaRef>
                      </c:ext>
                    </c:extLst>
                    <c:strCache>
                      <c:ptCount val="1"/>
                      <c:pt idx="0">
                        <c:v>#REF!</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power"/>
                  <c:dispRSqr val="0"/>
                  <c:dispEq val="1"/>
                  <c:trendlineLbl>
                    <c:layout>
                      <c:manualLayout>
                        <c:x val="3.2841416116786721E-4"/>
                        <c:y val="4.8865132254902813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extLst>
                      <c:ext uri="{02D57815-91ED-43cb-92C2-25804820EDAC}">
                        <c15:formulaRef>
                          <c15:sqref>#REF!</c15:sqref>
                        </c15:formulaRef>
                      </c:ext>
                    </c:extLst>
                  </c:numRef>
                </c:xVal>
                <c:yVal>
                  <c:numRef>
                    <c:extLst>
                      <c:ext uri="{02D57815-91ED-43cb-92C2-25804820EDAC}">
                        <c15:formulaRef>
                          <c15:sqref>#REF!</c15:sqref>
                        </c15:formulaRef>
                      </c:ext>
                    </c:extLst>
                    <c:numCache>
                      <c:formatCode>General</c:formatCode>
                      <c:ptCount val="1"/>
                      <c:pt idx="0">
                        <c:v>1</c:v>
                      </c:pt>
                    </c:numCache>
                  </c:numRef>
                </c:yVal>
                <c:smooth val="0"/>
                <c:extLst>
                  <c:ext xmlns:c16="http://schemas.microsoft.com/office/drawing/2014/chart" uri="{C3380CC4-5D6E-409C-BE32-E72D297353CC}">
                    <c16:uniqueId val="{00000003-7145-4B57-BE46-677B3652806E}"/>
                  </c:ext>
                </c:extLst>
              </c15:ser>
            </c15:filteredScatterSeries>
          </c:ext>
        </c:extLst>
      </c:scatterChart>
      <c:valAx>
        <c:axId val="424978536"/>
        <c:scaling>
          <c:orientation val="minMax"/>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Re</a:t>
                </a:r>
              </a:p>
            </c:rich>
          </c:tx>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85752"/>
        <c:crosses val="autoZero"/>
        <c:crossBetween val="midCat"/>
      </c:valAx>
      <c:valAx>
        <c:axId val="4249857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r>
                  <a:rPr lang="en-US" sz="1600" baseline="0"/>
                  <a:t>Fanning  Friction Factor (f)</a:t>
                </a:r>
                <a:endParaRPr lang="en-US" sz="1600"/>
              </a:p>
            </c:rich>
          </c:tx>
          <c:overlay val="0"/>
          <c:spPr>
            <a:noFill/>
            <a:ln>
              <a:noFill/>
            </a:ln>
            <a:effectLst/>
          </c:spPr>
          <c:txPr>
            <a:bodyPr rot="-540000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42497853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dash"/>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4"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20.xml"/><Relationship Id="rId1" Type="http://schemas.openxmlformats.org/officeDocument/2006/relationships/chart" Target="../charts/chart1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9.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chart" Target="../charts/chart22.xml"/></Relationships>
</file>

<file path=xl/drawings/drawing1.xml><?xml version="1.0" encoding="utf-8"?>
<xdr:wsDr xmlns:xdr="http://schemas.openxmlformats.org/drawingml/2006/spreadsheetDrawing" xmlns:a="http://schemas.openxmlformats.org/drawingml/2006/main">
  <xdr:twoCellAnchor>
    <xdr:from>
      <xdr:col>0</xdr:col>
      <xdr:colOff>722730</xdr:colOff>
      <xdr:row>8</xdr:row>
      <xdr:rowOff>28408</xdr:rowOff>
    </xdr:from>
    <xdr:to>
      <xdr:col>10</xdr:col>
      <xdr:colOff>720348</xdr:colOff>
      <xdr:row>35</xdr:row>
      <xdr:rowOff>45218</xdr:rowOff>
    </xdr:to>
    <xdr:graphicFrame macro="">
      <xdr:nvGraphicFramePr>
        <xdr:cNvPr id="2" name="Chart 1">
          <a:extLst>
            <a:ext uri="{FF2B5EF4-FFF2-40B4-BE49-F238E27FC236}">
              <a16:creationId xmlns:a16="http://schemas.microsoft.com/office/drawing/2014/main" id="{87CABFD9-653A-47B7-A6FB-4485AFF3E12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404812</xdr:colOff>
      <xdr:row>0</xdr:row>
      <xdr:rowOff>95250</xdr:rowOff>
    </xdr:from>
    <xdr:to>
      <xdr:col>21</xdr:col>
      <xdr:colOff>411955</xdr:colOff>
      <xdr:row>25</xdr:row>
      <xdr:rowOff>18256</xdr:rowOff>
    </xdr:to>
    <xdr:graphicFrame macro="">
      <xdr:nvGraphicFramePr>
        <xdr:cNvPr id="8" name="Chart 7">
          <a:extLst>
            <a:ext uri="{FF2B5EF4-FFF2-40B4-BE49-F238E27FC236}">
              <a16:creationId xmlns:a16="http://schemas.microsoft.com/office/drawing/2014/main" id="{6D9B052A-D710-4C27-B16B-0C30DCB8E8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452437</xdr:colOff>
      <xdr:row>25</xdr:row>
      <xdr:rowOff>83345</xdr:rowOff>
    </xdr:from>
    <xdr:to>
      <xdr:col>21</xdr:col>
      <xdr:colOff>459580</xdr:colOff>
      <xdr:row>50</xdr:row>
      <xdr:rowOff>6350</xdr:rowOff>
    </xdr:to>
    <xdr:graphicFrame macro="">
      <xdr:nvGraphicFramePr>
        <xdr:cNvPr id="9" name="Chart 8">
          <a:extLst>
            <a:ext uri="{FF2B5EF4-FFF2-40B4-BE49-F238E27FC236}">
              <a16:creationId xmlns:a16="http://schemas.microsoft.com/office/drawing/2014/main" id="{14F693F7-4800-44E9-BA84-5632808F9C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42</xdr:col>
      <xdr:colOff>714375</xdr:colOff>
      <xdr:row>45</xdr:row>
      <xdr:rowOff>153458</xdr:rowOff>
    </xdr:from>
    <xdr:to>
      <xdr:col>62</xdr:col>
      <xdr:colOff>544739</xdr:colOff>
      <xdr:row>84</xdr:row>
      <xdr:rowOff>117172</xdr:rowOff>
    </xdr:to>
    <xdr:graphicFrame macro="">
      <xdr:nvGraphicFramePr>
        <xdr:cNvPr id="4" name="Chart 3">
          <a:extLst>
            <a:ext uri="{FF2B5EF4-FFF2-40B4-BE49-F238E27FC236}">
              <a16:creationId xmlns:a16="http://schemas.microsoft.com/office/drawing/2014/main" id="{CE905D8E-4AF1-4A94-82B1-D960A6EB81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42</xdr:col>
      <xdr:colOff>719666</xdr:colOff>
      <xdr:row>1</xdr:row>
      <xdr:rowOff>1</xdr:rowOff>
    </xdr:from>
    <xdr:to>
      <xdr:col>61</xdr:col>
      <xdr:colOff>317499</xdr:colOff>
      <xdr:row>41</xdr:row>
      <xdr:rowOff>154517</xdr:rowOff>
    </xdr:to>
    <xdr:graphicFrame macro="">
      <xdr:nvGraphicFramePr>
        <xdr:cNvPr id="5" name="Chart 4">
          <a:extLst>
            <a:ext uri="{FF2B5EF4-FFF2-40B4-BE49-F238E27FC236}">
              <a16:creationId xmlns:a16="http://schemas.microsoft.com/office/drawing/2014/main" id="{B293F045-DA92-2302-BC7C-5E27C18C89A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451184</xdr:colOff>
      <xdr:row>83</xdr:row>
      <xdr:rowOff>83553</xdr:rowOff>
    </xdr:from>
    <xdr:to>
      <xdr:col>32</xdr:col>
      <xdr:colOff>281549</xdr:colOff>
      <xdr:row>122</xdr:row>
      <xdr:rowOff>44091</xdr:rowOff>
    </xdr:to>
    <xdr:graphicFrame macro="">
      <xdr:nvGraphicFramePr>
        <xdr:cNvPr id="10" name="Chart 11">
          <a:extLst>
            <a:ext uri="{FF2B5EF4-FFF2-40B4-BE49-F238E27FC236}">
              <a16:creationId xmlns:a16="http://schemas.microsoft.com/office/drawing/2014/main" id="{B59E5811-640F-4876-B619-E6C97B926C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202249</xdr:colOff>
      <xdr:row>29</xdr:row>
      <xdr:rowOff>61752</xdr:rowOff>
    </xdr:from>
    <xdr:to>
      <xdr:col>10</xdr:col>
      <xdr:colOff>561976</xdr:colOff>
      <xdr:row>50</xdr:row>
      <xdr:rowOff>180816</xdr:rowOff>
    </xdr:to>
    <xdr:graphicFrame macro="">
      <xdr:nvGraphicFramePr>
        <xdr:cNvPr id="2" name="Chart 1">
          <a:extLst>
            <a:ext uri="{FF2B5EF4-FFF2-40B4-BE49-F238E27FC236}">
              <a16:creationId xmlns:a16="http://schemas.microsoft.com/office/drawing/2014/main" id="{242CC2AA-3B52-4C2B-90AE-12BEDEAC23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180024</xdr:colOff>
      <xdr:row>30</xdr:row>
      <xdr:rowOff>83977</xdr:rowOff>
    </xdr:from>
    <xdr:to>
      <xdr:col>11</xdr:col>
      <xdr:colOff>387351</xdr:colOff>
      <xdr:row>52</xdr:row>
      <xdr:rowOff>12541</xdr:rowOff>
    </xdr:to>
    <xdr:graphicFrame macro="">
      <xdr:nvGraphicFramePr>
        <xdr:cNvPr id="2" name="Chart 1">
          <a:extLst>
            <a:ext uri="{FF2B5EF4-FFF2-40B4-BE49-F238E27FC236}">
              <a16:creationId xmlns:a16="http://schemas.microsoft.com/office/drawing/2014/main" id="{8A2C349A-28CD-435E-B99E-7D02F7024A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60</xdr:row>
      <xdr:rowOff>123735</xdr:rowOff>
    </xdr:from>
    <xdr:to>
      <xdr:col>10</xdr:col>
      <xdr:colOff>374332</xdr:colOff>
      <xdr:row>82</xdr:row>
      <xdr:rowOff>109721</xdr:rowOff>
    </xdr:to>
    <xdr:graphicFrame macro="">
      <xdr:nvGraphicFramePr>
        <xdr:cNvPr id="7" name="Chart 6">
          <a:extLst>
            <a:ext uri="{FF2B5EF4-FFF2-40B4-BE49-F238E27FC236}">
              <a16:creationId xmlns:a16="http://schemas.microsoft.com/office/drawing/2014/main" id="{07F2AD2F-174E-4175-A2CE-166DE51A63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606844</xdr:colOff>
      <xdr:row>61</xdr:row>
      <xdr:rowOff>10110</xdr:rowOff>
    </xdr:from>
    <xdr:to>
      <xdr:col>21</xdr:col>
      <xdr:colOff>470318</xdr:colOff>
      <xdr:row>84</xdr:row>
      <xdr:rowOff>152441</xdr:rowOff>
    </xdr:to>
    <xdr:graphicFrame macro="">
      <xdr:nvGraphicFramePr>
        <xdr:cNvPr id="8" name="Chart 7">
          <a:extLst>
            <a:ext uri="{FF2B5EF4-FFF2-40B4-BE49-F238E27FC236}">
              <a16:creationId xmlns:a16="http://schemas.microsoft.com/office/drawing/2014/main" id="{FD34AB5A-A661-46C7-9A34-E3583C03C6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386960</xdr:colOff>
      <xdr:row>30</xdr:row>
      <xdr:rowOff>7519</xdr:rowOff>
    </xdr:from>
    <xdr:to>
      <xdr:col>17</xdr:col>
      <xdr:colOff>618623</xdr:colOff>
      <xdr:row>51</xdr:row>
      <xdr:rowOff>170126</xdr:rowOff>
    </xdr:to>
    <xdr:graphicFrame macro="">
      <xdr:nvGraphicFramePr>
        <xdr:cNvPr id="9" name="Chart 8">
          <a:extLst>
            <a:ext uri="{FF2B5EF4-FFF2-40B4-BE49-F238E27FC236}">
              <a16:creationId xmlns:a16="http://schemas.microsoft.com/office/drawing/2014/main" id="{D1A48298-B293-43CB-B8FB-2D4780024D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467204</xdr:colOff>
      <xdr:row>29</xdr:row>
      <xdr:rowOff>125186</xdr:rowOff>
    </xdr:from>
    <xdr:to>
      <xdr:col>11</xdr:col>
      <xdr:colOff>183815</xdr:colOff>
      <xdr:row>52</xdr:row>
      <xdr:rowOff>33421</xdr:rowOff>
    </xdr:to>
    <xdr:graphicFrame macro="">
      <xdr:nvGraphicFramePr>
        <xdr:cNvPr id="2" name="Chart 1">
          <a:extLst>
            <a:ext uri="{FF2B5EF4-FFF2-40B4-BE49-F238E27FC236}">
              <a16:creationId xmlns:a16="http://schemas.microsoft.com/office/drawing/2014/main" id="{0C0C19FA-44E2-4C9E-BE80-85B9920275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168991</xdr:colOff>
      <xdr:row>28</xdr:row>
      <xdr:rowOff>121163</xdr:rowOff>
    </xdr:from>
    <xdr:to>
      <xdr:col>13</xdr:col>
      <xdr:colOff>399435</xdr:colOff>
      <xdr:row>58</xdr:row>
      <xdr:rowOff>76815</xdr:rowOff>
    </xdr:to>
    <xdr:graphicFrame macro="">
      <xdr:nvGraphicFramePr>
        <xdr:cNvPr id="2" name="Chart 1">
          <a:extLst>
            <a:ext uri="{FF2B5EF4-FFF2-40B4-BE49-F238E27FC236}">
              <a16:creationId xmlns:a16="http://schemas.microsoft.com/office/drawing/2014/main" id="{195616E0-37D4-4330-86A1-88FE22DCDE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211904</xdr:colOff>
      <xdr:row>30</xdr:row>
      <xdr:rowOff>49264</xdr:rowOff>
    </xdr:from>
    <xdr:to>
      <xdr:col>20</xdr:col>
      <xdr:colOff>933960</xdr:colOff>
      <xdr:row>57</xdr:row>
      <xdr:rowOff>69803</xdr:rowOff>
    </xdr:to>
    <xdr:graphicFrame macro="">
      <xdr:nvGraphicFramePr>
        <xdr:cNvPr id="8" name="Chart 7">
          <a:extLst>
            <a:ext uri="{FF2B5EF4-FFF2-40B4-BE49-F238E27FC236}">
              <a16:creationId xmlns:a16="http://schemas.microsoft.com/office/drawing/2014/main" id="{49E41828-1376-4C8C-9041-392546451D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168992</xdr:colOff>
      <xdr:row>28</xdr:row>
      <xdr:rowOff>121163</xdr:rowOff>
    </xdr:from>
    <xdr:to>
      <xdr:col>8</xdr:col>
      <xdr:colOff>107540</xdr:colOff>
      <xdr:row>54</xdr:row>
      <xdr:rowOff>1</xdr:rowOff>
    </xdr:to>
    <xdr:graphicFrame macro="">
      <xdr:nvGraphicFramePr>
        <xdr:cNvPr id="2" name="Chart 1">
          <a:extLst>
            <a:ext uri="{FF2B5EF4-FFF2-40B4-BE49-F238E27FC236}">
              <a16:creationId xmlns:a16="http://schemas.microsoft.com/office/drawing/2014/main" id="{7FC6ECEB-31F1-4CA9-875E-FD263BD171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363692</xdr:colOff>
      <xdr:row>28</xdr:row>
      <xdr:rowOff>189987</xdr:rowOff>
    </xdr:from>
    <xdr:to>
      <xdr:col>16</xdr:col>
      <xdr:colOff>430161</xdr:colOff>
      <xdr:row>54</xdr:row>
      <xdr:rowOff>15363</xdr:rowOff>
    </xdr:to>
    <xdr:graphicFrame macro="">
      <xdr:nvGraphicFramePr>
        <xdr:cNvPr id="9" name="Chart 8">
          <a:extLst>
            <a:ext uri="{FF2B5EF4-FFF2-40B4-BE49-F238E27FC236}">
              <a16:creationId xmlns:a16="http://schemas.microsoft.com/office/drawing/2014/main" id="{1E459290-2143-4E35-847F-E55608884B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320044</xdr:colOff>
      <xdr:row>32</xdr:row>
      <xdr:rowOff>6634</xdr:rowOff>
    </xdr:from>
    <xdr:to>
      <xdr:col>9</xdr:col>
      <xdr:colOff>56031</xdr:colOff>
      <xdr:row>55</xdr:row>
      <xdr:rowOff>130735</xdr:rowOff>
    </xdr:to>
    <xdr:graphicFrame macro="">
      <xdr:nvGraphicFramePr>
        <xdr:cNvPr id="2" name="Chart 1">
          <a:extLst>
            <a:ext uri="{FF2B5EF4-FFF2-40B4-BE49-F238E27FC236}">
              <a16:creationId xmlns:a16="http://schemas.microsoft.com/office/drawing/2014/main" id="{9EFA846A-7355-4FBB-9739-A5DDA27261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336271</xdr:colOff>
      <xdr:row>32</xdr:row>
      <xdr:rowOff>130970</xdr:rowOff>
    </xdr:from>
    <xdr:to>
      <xdr:col>16</xdr:col>
      <xdr:colOff>1755589</xdr:colOff>
      <xdr:row>55</xdr:row>
      <xdr:rowOff>112059</xdr:rowOff>
    </xdr:to>
    <xdr:graphicFrame macro="">
      <xdr:nvGraphicFramePr>
        <xdr:cNvPr id="8" name="Chart 7">
          <a:extLst>
            <a:ext uri="{FF2B5EF4-FFF2-40B4-BE49-F238E27FC236}">
              <a16:creationId xmlns:a16="http://schemas.microsoft.com/office/drawing/2014/main" id="{EF2E8DB8-03F6-4174-BE5C-9C9A9AE5B4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544719</xdr:colOff>
      <xdr:row>29</xdr:row>
      <xdr:rowOff>7456</xdr:rowOff>
    </xdr:from>
    <xdr:to>
      <xdr:col>8</xdr:col>
      <xdr:colOff>773043</xdr:colOff>
      <xdr:row>49</xdr:row>
      <xdr:rowOff>110436</xdr:rowOff>
    </xdr:to>
    <xdr:graphicFrame macro="">
      <xdr:nvGraphicFramePr>
        <xdr:cNvPr id="2" name="Chart 1">
          <a:extLst>
            <a:ext uri="{FF2B5EF4-FFF2-40B4-BE49-F238E27FC236}">
              <a16:creationId xmlns:a16="http://schemas.microsoft.com/office/drawing/2014/main" id="{1CCDC856-E6D5-4C95-BC38-C0747D7374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808526</xdr:colOff>
      <xdr:row>28</xdr:row>
      <xdr:rowOff>39768</xdr:rowOff>
    </xdr:from>
    <xdr:to>
      <xdr:col>17</xdr:col>
      <xdr:colOff>69022</xdr:colOff>
      <xdr:row>50</xdr:row>
      <xdr:rowOff>75057</xdr:rowOff>
    </xdr:to>
    <xdr:graphicFrame macro="">
      <xdr:nvGraphicFramePr>
        <xdr:cNvPr id="8" name="Chart 7">
          <a:extLst>
            <a:ext uri="{FF2B5EF4-FFF2-40B4-BE49-F238E27FC236}">
              <a16:creationId xmlns:a16="http://schemas.microsoft.com/office/drawing/2014/main" id="{A45527EB-BBB7-4235-8A9D-22AFD5A90B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524565</xdr:colOff>
      <xdr:row>30</xdr:row>
      <xdr:rowOff>110435</xdr:rowOff>
    </xdr:from>
    <xdr:to>
      <xdr:col>9</xdr:col>
      <xdr:colOff>122705</xdr:colOff>
      <xdr:row>55</xdr:row>
      <xdr:rowOff>124762</xdr:rowOff>
    </xdr:to>
    <xdr:graphicFrame macro="">
      <xdr:nvGraphicFramePr>
        <xdr:cNvPr id="2" name="Chart 1">
          <a:extLst>
            <a:ext uri="{FF2B5EF4-FFF2-40B4-BE49-F238E27FC236}">
              <a16:creationId xmlns:a16="http://schemas.microsoft.com/office/drawing/2014/main" id="{9AE0345E-5C1E-454C-806E-68A9940A28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639698</xdr:colOff>
      <xdr:row>33</xdr:row>
      <xdr:rowOff>12159</xdr:rowOff>
    </xdr:from>
    <xdr:to>
      <xdr:col>17</xdr:col>
      <xdr:colOff>242455</xdr:colOff>
      <xdr:row>55</xdr:row>
      <xdr:rowOff>86590</xdr:rowOff>
    </xdr:to>
    <xdr:graphicFrame macro="">
      <xdr:nvGraphicFramePr>
        <xdr:cNvPr id="8" name="Chart 7">
          <a:extLst>
            <a:ext uri="{FF2B5EF4-FFF2-40B4-BE49-F238E27FC236}">
              <a16:creationId xmlns:a16="http://schemas.microsoft.com/office/drawing/2014/main" id="{8585ADA8-294D-4BC8-9FDE-E5AFAE2081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202249</xdr:colOff>
      <xdr:row>29</xdr:row>
      <xdr:rowOff>61752</xdr:rowOff>
    </xdr:from>
    <xdr:to>
      <xdr:col>10</xdr:col>
      <xdr:colOff>561976</xdr:colOff>
      <xdr:row>50</xdr:row>
      <xdr:rowOff>180816</xdr:rowOff>
    </xdr:to>
    <xdr:graphicFrame macro="">
      <xdr:nvGraphicFramePr>
        <xdr:cNvPr id="2" name="Chart 1">
          <a:extLst>
            <a:ext uri="{FF2B5EF4-FFF2-40B4-BE49-F238E27FC236}">
              <a16:creationId xmlns:a16="http://schemas.microsoft.com/office/drawing/2014/main" id="{DD2C7001-7E94-460B-971D-5A81D989CB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202249</xdr:colOff>
      <xdr:row>29</xdr:row>
      <xdr:rowOff>61752</xdr:rowOff>
    </xdr:from>
    <xdr:to>
      <xdr:col>10</xdr:col>
      <xdr:colOff>561976</xdr:colOff>
      <xdr:row>50</xdr:row>
      <xdr:rowOff>180816</xdr:rowOff>
    </xdr:to>
    <xdr:graphicFrame macro="">
      <xdr:nvGraphicFramePr>
        <xdr:cNvPr id="2" name="Chart 1">
          <a:extLst>
            <a:ext uri="{FF2B5EF4-FFF2-40B4-BE49-F238E27FC236}">
              <a16:creationId xmlns:a16="http://schemas.microsoft.com/office/drawing/2014/main" id="{6B19D218-238C-498A-86CA-8EC67538D8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583305</xdr:colOff>
      <xdr:row>29</xdr:row>
      <xdr:rowOff>130318</xdr:rowOff>
    </xdr:from>
    <xdr:to>
      <xdr:col>22</xdr:col>
      <xdr:colOff>259604</xdr:colOff>
      <xdr:row>45</xdr:row>
      <xdr:rowOff>54911</xdr:rowOff>
    </xdr:to>
    <xdr:graphicFrame macro="">
      <xdr:nvGraphicFramePr>
        <xdr:cNvPr id="3" name="Chart 2">
          <a:extLst>
            <a:ext uri="{FF2B5EF4-FFF2-40B4-BE49-F238E27FC236}">
              <a16:creationId xmlns:a16="http://schemas.microsoft.com/office/drawing/2014/main" id="{6808F163-AB07-4B8E-9D57-73FAD1D8B8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aj1g19_soton_ac_uk/Documents/PhD/Experiments%20and%20Results/Results/PressureDropData_mast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ound2/MatLabOutput_HartlepoolBiofilmsRound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Chart4"/>
      <sheetName val="Chart5"/>
      <sheetName val="SW"/>
      <sheetName val="Plot of only material load data"/>
      <sheetName val="OE paper"/>
      <sheetName val="Shape"/>
      <sheetName val="Biofilms"/>
      <sheetName val="RT vs FT"/>
      <sheetName val="PD VS v"/>
      <sheetName val="Chart6"/>
      <sheetName val="RelativeRoughness"/>
      <sheetName val="2lowflowHartlepoolBiofilm"/>
      <sheetName val="1highflowHartlepoolBiofilm"/>
      <sheetName val="2highflowHartlepoolBiofilm"/>
      <sheetName val="P40"/>
      <sheetName val="P80"/>
      <sheetName val="P120 "/>
      <sheetName val="1RT P40 sandpaper"/>
      <sheetName val="2RT P40 sandpaper"/>
      <sheetName val="3RT P40 sandpaper"/>
      <sheetName val="RT 80 sandpaper"/>
      <sheetName val="2 RT 80 sandpaper"/>
      <sheetName val="3 RT P80 sandpaper"/>
      <sheetName val="4 RT P80 sandpaper"/>
      <sheetName val="RT P80 sandpaper AVGS"/>
      <sheetName val="RT P80 SUMMARY"/>
      <sheetName val="P80 sandpaper "/>
      <sheetName val="2 P80 sandpaper"/>
      <sheetName val="3 P80 sandpaper"/>
      <sheetName val="P80 sandpaper AVGS"/>
      <sheetName val="P80 sandpaper SUMMARY"/>
      <sheetName val="P240 sandpaper"/>
      <sheetName val="2 P240 sandpaper"/>
      <sheetName val="3 P240 sandpaper"/>
      <sheetName val="P240 sandpaper AVGS"/>
      <sheetName val="P240 sandpaper SUMMARY"/>
      <sheetName val="RT P240 sandpaper"/>
      <sheetName val="2 RT P240 sandpaper"/>
      <sheetName val="3 RT P240 sandpaper"/>
      <sheetName val="RT P240 sandpaper AVGS"/>
      <sheetName val="RT P240 sandpaper SUMMARY"/>
      <sheetName val="COATED_clean"/>
      <sheetName val="1 EF25 P40"/>
      <sheetName val="2 EF25 P40"/>
      <sheetName val="3 EF25 P40"/>
      <sheetName val="4 EF25 P40"/>
      <sheetName val="EF25 P40 AVGS"/>
      <sheetName val="EF25 P40 SUMMARY"/>
      <sheetName val="1RT EF25 P40"/>
      <sheetName val="2RT EF25 P40"/>
      <sheetName val="3RT EF25 P40"/>
      <sheetName val="3RT EF25 P40 (2)"/>
      <sheetName val="RT EF25 P40 AVGS"/>
      <sheetName val="RT EF25 P40 SUMMARY"/>
      <sheetName val="1 EF25 P80"/>
      <sheetName val="2 EF25 P80"/>
      <sheetName val="3 EF25 P80"/>
      <sheetName val="EF25 P80 AVGS"/>
      <sheetName val="EF25 P80 SUMMARY"/>
      <sheetName val="1 RT EF25 P80"/>
      <sheetName val="2 RT EF25 P80"/>
      <sheetName val="3 RT EF25 P80"/>
      <sheetName val="4 RT EF25 P80"/>
      <sheetName val="RT EF25 P80 AVGS"/>
      <sheetName val="RT EF25 P80 SUMMARY"/>
      <sheetName val="1 EF25 P240"/>
      <sheetName val="2 EF25 P240"/>
      <sheetName val="3 EF25 P240"/>
      <sheetName val="EF25 P240 AVGS"/>
      <sheetName val="EF25 P240 SUMMARY"/>
      <sheetName val="1 RT EF25 P240"/>
      <sheetName val="2 RT EF25 P240"/>
      <sheetName val="3 RT EF25 P240"/>
      <sheetName val="RT EF25 P240 AVGS"/>
      <sheetName val="RT EF25 P240 SUMMARY"/>
      <sheetName val="1 EF25 flat"/>
      <sheetName val="2 EF25 flat"/>
      <sheetName val="EF25 flat AVGS"/>
      <sheetName val="EF25 flat SUMMARY"/>
      <sheetName val=" 1 MMSHE P40"/>
      <sheetName val=" 2 MMSHE P40"/>
      <sheetName val=" 3 MMSHE P40"/>
      <sheetName val=" 4 MMSHE P40"/>
      <sheetName val="MMHSE P40 AVGS"/>
      <sheetName val="MMHSE P40 SUMMARY"/>
      <sheetName val="1RT MMSHE P40 "/>
      <sheetName val="1RT MMSHE P40  (2)"/>
      <sheetName val="2RT MMSHE P40"/>
      <sheetName val="2RT MMSHE P40 (2)"/>
      <sheetName val="3RT MMSHE P40"/>
      <sheetName val="3RT MMSHE P40 (2)"/>
      <sheetName val="RT MMHSE P40 AVGS"/>
      <sheetName val=" 1 MMSHE P80"/>
      <sheetName val=" 2 MMSHE P80"/>
      <sheetName val=" 3 MMSHE P80"/>
      <sheetName val="MMHSE P80 AVGS"/>
      <sheetName val="MMHSE P80 SUMMARY"/>
      <sheetName val=" 1 RT MMSHE P80"/>
      <sheetName val="2 RT MMSHE P80"/>
      <sheetName val="3 RT MMSHE P80"/>
      <sheetName val="RT MMHSE P80 AVGS"/>
      <sheetName val="1MMHSE P240"/>
      <sheetName val="2 MMHSE P240"/>
      <sheetName val="3 MMHSE P240"/>
      <sheetName val="MMHSE P240 AVG"/>
      <sheetName val="MMHSE P240 SUMMARY"/>
      <sheetName val="1 RT MMHSE P240"/>
      <sheetName val="1 RT MMHSE P240 (2)"/>
      <sheetName val="RT MMHSE P240 AVG"/>
      <sheetName val="1MMHSE flat"/>
      <sheetName val="2 MMHSE flat"/>
      <sheetName val="MMHSE flat AVG"/>
      <sheetName val="MMHSE flat SUMMARY"/>
      <sheetName val="1 Plain Panel"/>
      <sheetName val="2 Plain Panel"/>
      <sheetName val="3 Plain Panel"/>
      <sheetName val="PLAIN PANEL AVGS"/>
      <sheetName val="Plain Panel Summary"/>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8">
          <cell r="L8">
            <v>17100.447447447445</v>
          </cell>
          <cell r="O8">
            <v>6.1254868938190286E-3</v>
          </cell>
        </row>
        <row r="9">
          <cell r="L9">
            <v>21803.070495495493</v>
          </cell>
          <cell r="O9">
            <v>6.3490842247765833E-3</v>
          </cell>
        </row>
        <row r="10">
          <cell r="L10">
            <v>25223.159984984981</v>
          </cell>
          <cell r="O10">
            <v>6.1711834485194813E-3</v>
          </cell>
        </row>
        <row r="11">
          <cell r="L11">
            <v>28215.738288288281</v>
          </cell>
          <cell r="O11">
            <v>6.3543442850512583E-3</v>
          </cell>
        </row>
        <row r="12">
          <cell r="L12">
            <v>31635.827777777773</v>
          </cell>
          <cell r="O12">
            <v>6.2014935570063687E-3</v>
          </cell>
        </row>
        <row r="13">
          <cell r="L13">
            <v>35483.428453453453</v>
          </cell>
          <cell r="O13">
            <v>6.0953386310123826E-3</v>
          </cell>
        </row>
        <row r="14">
          <cell r="L14">
            <v>39331.029129129121</v>
          </cell>
          <cell r="O14">
            <v>6.0990737191354595E-3</v>
          </cell>
        </row>
        <row r="15">
          <cell r="L15">
            <v>42751.11861861861</v>
          </cell>
          <cell r="O15">
            <v>5.9232890717324871E-3</v>
          </cell>
        </row>
        <row r="16">
          <cell r="L16">
            <v>47453.741666666654</v>
          </cell>
          <cell r="O16">
            <v>5.6727892545667714E-3</v>
          </cell>
        </row>
        <row r="17">
          <cell r="L17">
            <v>50446.319969969962</v>
          </cell>
          <cell r="O17">
            <v>5.4766818604617268E-3</v>
          </cell>
        </row>
        <row r="18">
          <cell r="L18">
            <v>53438.898273273262</v>
          </cell>
          <cell r="O18">
            <v>5.4081387566197962E-3</v>
          </cell>
        </row>
      </sheetData>
      <sheetData sheetId="13">
        <row r="8">
          <cell r="G8">
            <v>1.2970699765440401</v>
          </cell>
          <cell r="L8">
            <v>17066.696564327489</v>
          </cell>
          <cell r="O8">
            <v>6.0736836220771969E-3</v>
          </cell>
        </row>
        <row r="9">
          <cell r="L9">
            <v>21229.305482456144</v>
          </cell>
          <cell r="O9">
            <v>6.2146944743690811E-3</v>
          </cell>
        </row>
        <row r="10">
          <cell r="L10">
            <v>24143.131725146202</v>
          </cell>
          <cell r="O10">
            <v>6.6014847514868531E-3</v>
          </cell>
        </row>
        <row r="11">
          <cell r="L11">
            <v>27889.47975146199</v>
          </cell>
          <cell r="O11">
            <v>6.1622651460291724E-3</v>
          </cell>
        </row>
        <row r="12">
          <cell r="L12">
            <v>32052.088669590645</v>
          </cell>
          <cell r="O12">
            <v>6.0579909725427461E-3</v>
          </cell>
        </row>
        <row r="13">
          <cell r="L13">
            <v>35798.436695906435</v>
          </cell>
          <cell r="O13">
            <v>5.9815687345770941E-3</v>
          </cell>
        </row>
        <row r="14">
          <cell r="L14">
            <v>38712.262938596497</v>
          </cell>
          <cell r="O14">
            <v>5.9533511070667478E-3</v>
          </cell>
        </row>
        <row r="15">
          <cell r="L15">
            <v>42458.610964912288</v>
          </cell>
          <cell r="O15">
            <v>5.9712925875035627E-3</v>
          </cell>
        </row>
        <row r="16">
          <cell r="L16">
            <v>45788.698099415204</v>
          </cell>
          <cell r="O16">
            <v>5.9314523231922224E-3</v>
          </cell>
        </row>
        <row r="17">
          <cell r="L17">
            <v>48702.524342105266</v>
          </cell>
          <cell r="O17">
            <v>5.9636867064611424E-3</v>
          </cell>
        </row>
        <row r="18">
          <cell r="L18">
            <v>51616.350584795327</v>
          </cell>
          <cell r="O18">
            <v>5.9506426825317151E-3</v>
          </cell>
        </row>
      </sheetData>
      <sheetData sheetId="14">
        <row r="8">
          <cell r="L8">
            <v>16234.17478070176</v>
          </cell>
          <cell r="O8">
            <v>4.6455179925348972E-3</v>
          </cell>
        </row>
        <row r="9">
          <cell r="L9">
            <v>19564.261915204683</v>
          </cell>
          <cell r="O9">
            <v>5.2184631645308373E-3</v>
          </cell>
        </row>
        <row r="10">
          <cell r="L10">
            <v>23726.870833333338</v>
          </cell>
          <cell r="O10">
            <v>5.3846898742834822E-3</v>
          </cell>
        </row>
        <row r="11">
          <cell r="L11">
            <v>26224.436184210532</v>
          </cell>
          <cell r="O11">
            <v>5.533689558116367E-3</v>
          </cell>
        </row>
        <row r="12">
          <cell r="L12">
            <v>29970.784210526319</v>
          </cell>
          <cell r="O12">
            <v>5.4809253734460226E-3</v>
          </cell>
        </row>
        <row r="13">
          <cell r="L13">
            <v>34133.393128654978</v>
          </cell>
          <cell r="O13">
            <v>5.1933722564785839E-3</v>
          </cell>
        </row>
        <row r="14">
          <cell r="L14">
            <v>37463.4802631579</v>
          </cell>
          <cell r="O14">
            <v>5.2267008154562233E-3</v>
          </cell>
        </row>
        <row r="15">
          <cell r="L15">
            <v>40377.306505847955</v>
          </cell>
          <cell r="O15">
            <v>5.2451899235133907E-3</v>
          </cell>
        </row>
        <row r="16">
          <cell r="L16">
            <v>43291.132748538017</v>
          </cell>
          <cell r="O16">
            <v>5.1359223315332134E-3</v>
          </cell>
        </row>
        <row r="17">
          <cell r="L17">
            <v>47037.480774853808</v>
          </cell>
          <cell r="O17">
            <v>4.964555038571363E-3</v>
          </cell>
        </row>
        <row r="18">
          <cell r="L18">
            <v>52032.611476608196</v>
          </cell>
          <cell r="O18">
            <v>4.3769519700416031E-3</v>
          </cell>
        </row>
      </sheetData>
      <sheetData sheetId="15" refreshError="1"/>
      <sheetData sheetId="16">
        <row r="8">
          <cell r="L8">
            <v>8917.0688054128441</v>
          </cell>
          <cell r="O8">
            <v>2.3815916011654573E-2</v>
          </cell>
        </row>
        <row r="9">
          <cell r="L9">
            <v>9695.5430662028557</v>
          </cell>
          <cell r="O9">
            <v>2.2483257596648959E-2</v>
          </cell>
        </row>
        <row r="10">
          <cell r="L10">
            <v>10332.476552303773</v>
          </cell>
          <cell r="O10">
            <v>2.1855650265621168E-2</v>
          </cell>
        </row>
        <row r="11">
          <cell r="L11">
            <v>11040.180425749237</v>
          </cell>
          <cell r="O11">
            <v>2.1224261689750223E-2</v>
          </cell>
        </row>
        <row r="12">
          <cell r="L12">
            <v>11677.113911850154</v>
          </cell>
          <cell r="O12">
            <v>2.108003805659673E-2</v>
          </cell>
        </row>
        <row r="13">
          <cell r="L13">
            <v>12314.047397951073</v>
          </cell>
          <cell r="O13">
            <v>2.0070785342758829E-2</v>
          </cell>
        </row>
        <row r="14">
          <cell r="L14">
            <v>12880.210496707443</v>
          </cell>
          <cell r="O14">
            <v>1.9364272370000206E-2</v>
          </cell>
        </row>
        <row r="15">
          <cell r="L15">
            <v>14861.781342354741</v>
          </cell>
          <cell r="O15">
            <v>1.9137789652222424E-2</v>
          </cell>
        </row>
        <row r="16">
          <cell r="L16">
            <v>16277.18908924567</v>
          </cell>
          <cell r="O16">
            <v>1.8506857607733275E-2</v>
          </cell>
        </row>
        <row r="17">
          <cell r="L17">
            <v>17409.515286758415</v>
          </cell>
          <cell r="O17">
            <v>1.8409164704130669E-2</v>
          </cell>
        </row>
        <row r="18">
          <cell r="L18">
            <v>18966.463808338434</v>
          </cell>
          <cell r="O18">
            <v>1.7860942247267954E-2</v>
          </cell>
        </row>
        <row r="19">
          <cell r="L19">
            <v>20028.019618506631</v>
          </cell>
          <cell r="O19">
            <v>1.8125330828208309E-2</v>
          </cell>
        </row>
        <row r="20">
          <cell r="L20">
            <v>21372.656978053008</v>
          </cell>
          <cell r="O20">
            <v>1.7767147553100486E-2</v>
          </cell>
        </row>
        <row r="21">
          <cell r="L21">
            <v>22363.442400876658</v>
          </cell>
          <cell r="O21">
            <v>1.7918104371951397E-2</v>
          </cell>
        </row>
        <row r="22">
          <cell r="L22">
            <v>23354.227823700308</v>
          </cell>
          <cell r="O22">
            <v>1.8135032739866306E-2</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ow r="7">
          <cell r="M7">
            <v>15238.107428571429</v>
          </cell>
          <cell r="P7">
            <v>2.2418441413025465E-2</v>
          </cell>
        </row>
        <row r="8">
          <cell r="M8">
            <v>22615.286421768709</v>
          </cell>
          <cell r="P8">
            <v>2.1994137921016441E-2</v>
          </cell>
        </row>
        <row r="9">
          <cell r="M9">
            <v>30113.402775510203</v>
          </cell>
          <cell r="P9">
            <v>2.1836251649501356E-2</v>
          </cell>
        </row>
        <row r="10">
          <cell r="M10">
            <v>36119.958349206354</v>
          </cell>
          <cell r="P10">
            <v>2.0368564068620709E-2</v>
          </cell>
        </row>
      </sheetData>
      <sheetData sheetId="26" refreshError="1"/>
      <sheetData sheetId="27" refreshError="1"/>
      <sheetData sheetId="28" refreshError="1"/>
      <sheetData sheetId="29" refreshError="1"/>
      <sheetData sheetId="30">
        <row r="8">
          <cell r="M8">
            <v>24348.721922902492</v>
          </cell>
          <cell r="P8">
            <v>1.2423623758869535E-2</v>
          </cell>
        </row>
        <row r="9">
          <cell r="M9">
            <v>32249.962811791389</v>
          </cell>
          <cell r="P9">
            <v>1.256604135507821E-2</v>
          </cell>
        </row>
        <row r="10">
          <cell r="M10">
            <v>39183.704816326535</v>
          </cell>
          <cell r="P10">
            <v>1.2688328481080976E-2</v>
          </cell>
        </row>
        <row r="11">
          <cell r="M11">
            <v>45956.197006802722</v>
          </cell>
          <cell r="P11">
            <v>1.2236436649216273E-2</v>
          </cell>
        </row>
        <row r="12">
          <cell r="M12">
            <v>52486.814476190477</v>
          </cell>
          <cell r="P12">
            <v>9.7314080436958095E-3</v>
          </cell>
        </row>
      </sheetData>
      <sheetData sheetId="31" refreshError="1"/>
      <sheetData sheetId="32" refreshError="1"/>
      <sheetData sheetId="33" refreshError="1"/>
      <sheetData sheetId="34" refreshError="1"/>
      <sheetData sheetId="35">
        <row r="8">
          <cell r="L8">
            <v>25621.499581445525</v>
          </cell>
          <cell r="O8">
            <v>7.3768057355044943E-3</v>
          </cell>
        </row>
        <row r="9">
          <cell r="L9">
            <v>32985.762934196326</v>
          </cell>
          <cell r="O9">
            <v>7.6045020159216286E-3</v>
          </cell>
        </row>
        <row r="10">
          <cell r="L10">
            <v>40810.292746494059</v>
          </cell>
          <cell r="O10">
            <v>7.6823078619262667E-3</v>
          </cell>
        </row>
        <row r="11">
          <cell r="L11">
            <v>46793.756720604091</v>
          </cell>
          <cell r="O11">
            <v>7.8456121937399356E-3</v>
          </cell>
        </row>
        <row r="12">
          <cell r="L12">
            <v>53544.331460625675</v>
          </cell>
          <cell r="O12">
            <v>7.5893012677243025E-3</v>
          </cell>
        </row>
      </sheetData>
      <sheetData sheetId="36" refreshError="1"/>
      <sheetData sheetId="37" refreshError="1"/>
      <sheetData sheetId="38" refreshError="1"/>
      <sheetData sheetId="39" refreshError="1"/>
      <sheetData sheetId="40">
        <row r="7">
          <cell r="M7">
            <v>17523.544149614961</v>
          </cell>
          <cell r="P7">
            <v>8.8188914771809464E-3</v>
          </cell>
        </row>
        <row r="8">
          <cell r="M8">
            <v>25815.935577557753</v>
          </cell>
          <cell r="P8">
            <v>9.1491646423141251E-3</v>
          </cell>
        </row>
        <row r="9">
          <cell r="M9">
            <v>33951.866789878986</v>
          </cell>
          <cell r="P9">
            <v>9.4977856484117374E-3</v>
          </cell>
        </row>
        <row r="10">
          <cell r="M10">
            <v>41774.877570957091</v>
          </cell>
          <cell r="P10">
            <v>9.9357960701823445E-3</v>
          </cell>
        </row>
        <row r="11">
          <cell r="M11">
            <v>48033.286195819586</v>
          </cell>
          <cell r="P11">
            <v>1.029021497694853E-2</v>
          </cell>
        </row>
        <row r="12">
          <cell r="M12">
            <v>53978.77438943895</v>
          </cell>
          <cell r="P12">
            <v>8.7994752429320314E-3</v>
          </cell>
        </row>
      </sheetData>
      <sheetData sheetId="41" refreshError="1"/>
      <sheetData sheetId="42" refreshError="1"/>
      <sheetData sheetId="43" refreshError="1"/>
      <sheetData sheetId="44" refreshError="1"/>
      <sheetData sheetId="45" refreshError="1"/>
      <sheetData sheetId="46" refreshError="1"/>
      <sheetData sheetId="47">
        <row r="8">
          <cell r="L8">
            <v>14901.440328763087</v>
          </cell>
          <cell r="O8">
            <v>1.3713353415781136E-2</v>
          </cell>
        </row>
        <row r="9">
          <cell r="L9">
            <v>21722.522169394077</v>
          </cell>
          <cell r="O9">
            <v>1.512538070955566E-2</v>
          </cell>
        </row>
        <row r="10">
          <cell r="L10">
            <v>27809.02596564942</v>
          </cell>
          <cell r="O10">
            <v>1.5215090833516069E-2</v>
          </cell>
        </row>
        <row r="11">
          <cell r="L11">
            <v>34000.469482529857</v>
          </cell>
          <cell r="O11">
            <v>1.3945610093808108E-2</v>
          </cell>
        </row>
        <row r="12">
          <cell r="L12">
            <v>40017.013465035139</v>
          </cell>
          <cell r="O12">
            <v>1.0595984233301277E-2</v>
          </cell>
        </row>
        <row r="13">
          <cell r="L13">
            <v>44494.441545039066</v>
          </cell>
          <cell r="O13">
            <v>8.6969785125901831E-3</v>
          </cell>
        </row>
      </sheetData>
      <sheetData sheetId="48" refreshError="1"/>
      <sheetData sheetId="49" refreshError="1"/>
      <sheetData sheetId="50" refreshError="1"/>
      <sheetData sheetId="51" refreshError="1"/>
      <sheetData sheetId="52" refreshError="1"/>
      <sheetData sheetId="53">
        <row r="8">
          <cell r="L8">
            <v>8814.9365325077415</v>
          </cell>
          <cell r="O8">
            <v>0.35231335478988152</v>
          </cell>
        </row>
        <row r="9">
          <cell r="L9">
            <v>12487.826754385966</v>
          </cell>
          <cell r="O9">
            <v>0.30303075307813349</v>
          </cell>
        </row>
        <row r="10">
          <cell r="L10">
            <v>17944.692226890758</v>
          </cell>
          <cell r="O10">
            <v>0.31240017360926797</v>
          </cell>
        </row>
        <row r="11">
          <cell r="L11">
            <v>20568.185242518062</v>
          </cell>
          <cell r="O11">
            <v>0.30233675661320342</v>
          </cell>
        </row>
      </sheetData>
      <sheetData sheetId="54" refreshError="1"/>
      <sheetData sheetId="55" refreshError="1"/>
      <sheetData sheetId="56" refreshError="1"/>
      <sheetData sheetId="57" refreshError="1"/>
      <sheetData sheetId="58">
        <row r="8">
          <cell r="M8">
            <v>23135.899487723014</v>
          </cell>
          <cell r="P8">
            <v>1.1156585428062358E-2</v>
          </cell>
        </row>
        <row r="9">
          <cell r="M9">
            <v>30320.96144043202</v>
          </cell>
          <cell r="P9">
            <v>1.0682836246979188E-2</v>
          </cell>
        </row>
        <row r="10">
          <cell r="M10">
            <v>36500.114719761768</v>
          </cell>
          <cell r="P10">
            <v>1.042866723901972E-2</v>
          </cell>
        </row>
        <row r="11">
          <cell r="M11">
            <v>43254.072955308235</v>
          </cell>
          <cell r="P11">
            <v>9.6013458520381265E-3</v>
          </cell>
        </row>
        <row r="12">
          <cell r="M12">
            <v>49002.122517475444</v>
          </cell>
          <cell r="P12">
            <v>8.3077964975756102E-3</v>
          </cell>
        </row>
      </sheetData>
      <sheetData sheetId="59" refreshError="1"/>
      <sheetData sheetId="60" refreshError="1"/>
      <sheetData sheetId="61" refreshError="1"/>
      <sheetData sheetId="62" refreshError="1"/>
      <sheetData sheetId="63" refreshError="1"/>
      <sheetData sheetId="64">
        <row r="7">
          <cell r="M7">
            <v>14941.127117040121</v>
          </cell>
          <cell r="P7">
            <v>2.3486158360350586E-2</v>
          </cell>
        </row>
        <row r="8">
          <cell r="M8">
            <v>21344.46731005732</v>
          </cell>
          <cell r="P8">
            <v>2.3722874078658026E-2</v>
          </cell>
        </row>
        <row r="9">
          <cell r="M9">
            <v>27866.387877019275</v>
          </cell>
          <cell r="P9">
            <v>2.4222003605140735E-2</v>
          </cell>
        </row>
        <row r="10">
          <cell r="M10">
            <v>33439.665452423134</v>
          </cell>
          <cell r="P10">
            <v>1.9765926972059766E-2</v>
          </cell>
        </row>
      </sheetData>
      <sheetData sheetId="65" refreshError="1"/>
      <sheetData sheetId="66" refreshError="1"/>
      <sheetData sheetId="67" refreshError="1"/>
      <sheetData sheetId="68" refreshError="1"/>
      <sheetData sheetId="69">
        <row r="8">
          <cell r="L8">
            <v>24959.435551948049</v>
          </cell>
          <cell r="O8">
            <v>8.2918058912631841E-3</v>
          </cell>
        </row>
        <row r="9">
          <cell r="L9">
            <v>32971.106222943716</v>
          </cell>
          <cell r="O9">
            <v>8.0103373727871859E-3</v>
          </cell>
        </row>
        <row r="10">
          <cell r="L10">
            <v>40212.423944805189</v>
          </cell>
          <cell r="O10">
            <v>7.8994868078460165E-3</v>
          </cell>
        </row>
        <row r="11">
          <cell r="L11">
            <v>46837.459307359313</v>
          </cell>
          <cell r="O11">
            <v>7.1540356801380782E-3</v>
          </cell>
        </row>
        <row r="12">
          <cell r="L12">
            <v>51767.718181818185</v>
          </cell>
          <cell r="O12">
            <v>6.1201523299938771E-3</v>
          </cell>
        </row>
      </sheetData>
      <sheetData sheetId="70" refreshError="1"/>
      <sheetData sheetId="71" refreshError="1"/>
      <sheetData sheetId="72" refreshError="1"/>
      <sheetData sheetId="73" refreshError="1"/>
      <sheetData sheetId="74">
        <row r="7">
          <cell r="L7">
            <v>15711.520344206057</v>
          </cell>
        </row>
        <row r="8">
          <cell r="L8">
            <v>23153.819454619461</v>
          </cell>
          <cell r="O8">
            <v>9.0880139416152864E-3</v>
          </cell>
        </row>
        <row r="9">
          <cell r="L9">
            <v>30596.118565032859</v>
          </cell>
          <cell r="O9">
            <v>9.4770992116655697E-3</v>
          </cell>
        </row>
        <row r="10">
          <cell r="L10">
            <v>37707.648826094541</v>
          </cell>
          <cell r="O10">
            <v>9.6907967665861086E-3</v>
          </cell>
        </row>
        <row r="11">
          <cell r="L11">
            <v>45149.947936507939</v>
          </cell>
          <cell r="O11">
            <v>8.7689500019708655E-3</v>
          </cell>
        </row>
        <row r="12">
          <cell r="L12">
            <v>51434.556074190361</v>
          </cell>
          <cell r="O12">
            <v>6.9442345010425101E-3</v>
          </cell>
        </row>
      </sheetData>
      <sheetData sheetId="75" refreshError="1"/>
      <sheetData sheetId="76" refreshError="1"/>
      <sheetData sheetId="77" refreshError="1"/>
      <sheetData sheetId="78">
        <row r="8">
          <cell r="L8">
            <v>24203.089020070838</v>
          </cell>
          <cell r="O8">
            <v>7.4776636450018044E-3</v>
          </cell>
        </row>
        <row r="9">
          <cell r="L9">
            <v>30702.066627312077</v>
          </cell>
          <cell r="O9">
            <v>7.2481135651974752E-3</v>
          </cell>
        </row>
        <row r="10">
          <cell r="L10">
            <v>38097.454939000396</v>
          </cell>
          <cell r="O10">
            <v>6.9796046123650861E-3</v>
          </cell>
        </row>
        <row r="11">
          <cell r="L11">
            <v>45268.740574576928</v>
          </cell>
          <cell r="O11">
            <v>6.7045059317648341E-3</v>
          </cell>
        </row>
        <row r="12">
          <cell r="L12">
            <v>51991.820857929946</v>
          </cell>
          <cell r="O12">
            <v>6.4920279779756753E-3</v>
          </cell>
        </row>
      </sheetData>
      <sheetData sheetId="79" refreshError="1"/>
      <sheetData sheetId="80" refreshError="1"/>
      <sheetData sheetId="81" refreshError="1"/>
      <sheetData sheetId="82" refreshError="1"/>
      <sheetData sheetId="83" refreshError="1"/>
      <sheetData sheetId="84">
        <row r="8">
          <cell r="L8">
            <v>13320.348538011694</v>
          </cell>
          <cell r="O8">
            <v>1.4202500335449595E-2</v>
          </cell>
        </row>
        <row r="9">
          <cell r="L9">
            <v>19770.201514312095</v>
          </cell>
          <cell r="O9">
            <v>1.5008220187502492E-2</v>
          </cell>
        </row>
        <row r="10">
          <cell r="L10">
            <v>25518.983514927677</v>
          </cell>
          <cell r="O10">
            <v>1.5006721088056956E-2</v>
          </cell>
        </row>
        <row r="11">
          <cell r="L11">
            <v>31548.193905817174</v>
          </cell>
          <cell r="O11">
            <v>1.4420842650896113E-2</v>
          </cell>
        </row>
        <row r="12">
          <cell r="L12">
            <v>36736.119125884892</v>
          </cell>
          <cell r="O12">
            <v>1.2274729939700709E-2</v>
          </cell>
        </row>
        <row r="13">
          <cell r="L13">
            <v>44167.471468144046</v>
          </cell>
          <cell r="O13">
            <v>7.1106485889659296E-3</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ow r="8">
          <cell r="L8">
            <v>9667.9949066213921</v>
          </cell>
          <cell r="P8">
            <v>0.18389059445297115</v>
          </cell>
        </row>
        <row r="9">
          <cell r="L9">
            <v>12610.42813907138</v>
          </cell>
          <cell r="P9">
            <v>0.20307745126259161</v>
          </cell>
        </row>
        <row r="10">
          <cell r="L10">
            <v>17724.657328805883</v>
          </cell>
          <cell r="P10">
            <v>0.222908479016144</v>
          </cell>
        </row>
        <row r="11">
          <cell r="L11">
            <v>19672.267896951351</v>
          </cell>
          <cell r="P11">
            <v>0.21347618818132327</v>
          </cell>
        </row>
      </sheetData>
      <sheetData sheetId="93" refreshError="1"/>
      <sheetData sheetId="94" refreshError="1"/>
      <sheetData sheetId="95" refreshError="1"/>
      <sheetData sheetId="96">
        <row r="8">
          <cell r="L8">
            <v>18801.896461659773</v>
          </cell>
          <cell r="O8">
            <v>1.6904693184688124E-2</v>
          </cell>
        </row>
        <row r="9">
          <cell r="L9">
            <v>24835.340848610296</v>
          </cell>
          <cell r="O9">
            <v>1.6167390968992418E-2</v>
          </cell>
        </row>
        <row r="10">
          <cell r="L10">
            <v>30447.8472550759</v>
          </cell>
          <cell r="O10">
            <v>1.5215475539243689E-2</v>
          </cell>
        </row>
        <row r="11">
          <cell r="L11">
            <v>34727.383390005925</v>
          </cell>
          <cell r="O11">
            <v>9.2263514973087574E-3</v>
          </cell>
        </row>
      </sheetData>
      <sheetData sheetId="97" refreshError="1"/>
      <sheetData sheetId="98" refreshError="1"/>
      <sheetData sheetId="99" refreshError="1"/>
      <sheetData sheetId="100" refreshError="1"/>
      <sheetData sheetId="101">
        <row r="8">
          <cell r="L8">
            <v>13573.656500958734</v>
          </cell>
          <cell r="O8">
            <v>1.6643431385673885E-2</v>
          </cell>
        </row>
        <row r="9">
          <cell r="L9">
            <v>19667.951256491229</v>
          </cell>
          <cell r="O9">
            <v>1.9263379481418413E-2</v>
          </cell>
        </row>
        <row r="10">
          <cell r="L10">
            <v>25346.725915055591</v>
          </cell>
          <cell r="O10">
            <v>1.9976426556881106E-2</v>
          </cell>
        </row>
        <row r="11">
          <cell r="L11">
            <v>29640.433583726204</v>
          </cell>
          <cell r="O11">
            <v>1.78447042310221E-2</v>
          </cell>
        </row>
      </sheetData>
      <sheetData sheetId="102" refreshError="1"/>
      <sheetData sheetId="103" refreshError="1"/>
      <sheetData sheetId="104" refreshError="1"/>
      <sheetData sheetId="105">
        <row r="8">
          <cell r="L8">
            <v>18828.41348329734</v>
          </cell>
          <cell r="O8">
            <v>1.438557933187895E-2</v>
          </cell>
        </row>
        <row r="9">
          <cell r="L9">
            <v>24891.800876223599</v>
          </cell>
          <cell r="O9">
            <v>1.3673141980240184E-2</v>
          </cell>
        </row>
        <row r="10">
          <cell r="L10">
            <v>31832.783812862872</v>
          </cell>
          <cell r="O10">
            <v>9.9228677402318291E-3</v>
          </cell>
        </row>
        <row r="11">
          <cell r="L11">
            <v>37816.389792724316</v>
          </cell>
          <cell r="O11">
            <v>1.000637253343376E-2</v>
          </cell>
        </row>
      </sheetData>
      <sheetData sheetId="106" refreshError="1"/>
      <sheetData sheetId="107" refreshError="1"/>
      <sheetData sheetId="108" refreshError="1"/>
      <sheetData sheetId="109" refreshError="1"/>
      <sheetData sheetId="110" refreshError="1"/>
      <sheetData sheetId="111" refreshError="1"/>
      <sheetData sheetId="112">
        <row r="7">
          <cell r="L7">
            <v>16791.76035066746</v>
          </cell>
          <cell r="O7">
            <v>9.5924628430963041E-3</v>
          </cell>
        </row>
        <row r="8">
          <cell r="L8">
            <v>24733.809165172341</v>
          </cell>
          <cell r="O8">
            <v>7.9919512554307154E-3</v>
          </cell>
        </row>
        <row r="9">
          <cell r="L9">
            <v>31541.279577605099</v>
          </cell>
          <cell r="O9">
            <v>7.6143534622810276E-3</v>
          </cell>
        </row>
        <row r="10">
          <cell r="L10">
            <v>38802.581350866705</v>
          </cell>
          <cell r="O10">
            <v>7.2699028256832353E-3</v>
          </cell>
        </row>
        <row r="11">
          <cell r="L11">
            <v>46971.545845786015</v>
          </cell>
          <cell r="O11">
            <v>6.8600008124494851E-3</v>
          </cell>
        </row>
        <row r="12">
          <cell r="L12">
            <v>52871.353536561066</v>
          </cell>
          <cell r="O12">
            <v>6.5583043169987199E-3</v>
          </cell>
        </row>
      </sheetData>
      <sheetData sheetId="113" refreshError="1"/>
      <sheetData sheetId="114" refreshError="1"/>
      <sheetData sheetId="115" refreshError="1"/>
      <sheetData sheetId="116" refreshError="1"/>
      <sheetData sheetId="117">
        <row r="8">
          <cell r="L8">
            <v>25760.602619047622</v>
          </cell>
          <cell r="O8">
            <v>7.8546251968259328E-3</v>
          </cell>
        </row>
        <row r="9">
          <cell r="L9">
            <v>31861.797976190479</v>
          </cell>
          <cell r="O9">
            <v>7.7415345859246877E-3</v>
          </cell>
        </row>
        <row r="10">
          <cell r="L10">
            <v>39318.814523809524</v>
          </cell>
          <cell r="O10">
            <v>7.4983871209308439E-3</v>
          </cell>
        </row>
        <row r="11">
          <cell r="L11">
            <v>45871.950277777782</v>
          </cell>
          <cell r="O11">
            <v>7.3294546557718847E-3</v>
          </cell>
        </row>
        <row r="12">
          <cell r="L12">
            <v>52651.056230158734</v>
          </cell>
          <cell r="O12">
            <v>6.8598709171845025E-3</v>
          </cell>
        </row>
      </sheetData>
      <sheetData sheetId="118" refreshError="1"/>
      <sheetData sheetId="1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F3"/>
      <sheetName val="HF4"/>
      <sheetName val="HF AVGS"/>
      <sheetName val="LF3"/>
      <sheetName val="LF4"/>
      <sheetName val="LF AVGS"/>
      <sheetName val="Thickness"/>
      <sheetName val="Roughness"/>
      <sheetName val="Cover"/>
      <sheetName val="Biomass"/>
      <sheetName val="Sheet1"/>
    </sheetNames>
    <sheetDataSet>
      <sheetData sheetId="0" refreshError="1"/>
      <sheetData sheetId="1" refreshError="1"/>
      <sheetData sheetId="2" refreshError="1"/>
      <sheetData sheetId="3">
        <row r="7">
          <cell r="C7">
            <v>0.21751999999999999</v>
          </cell>
        </row>
        <row r="8">
          <cell r="C8">
            <v>0.26684999999999998</v>
          </cell>
        </row>
        <row r="9">
          <cell r="C9">
            <v>0.22400999999999999</v>
          </cell>
        </row>
        <row r="10">
          <cell r="C10">
            <v>0.27051999999999998</v>
          </cell>
        </row>
        <row r="11">
          <cell r="C11">
            <v>0.34248000000000001</v>
          </cell>
        </row>
        <row r="12">
          <cell r="C12">
            <v>0.33765000000000001</v>
          </cell>
        </row>
        <row r="13">
          <cell r="C13">
            <v>0.19175</v>
          </cell>
        </row>
        <row r="14">
          <cell r="C14">
            <v>0.24087</v>
          </cell>
        </row>
        <row r="15">
          <cell r="C15">
            <v>0.25641999999999998</v>
          </cell>
        </row>
        <row r="16">
          <cell r="C16">
            <v>0.30324000000000001</v>
          </cell>
        </row>
        <row r="17">
          <cell r="C17">
            <v>0.19159999999999999</v>
          </cell>
        </row>
        <row r="18">
          <cell r="C18">
            <v>0.19925000000000001</v>
          </cell>
        </row>
        <row r="19">
          <cell r="C19">
            <v>0.18149000000000001</v>
          </cell>
        </row>
        <row r="20">
          <cell r="C20">
            <v>0.15376999999999999</v>
          </cell>
        </row>
        <row r="21">
          <cell r="C21">
            <v>0.17812</v>
          </cell>
        </row>
        <row r="22">
          <cell r="C22">
            <v>0.27331</v>
          </cell>
        </row>
        <row r="23">
          <cell r="C23">
            <v>0.21298</v>
          </cell>
        </row>
        <row r="24">
          <cell r="C24">
            <v>0.19275999999999999</v>
          </cell>
        </row>
        <row r="25">
          <cell r="C25">
            <v>0.17978</v>
          </cell>
        </row>
        <row r="26">
          <cell r="C26">
            <v>0.39704</v>
          </cell>
        </row>
        <row r="27">
          <cell r="C27">
            <v>0.26046000000000002</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32853-32B7-4F99-8586-82121A37123B}">
  <dimension ref="A1:A21"/>
  <sheetViews>
    <sheetView tabSelected="1" workbookViewId="0">
      <selection sqref="A1:XFD1048576"/>
    </sheetView>
  </sheetViews>
  <sheetFormatPr defaultRowHeight="15.5" x14ac:dyDescent="0.35"/>
  <cols>
    <col min="1" max="1" width="77.69140625" style="1" customWidth="1"/>
  </cols>
  <sheetData>
    <row r="1" spans="1:1" x14ac:dyDescent="0.35">
      <c r="A1" s="2" t="s">
        <v>101</v>
      </c>
    </row>
    <row r="2" spans="1:1" x14ac:dyDescent="0.35">
      <c r="A2" s="1" t="s">
        <v>102</v>
      </c>
    </row>
    <row r="4" spans="1:1" ht="31" x14ac:dyDescent="0.35">
      <c r="A4" s="1" t="s">
        <v>109</v>
      </c>
    </row>
    <row r="5" spans="1:1" ht="31" x14ac:dyDescent="0.35">
      <c r="A5" s="1" t="s">
        <v>103</v>
      </c>
    </row>
    <row r="6" spans="1:1" ht="31" x14ac:dyDescent="0.35">
      <c r="A6" s="1" t="s">
        <v>104</v>
      </c>
    </row>
    <row r="7" spans="1:1" ht="77.5" x14ac:dyDescent="0.35">
      <c r="A7" s="50" t="s">
        <v>121</v>
      </c>
    </row>
    <row r="9" spans="1:1" ht="31" x14ac:dyDescent="0.35">
      <c r="A9" s="50" t="s">
        <v>120</v>
      </c>
    </row>
    <row r="11" spans="1:1" ht="77.5" x14ac:dyDescent="0.35">
      <c r="A11" s="50" t="s">
        <v>119</v>
      </c>
    </row>
    <row r="13" spans="1:1" x14ac:dyDescent="0.35">
      <c r="A13" s="49" t="s">
        <v>110</v>
      </c>
    </row>
    <row r="14" spans="1:1" x14ac:dyDescent="0.35">
      <c r="A14" s="1" t="s">
        <v>111</v>
      </c>
    </row>
    <row r="15" spans="1:1" x14ac:dyDescent="0.35">
      <c r="A15" s="50" t="s">
        <v>112</v>
      </c>
    </row>
    <row r="16" spans="1:1" x14ac:dyDescent="0.35">
      <c r="A16" s="50" t="s">
        <v>113</v>
      </c>
    </row>
    <row r="17" spans="1:1" x14ac:dyDescent="0.35">
      <c r="A17" s="50" t="s">
        <v>114</v>
      </c>
    </row>
    <row r="18" spans="1:1" x14ac:dyDescent="0.35">
      <c r="A18" s="50" t="s">
        <v>115</v>
      </c>
    </row>
    <row r="19" spans="1:1" x14ac:dyDescent="0.35">
      <c r="A19" s="50" t="s">
        <v>116</v>
      </c>
    </row>
    <row r="20" spans="1:1" x14ac:dyDescent="0.35">
      <c r="A20" s="50" t="s">
        <v>117</v>
      </c>
    </row>
    <row r="21" spans="1:1" x14ac:dyDescent="0.35">
      <c r="A21" s="50" t="s">
        <v>118</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73564-C950-4ECC-80B7-F95CCEC1EEE5}">
  <dimension ref="A1:AD60"/>
  <sheetViews>
    <sheetView zoomScale="50" zoomScaleNormal="50" workbookViewId="0">
      <selection activeCell="N63" sqref="N63"/>
    </sheetView>
  </sheetViews>
  <sheetFormatPr defaultColWidth="8.69140625" defaultRowHeight="14.5" x14ac:dyDescent="0.35"/>
  <cols>
    <col min="1" max="1" width="8.69140625" style="3"/>
    <col min="2" max="2" width="11" style="3" customWidth="1"/>
    <col min="3" max="4" width="8.69140625" style="3"/>
    <col min="5" max="5" width="12.3046875" style="3" customWidth="1"/>
    <col min="6" max="6" width="15.69140625" style="3" bestFit="1" customWidth="1"/>
    <col min="7" max="7" width="8.53515625" style="3" customWidth="1"/>
    <col min="8" max="8" width="8.69140625" style="3"/>
    <col min="9" max="9" width="15.69140625" style="3" bestFit="1" customWidth="1"/>
    <col min="10" max="10" width="12.23046875" style="3" customWidth="1"/>
    <col min="11" max="11" width="10.4609375" style="3" customWidth="1"/>
    <col min="12" max="12" width="8.53515625" style="5" customWidth="1"/>
    <col min="13" max="13" width="6.765625" style="4" customWidth="1"/>
    <col min="14" max="14" width="8.4609375" style="4" customWidth="1"/>
    <col min="15" max="15" width="9.07421875" style="4" customWidth="1"/>
    <col min="16" max="16" width="27.23046875" style="4" customWidth="1"/>
    <col min="17" max="17" width="8.4609375" style="4" customWidth="1"/>
    <col min="18" max="18" width="10.23046875" style="3" customWidth="1"/>
    <col min="19" max="19" width="13.84375" style="3" customWidth="1"/>
    <col min="20" max="22" width="10" style="3" customWidth="1"/>
    <col min="23" max="23" width="24.69140625" style="3" customWidth="1"/>
    <col min="24" max="25" width="8.69140625" style="3"/>
    <col min="26" max="26" width="22" style="3" customWidth="1"/>
    <col min="27" max="27" width="35.84375" style="3" customWidth="1"/>
    <col min="28" max="28" width="16.84375" style="3" customWidth="1"/>
    <col min="29" max="16384" width="8.69140625" style="3"/>
  </cols>
  <sheetData>
    <row r="1" spans="1:28" x14ac:dyDescent="0.35">
      <c r="A1" s="34" t="s">
        <v>94</v>
      </c>
    </row>
    <row r="2" spans="1:28" ht="15.5" x14ac:dyDescent="0.35">
      <c r="A2" s="9" t="s">
        <v>0</v>
      </c>
      <c r="I2" s="9" t="s">
        <v>1</v>
      </c>
      <c r="J2" s="9" t="s">
        <v>2</v>
      </c>
    </row>
    <row r="3" spans="1:28" ht="15.5" x14ac:dyDescent="0.35">
      <c r="A3" s="9"/>
      <c r="I3" s="9"/>
      <c r="J3" s="9"/>
    </row>
    <row r="4" spans="1:28" x14ac:dyDescent="0.35">
      <c r="A4" s="51" t="s">
        <v>3</v>
      </c>
      <c r="B4" s="51"/>
      <c r="C4" s="51"/>
      <c r="D4" s="51"/>
      <c r="E4" s="51"/>
      <c r="F4" s="51"/>
      <c r="G4" s="51"/>
      <c r="H4" s="51"/>
      <c r="I4" s="51"/>
      <c r="J4" s="51"/>
      <c r="K4" s="51"/>
      <c r="L4" s="51"/>
      <c r="M4" s="51"/>
      <c r="N4" s="51"/>
      <c r="O4" s="30"/>
      <c r="P4" s="30"/>
      <c r="Q4" s="31"/>
    </row>
    <row r="6" spans="1:28" ht="15.5" x14ac:dyDescent="0.35">
      <c r="A6" s="29"/>
      <c r="B6" s="27" t="s">
        <v>4</v>
      </c>
      <c r="C6" s="27" t="s">
        <v>5</v>
      </c>
      <c r="D6" s="28" t="s">
        <v>6</v>
      </c>
      <c r="E6" s="28" t="s">
        <v>93</v>
      </c>
      <c r="F6" s="28" t="s">
        <v>7</v>
      </c>
      <c r="G6" s="28" t="s">
        <v>92</v>
      </c>
      <c r="H6" s="28" t="s">
        <v>8</v>
      </c>
      <c r="I6" s="27" t="s">
        <v>91</v>
      </c>
      <c r="J6" s="27" t="s">
        <v>90</v>
      </c>
      <c r="K6" s="27" t="s">
        <v>9</v>
      </c>
      <c r="L6" s="26" t="s">
        <v>10</v>
      </c>
      <c r="M6" s="25" t="s">
        <v>89</v>
      </c>
      <c r="N6" s="24" t="s">
        <v>11</v>
      </c>
      <c r="O6" s="11" t="s">
        <v>88</v>
      </c>
      <c r="P6" s="11" t="s">
        <v>12</v>
      </c>
      <c r="Q6" s="11"/>
      <c r="R6" s="23" t="s">
        <v>13</v>
      </c>
      <c r="S6" s="6" t="s">
        <v>10</v>
      </c>
      <c r="T6" s="23" t="s">
        <v>14</v>
      </c>
      <c r="U6" s="6" t="s">
        <v>15</v>
      </c>
      <c r="V6" s="9"/>
      <c r="W6" s="52" t="s">
        <v>16</v>
      </c>
      <c r="X6" s="52"/>
    </row>
    <row r="7" spans="1:28" ht="15.5" x14ac:dyDescent="0.35">
      <c r="A7" s="22" t="s">
        <v>17</v>
      </c>
      <c r="C7" s="7">
        <f t="shared" ref="C7:C28" si="0">B7*0.0166667</f>
        <v>0</v>
      </c>
      <c r="D7" s="7">
        <f t="shared" ref="D7:D28" si="1">B7*0.000277778</f>
        <v>0</v>
      </c>
      <c r="E7" s="5">
        <f t="shared" ref="E7:E28" si="2">0.001*D7</f>
        <v>0</v>
      </c>
      <c r="F7" s="7">
        <f t="shared" ref="F7:F28" si="3">E7/X$8</f>
        <v>0</v>
      </c>
      <c r="G7" s="7">
        <f t="shared" ref="G7:G28" si="4">F7^(2)</f>
        <v>0</v>
      </c>
      <c r="H7" s="7">
        <f t="shared" ref="H7:H28" si="5">F7*1.94384</f>
        <v>0</v>
      </c>
      <c r="I7" s="16"/>
      <c r="J7" s="16">
        <f t="shared" ref="J7:J28" si="6">I7 * 10</f>
        <v>0</v>
      </c>
      <c r="K7" s="15">
        <f t="shared" ref="K7:K28" si="7">J7*100</f>
        <v>0</v>
      </c>
      <c r="L7" s="5">
        <f t="shared" ref="L7:L28" si="8">(F7*X$12)/X$13</f>
        <v>0</v>
      </c>
      <c r="R7" s="11">
        <v>0</v>
      </c>
      <c r="S7" s="10">
        <f t="shared" ref="S7:S28" si="9">(R7*X$12)/X$13</f>
        <v>0</v>
      </c>
      <c r="T7" s="10"/>
      <c r="U7" s="10"/>
    </row>
    <row r="8" spans="1:28" ht="15.5" x14ac:dyDescent="0.35">
      <c r="A8" s="3" t="s">
        <v>40</v>
      </c>
      <c r="B8" s="3">
        <v>2100</v>
      </c>
      <c r="C8" s="7">
        <f t="shared" si="0"/>
        <v>35.000070000000001</v>
      </c>
      <c r="D8" s="7">
        <f t="shared" si="1"/>
        <v>0.58333380000000001</v>
      </c>
      <c r="E8" s="5">
        <f t="shared" si="2"/>
        <v>5.8333380000000006E-4</v>
      </c>
      <c r="F8" s="7">
        <f t="shared" si="3"/>
        <v>1.1666676</v>
      </c>
      <c r="G8" s="7">
        <f t="shared" si="4"/>
        <v>1.3611132888897601</v>
      </c>
      <c r="H8" s="7">
        <f t="shared" si="5"/>
        <v>2.2678151475840003</v>
      </c>
      <c r="I8" s="3">
        <v>6.3120687419216726E-2</v>
      </c>
      <c r="J8" s="16">
        <f t="shared" si="6"/>
        <v>0.63120687419216726</v>
      </c>
      <c r="K8" s="15">
        <f t="shared" si="7"/>
        <v>63.120687419216722</v>
      </c>
      <c r="L8" s="5">
        <f t="shared" si="8"/>
        <v>18454.232870370368</v>
      </c>
      <c r="M8" s="4">
        <f t="shared" ref="M8:M28" si="10">(X$16*G8*N8)/8</f>
        <v>0.3287535803084205</v>
      </c>
      <c r="N8" s="4">
        <f t="shared" ref="N8:N28" si="11">(K8*2*X$12)/(X$14*X$16*G8)</f>
        <v>1.8851344875929731E-3</v>
      </c>
      <c r="O8" s="4">
        <f t="shared" ref="O8:O28" si="12">N8/4</f>
        <v>4.7128362189824326E-4</v>
      </c>
      <c r="P8" s="4">
        <f t="shared" ref="P8:P28" si="13">3.7*(10^(-1/(2*SQRT(N8)))-2.51/(L8*SQRT(N8)))</f>
        <v>-1.1590663009149248E-2</v>
      </c>
      <c r="R8" s="11">
        <v>0.1</v>
      </c>
      <c r="S8" s="10">
        <f t="shared" si="9"/>
        <v>1581.7901234567901</v>
      </c>
      <c r="T8" s="10">
        <f t="shared" ref="T8:T28" si="14">0.292/(S8^(0.25))</f>
        <v>4.6301561383887517E-2</v>
      </c>
      <c r="U8" s="10">
        <f>0.0791/(S8^0.25)</f>
        <v>1.2542648991320215E-2</v>
      </c>
      <c r="V8" s="17"/>
      <c r="W8" s="9" t="s">
        <v>18</v>
      </c>
      <c r="X8" s="3">
        <f>X$10*X$11</f>
        <v>5.0000000000000001E-4</v>
      </c>
    </row>
    <row r="9" spans="1:28" ht="15.5" x14ac:dyDescent="0.35">
      <c r="A9" s="3" t="s">
        <v>87</v>
      </c>
      <c r="B9" s="3">
        <v>2550</v>
      </c>
      <c r="C9" s="7">
        <f t="shared" si="0"/>
        <v>42.500084999999999</v>
      </c>
      <c r="D9" s="7">
        <f t="shared" si="1"/>
        <v>0.70833390000000007</v>
      </c>
      <c r="E9" s="5">
        <f t="shared" si="2"/>
        <v>7.083339000000001E-4</v>
      </c>
      <c r="F9" s="7">
        <f t="shared" si="3"/>
        <v>1.4166678000000001</v>
      </c>
      <c r="G9" s="7">
        <f t="shared" si="4"/>
        <v>2.0069476555568406</v>
      </c>
      <c r="H9" s="7">
        <f t="shared" si="5"/>
        <v>2.7537755363520002</v>
      </c>
      <c r="I9" s="3">
        <v>0.13578525439034794</v>
      </c>
      <c r="J9" s="16">
        <f t="shared" si="6"/>
        <v>1.3578525439034794</v>
      </c>
      <c r="K9" s="15">
        <f t="shared" si="7"/>
        <v>135.78525439034794</v>
      </c>
      <c r="L9" s="5">
        <f t="shared" si="8"/>
        <v>22408.711342592593</v>
      </c>
      <c r="M9" s="4">
        <f t="shared" si="10"/>
        <v>0.70721486661639554</v>
      </c>
      <c r="N9" s="4">
        <f t="shared" si="11"/>
        <v>2.7503087950213841E-3</v>
      </c>
      <c r="O9" s="4">
        <f t="shared" si="12"/>
        <v>6.8757719875534604E-4</v>
      </c>
      <c r="P9" s="4">
        <f t="shared" si="13"/>
        <v>-7.9025595106126077E-3</v>
      </c>
      <c r="R9" s="11">
        <v>0.2</v>
      </c>
      <c r="S9" s="10">
        <f t="shared" si="9"/>
        <v>3163.5802469135801</v>
      </c>
      <c r="T9" s="10">
        <f t="shared" si="14"/>
        <v>3.8934816988360828E-2</v>
      </c>
      <c r="U9" s="10">
        <f t="shared" ref="U9:U28" si="15">0.0791/(S9^0.25)</f>
        <v>1.0547068574586788E-2</v>
      </c>
      <c r="V9" s="17"/>
      <c r="W9" s="3" t="s">
        <v>19</v>
      </c>
    </row>
    <row r="10" spans="1:28" ht="15.5" x14ac:dyDescent="0.35">
      <c r="A10" s="3" t="s">
        <v>41</v>
      </c>
      <c r="B10" s="3">
        <v>2950</v>
      </c>
      <c r="C10" s="7">
        <f t="shared" si="0"/>
        <v>49.166764999999998</v>
      </c>
      <c r="D10" s="7">
        <f t="shared" si="1"/>
        <v>0.81944510000000004</v>
      </c>
      <c r="E10" s="5">
        <f t="shared" si="2"/>
        <v>8.1944510000000006E-4</v>
      </c>
      <c r="F10" s="7">
        <f t="shared" si="3"/>
        <v>1.6388902000000001</v>
      </c>
      <c r="G10" s="7">
        <f t="shared" si="4"/>
        <v>2.68596108765604</v>
      </c>
      <c r="H10" s="7">
        <f t="shared" si="5"/>
        <v>3.1857403263680002</v>
      </c>
      <c r="I10" s="3">
        <v>0.480960116990649</v>
      </c>
      <c r="J10" s="16">
        <f t="shared" si="6"/>
        <v>4.8096011699064896</v>
      </c>
      <c r="K10" s="15">
        <f t="shared" si="7"/>
        <v>480.96011699064894</v>
      </c>
      <c r="L10" s="5">
        <f t="shared" si="8"/>
        <v>25923.803317901235</v>
      </c>
      <c r="M10" s="4">
        <f t="shared" si="10"/>
        <v>2.5050006093262964</v>
      </c>
      <c r="N10" s="4">
        <f t="shared" si="11"/>
        <v>7.279042260799967E-3</v>
      </c>
      <c r="O10" s="4">
        <f t="shared" si="12"/>
        <v>1.8197605651999918E-3</v>
      </c>
      <c r="P10" s="4">
        <f t="shared" si="13"/>
        <v>-4.1938375761930852E-3</v>
      </c>
      <c r="R10" s="11">
        <v>0.3</v>
      </c>
      <c r="S10" s="10">
        <f t="shared" si="9"/>
        <v>4745.3703703703704</v>
      </c>
      <c r="T10" s="10">
        <f t="shared" si="14"/>
        <v>3.5181578640865456E-2</v>
      </c>
      <c r="U10" s="10">
        <f t="shared" si="15"/>
        <v>9.5303522962070491E-3</v>
      </c>
      <c r="V10" s="17"/>
      <c r="W10" s="9" t="s">
        <v>20</v>
      </c>
      <c r="X10" s="7">
        <v>0.05</v>
      </c>
      <c r="AA10" s="20" t="s">
        <v>73</v>
      </c>
    </row>
    <row r="11" spans="1:28" ht="15.5" x14ac:dyDescent="0.35">
      <c r="A11" s="3" t="s">
        <v>86</v>
      </c>
      <c r="B11" s="3">
        <v>3400</v>
      </c>
      <c r="C11" s="7">
        <f t="shared" si="0"/>
        <v>56.666779999999996</v>
      </c>
      <c r="D11" s="7">
        <f t="shared" si="1"/>
        <v>0.94444519999999998</v>
      </c>
      <c r="E11" s="5">
        <f t="shared" si="2"/>
        <v>9.4444519999999999E-4</v>
      </c>
      <c r="F11" s="7">
        <f t="shared" si="3"/>
        <v>1.8888904</v>
      </c>
      <c r="G11" s="7">
        <f t="shared" si="4"/>
        <v>3.5679069432121597</v>
      </c>
      <c r="H11" s="7">
        <f t="shared" si="5"/>
        <v>3.6717007151360002</v>
      </c>
      <c r="I11" s="3">
        <v>0.89842800374402998</v>
      </c>
      <c r="J11" s="16">
        <f t="shared" si="6"/>
        <v>8.9842800374402998</v>
      </c>
      <c r="K11" s="15">
        <f t="shared" si="7"/>
        <v>898.42800374402998</v>
      </c>
      <c r="L11" s="5">
        <f t="shared" si="8"/>
        <v>29878.281790123452</v>
      </c>
      <c r="M11" s="4">
        <f t="shared" si="10"/>
        <v>4.6793125195001561</v>
      </c>
      <c r="N11" s="4">
        <f t="shared" si="11"/>
        <v>1.0236103168641077E-2</v>
      </c>
      <c r="O11" s="4">
        <f t="shared" si="12"/>
        <v>2.5590257921602692E-3</v>
      </c>
      <c r="P11" s="4">
        <f t="shared" si="13"/>
        <v>-3.0299347561800654E-3</v>
      </c>
      <c r="R11" s="11">
        <v>0.4</v>
      </c>
      <c r="S11" s="10">
        <f t="shared" si="9"/>
        <v>6327.1604938271603</v>
      </c>
      <c r="T11" s="10">
        <f t="shared" si="14"/>
        <v>3.2740148034072047E-2</v>
      </c>
      <c r="U11" s="10">
        <f t="shared" si="15"/>
        <v>8.8689921558051353E-3</v>
      </c>
      <c r="V11" s="17"/>
      <c r="W11" s="9" t="s">
        <v>21</v>
      </c>
      <c r="X11" s="7">
        <v>0.01</v>
      </c>
      <c r="AA11" s="21" t="s">
        <v>74</v>
      </c>
      <c r="AB11" s="3" t="s">
        <v>22</v>
      </c>
    </row>
    <row r="12" spans="1:28" ht="15.5" x14ac:dyDescent="0.35">
      <c r="A12" s="3" t="s">
        <v>42</v>
      </c>
      <c r="B12" s="3">
        <v>3800</v>
      </c>
      <c r="C12" s="7">
        <f t="shared" si="0"/>
        <v>63.333459999999995</v>
      </c>
      <c r="D12" s="7">
        <f t="shared" si="1"/>
        <v>1.0555564</v>
      </c>
      <c r="E12" s="5">
        <f t="shared" si="2"/>
        <v>1.0555563999999999E-3</v>
      </c>
      <c r="F12" s="7">
        <f t="shared" si="3"/>
        <v>2.1111127999999999</v>
      </c>
      <c r="G12" s="7">
        <f t="shared" si="4"/>
        <v>4.4567972543238392</v>
      </c>
      <c r="H12" s="7">
        <f t="shared" si="5"/>
        <v>4.1036655051519997</v>
      </c>
      <c r="I12" s="3">
        <v>1.3629433392284307</v>
      </c>
      <c r="J12" s="16">
        <f t="shared" si="6"/>
        <v>13.629433392284307</v>
      </c>
      <c r="K12" s="15">
        <f t="shared" si="7"/>
        <v>1362.9433392284307</v>
      </c>
      <c r="L12" s="5">
        <f t="shared" si="8"/>
        <v>33393.373765432094</v>
      </c>
      <c r="M12" s="4">
        <f t="shared" si="10"/>
        <v>7.0986632251480755</v>
      </c>
      <c r="N12" s="4">
        <f t="shared" si="11"/>
        <v>1.2431393581543826E-2</v>
      </c>
      <c r="O12" s="4">
        <f t="shared" si="12"/>
        <v>3.1078483953859565E-3</v>
      </c>
      <c r="P12" s="4">
        <f t="shared" si="13"/>
        <v>-2.3730707163265919E-3</v>
      </c>
      <c r="R12" s="11">
        <v>0.5</v>
      </c>
      <c r="S12" s="10">
        <f t="shared" si="9"/>
        <v>7908.9506172839501</v>
      </c>
      <c r="T12" s="10">
        <f t="shared" si="14"/>
        <v>3.0963720280745455E-2</v>
      </c>
      <c r="U12" s="10">
        <f t="shared" si="15"/>
        <v>8.3877749116676916E-3</v>
      </c>
      <c r="V12" s="17"/>
      <c r="W12" s="9" t="s">
        <v>71</v>
      </c>
      <c r="X12" s="4">
        <f>2*(X10*X11)/(X10+X11)</f>
        <v>1.6666666666666666E-2</v>
      </c>
      <c r="Y12" s="9">
        <f>10*X12*100</f>
        <v>16.666666666666664</v>
      </c>
      <c r="AA12" s="20" t="s">
        <v>75</v>
      </c>
      <c r="AB12" s="3" t="s">
        <v>23</v>
      </c>
    </row>
    <row r="13" spans="1:28" ht="15.5" x14ac:dyDescent="0.35">
      <c r="A13" s="3" t="s">
        <v>85</v>
      </c>
      <c r="B13" s="3">
        <v>4250</v>
      </c>
      <c r="C13" s="7">
        <f t="shared" si="0"/>
        <v>70.833474999999993</v>
      </c>
      <c r="D13" s="7">
        <f t="shared" si="1"/>
        <v>1.1805565</v>
      </c>
      <c r="E13" s="5">
        <f t="shared" si="2"/>
        <v>1.1805565000000001E-3</v>
      </c>
      <c r="F13" s="7">
        <f t="shared" si="3"/>
        <v>2.361113</v>
      </c>
      <c r="G13" s="7">
        <f t="shared" si="4"/>
        <v>5.5748545987689999</v>
      </c>
      <c r="H13" s="7">
        <f t="shared" si="5"/>
        <v>4.5896258939200001</v>
      </c>
      <c r="I13" s="3">
        <v>1.8006599533000549</v>
      </c>
      <c r="J13" s="16">
        <f t="shared" si="6"/>
        <v>18.00659953300055</v>
      </c>
      <c r="K13" s="15">
        <f t="shared" si="7"/>
        <v>1800.6599533000549</v>
      </c>
      <c r="L13" s="5">
        <f t="shared" si="8"/>
        <v>37347.852237654311</v>
      </c>
      <c r="M13" s="4">
        <f t="shared" si="10"/>
        <v>9.3784372567711198</v>
      </c>
      <c r="N13" s="4">
        <f t="shared" si="11"/>
        <v>1.3129949450771502E-2</v>
      </c>
      <c r="O13" s="4">
        <f t="shared" si="12"/>
        <v>3.2824873626928755E-3</v>
      </c>
      <c r="P13" s="4">
        <f t="shared" si="13"/>
        <v>-2.0098911989878663E-3</v>
      </c>
      <c r="R13" s="11">
        <v>0.6</v>
      </c>
      <c r="S13" s="10">
        <f t="shared" si="9"/>
        <v>9490.7407407407409</v>
      </c>
      <c r="T13" s="10">
        <f t="shared" si="14"/>
        <v>2.9584063362070416E-2</v>
      </c>
      <c r="U13" s="10">
        <f t="shared" si="15"/>
        <v>8.0140390819855144E-3</v>
      </c>
      <c r="V13" s="17"/>
      <c r="W13" s="9" t="s">
        <v>72</v>
      </c>
      <c r="X13" s="8">
        <f>X$17/X$16</f>
        <v>1.053658536585366E-6</v>
      </c>
    </row>
    <row r="14" spans="1:28" ht="15.5" x14ac:dyDescent="0.35">
      <c r="A14" s="3" t="s">
        <v>43</v>
      </c>
      <c r="B14" s="3">
        <v>4700</v>
      </c>
      <c r="C14" s="7">
        <f t="shared" si="0"/>
        <v>78.333489999999998</v>
      </c>
      <c r="D14" s="7">
        <f t="shared" si="1"/>
        <v>1.3055566000000001</v>
      </c>
      <c r="E14" s="5">
        <f t="shared" si="2"/>
        <v>1.3055566E-3</v>
      </c>
      <c r="F14" s="7">
        <f t="shared" si="3"/>
        <v>2.6111132000000001</v>
      </c>
      <c r="G14" s="7">
        <f t="shared" si="4"/>
        <v>6.8179121432142411</v>
      </c>
      <c r="H14" s="7">
        <f t="shared" si="5"/>
        <v>5.0755862826880005</v>
      </c>
      <c r="I14" s="3">
        <v>2.8613039997755116</v>
      </c>
      <c r="J14" s="16">
        <f t="shared" si="6"/>
        <v>28.613039997755116</v>
      </c>
      <c r="K14" s="15">
        <f t="shared" si="7"/>
        <v>2861.3039997755118</v>
      </c>
      <c r="L14" s="5">
        <f t="shared" si="8"/>
        <v>41302.330709876544</v>
      </c>
      <c r="M14" s="4">
        <f t="shared" si="10"/>
        <v>14.902624998830788</v>
      </c>
      <c r="N14" s="4">
        <f t="shared" si="11"/>
        <v>1.7059939799656469E-2</v>
      </c>
      <c r="O14" s="4">
        <f t="shared" si="12"/>
        <v>4.2649849499141173E-3</v>
      </c>
      <c r="P14" s="4">
        <f t="shared" si="13"/>
        <v>-1.1718281525736375E-3</v>
      </c>
      <c r="R14" s="11">
        <v>0.7</v>
      </c>
      <c r="S14" s="10">
        <f t="shared" si="9"/>
        <v>11072.530864197528</v>
      </c>
      <c r="T14" s="10">
        <f t="shared" si="14"/>
        <v>2.8465651401959793E-2</v>
      </c>
      <c r="U14" s="10">
        <f t="shared" si="15"/>
        <v>7.7110720064897942E-3</v>
      </c>
      <c r="V14" s="17"/>
      <c r="W14" s="9" t="s">
        <v>24</v>
      </c>
      <c r="X14" s="3">
        <v>0.8</v>
      </c>
      <c r="AA14" s="20" t="s">
        <v>76</v>
      </c>
      <c r="AB14" s="9" t="s">
        <v>25</v>
      </c>
    </row>
    <row r="15" spans="1:28" ht="15.5" x14ac:dyDescent="0.35">
      <c r="A15" s="3" t="s">
        <v>84</v>
      </c>
      <c r="B15" s="3">
        <v>5100</v>
      </c>
      <c r="C15" s="7">
        <f t="shared" si="0"/>
        <v>85.000169999999997</v>
      </c>
      <c r="D15" s="7">
        <f t="shared" si="1"/>
        <v>1.4166678000000001</v>
      </c>
      <c r="E15" s="5">
        <f t="shared" si="2"/>
        <v>1.4166678000000002E-3</v>
      </c>
      <c r="F15" s="7">
        <f t="shared" si="3"/>
        <v>2.8333356000000003</v>
      </c>
      <c r="G15" s="7">
        <f t="shared" si="4"/>
        <v>8.0277906222273625</v>
      </c>
      <c r="H15" s="7">
        <f t="shared" si="5"/>
        <v>5.5075510727040005</v>
      </c>
      <c r="I15" s="3">
        <v>2.9042350381899027</v>
      </c>
      <c r="J15" s="16">
        <f t="shared" si="6"/>
        <v>29.042350381899027</v>
      </c>
      <c r="K15" s="15">
        <f t="shared" si="7"/>
        <v>2904.2350381899028</v>
      </c>
      <c r="L15" s="5">
        <f t="shared" si="8"/>
        <v>44817.422685185185</v>
      </c>
      <c r="M15" s="4">
        <f t="shared" si="10"/>
        <v>15.126224157239077</v>
      </c>
      <c r="N15" s="4">
        <f t="shared" si="11"/>
        <v>1.4706205037147863E-2</v>
      </c>
      <c r="O15" s="4">
        <f t="shared" si="12"/>
        <v>3.6765512592869657E-3</v>
      </c>
      <c r="P15" s="4">
        <f t="shared" si="13"/>
        <v>-1.4300461432795214E-3</v>
      </c>
      <c r="R15" s="11">
        <v>0.8</v>
      </c>
      <c r="S15" s="10">
        <f t="shared" si="9"/>
        <v>12654.320987654321</v>
      </c>
      <c r="T15" s="10">
        <f t="shared" si="14"/>
        <v>2.7531073116727131E-2</v>
      </c>
      <c r="U15" s="10">
        <f t="shared" si="15"/>
        <v>7.4579037107298501E-3</v>
      </c>
      <c r="V15" s="17"/>
    </row>
    <row r="16" spans="1:28" ht="15.5" x14ac:dyDescent="0.35">
      <c r="A16" s="3" t="s">
        <v>44</v>
      </c>
      <c r="B16" s="3">
        <v>5600</v>
      </c>
      <c r="C16" s="7">
        <f t="shared" si="0"/>
        <v>93.333519999999993</v>
      </c>
      <c r="D16" s="7">
        <f t="shared" si="1"/>
        <v>1.5555568</v>
      </c>
      <c r="E16" s="5">
        <f t="shared" si="2"/>
        <v>1.5555568000000001E-3</v>
      </c>
      <c r="F16" s="7">
        <f t="shared" si="3"/>
        <v>3.1111135999999999</v>
      </c>
      <c r="G16" s="7">
        <f t="shared" si="4"/>
        <v>9.6790278321049588</v>
      </c>
      <c r="H16" s="7">
        <f t="shared" si="5"/>
        <v>6.0475070602239995</v>
      </c>
      <c r="I16" s="3">
        <v>3.9672893178729449</v>
      </c>
      <c r="J16" s="16">
        <f t="shared" si="6"/>
        <v>39.672893178729453</v>
      </c>
      <c r="K16" s="15">
        <f t="shared" si="7"/>
        <v>3967.2893178729455</v>
      </c>
      <c r="L16" s="5">
        <f t="shared" si="8"/>
        <v>49211.287654320979</v>
      </c>
      <c r="M16" s="4">
        <f t="shared" si="10"/>
        <v>20.66296519725492</v>
      </c>
      <c r="N16" s="4">
        <f t="shared" si="11"/>
        <v>1.6661996048387983E-2</v>
      </c>
      <c r="O16" s="4">
        <f t="shared" si="12"/>
        <v>4.1654990120969957E-3</v>
      </c>
      <c r="P16" s="4">
        <f t="shared" si="13"/>
        <v>-9.669191960443741E-4</v>
      </c>
      <c r="Q16" s="16"/>
      <c r="R16" s="11">
        <v>0.9</v>
      </c>
      <c r="S16" s="10">
        <f t="shared" si="9"/>
        <v>14236.111111111109</v>
      </c>
      <c r="T16" s="10">
        <f t="shared" si="14"/>
        <v>2.6732218928887431E-2</v>
      </c>
      <c r="U16" s="10">
        <f t="shared" si="15"/>
        <v>7.2415017714897124E-3</v>
      </c>
      <c r="V16" s="17"/>
      <c r="W16" s="3" t="s">
        <v>26</v>
      </c>
      <c r="X16" s="3">
        <f>VLOOKUP(X18, Seawater!A4:F34, 3, FALSE)</f>
        <v>1025</v>
      </c>
    </row>
    <row r="17" spans="1:30" ht="15.5" x14ac:dyDescent="0.35">
      <c r="A17" s="3" t="s">
        <v>83</v>
      </c>
      <c r="B17" s="3">
        <v>5900</v>
      </c>
      <c r="C17" s="7">
        <f t="shared" si="0"/>
        <v>98.333529999999996</v>
      </c>
      <c r="D17" s="7">
        <f t="shared" si="1"/>
        <v>1.6388902000000001</v>
      </c>
      <c r="E17" s="5">
        <f t="shared" si="2"/>
        <v>1.6388902000000001E-3</v>
      </c>
      <c r="F17" s="7">
        <f t="shared" si="3"/>
        <v>3.2777804000000001</v>
      </c>
      <c r="G17" s="7">
        <f t="shared" si="4"/>
        <v>10.74384435062416</v>
      </c>
      <c r="H17" s="7">
        <f t="shared" si="5"/>
        <v>6.3714806527360004</v>
      </c>
      <c r="I17" s="3">
        <v>4.9182480693542887</v>
      </c>
      <c r="J17" s="16">
        <f t="shared" si="6"/>
        <v>49.182480693542885</v>
      </c>
      <c r="K17" s="15">
        <f t="shared" si="7"/>
        <v>4918.2480693542884</v>
      </c>
      <c r="L17" s="5">
        <f t="shared" si="8"/>
        <v>51847.606635802469</v>
      </c>
      <c r="M17" s="4">
        <f t="shared" si="10"/>
        <v>25.615875361220251</v>
      </c>
      <c r="N17" s="4">
        <f t="shared" si="11"/>
        <v>1.8608682030605748E-2</v>
      </c>
      <c r="O17" s="4">
        <f t="shared" si="12"/>
        <v>4.6521705076514371E-3</v>
      </c>
      <c r="P17" s="4">
        <f t="shared" si="13"/>
        <v>-5.1346136781310603E-4</v>
      </c>
      <c r="R17" s="11">
        <v>1</v>
      </c>
      <c r="S17" s="10">
        <f t="shared" si="9"/>
        <v>15817.9012345679</v>
      </c>
      <c r="T17" s="10">
        <f t="shared" si="14"/>
        <v>2.6037281386997589E-2</v>
      </c>
      <c r="U17" s="10">
        <f t="shared" si="15"/>
        <v>7.0532498551764029E-3</v>
      </c>
      <c r="V17" s="17"/>
      <c r="W17" s="3" t="s">
        <v>27</v>
      </c>
      <c r="X17" s="3">
        <f>VLOOKUP(X18, Seawater!A4:F34, 5, FALSE)</f>
        <v>1.08E-3</v>
      </c>
      <c r="AA17" s="12"/>
      <c r="AB17" s="12"/>
      <c r="AC17" s="12"/>
      <c r="AD17" s="12"/>
    </row>
    <row r="18" spans="1:30" ht="15.5" x14ac:dyDescent="0.35">
      <c r="A18" s="3" t="s">
        <v>50</v>
      </c>
      <c r="B18" s="3">
        <v>6250</v>
      </c>
      <c r="C18" s="7">
        <f t="shared" si="0"/>
        <v>104.16687499999999</v>
      </c>
      <c r="D18" s="7">
        <f t="shared" si="1"/>
        <v>1.7361124999999999</v>
      </c>
      <c r="E18" s="5">
        <f t="shared" si="2"/>
        <v>1.7361124999999999E-3</v>
      </c>
      <c r="F18" s="7">
        <f t="shared" si="3"/>
        <v>3.4722249999999999</v>
      </c>
      <c r="G18" s="7">
        <f t="shared" si="4"/>
        <v>12.056346450625</v>
      </c>
      <c r="H18" s="7">
        <f t="shared" si="5"/>
        <v>6.7494498439999999</v>
      </c>
      <c r="I18" s="3">
        <v>5.2569142311027983</v>
      </c>
      <c r="J18" s="16">
        <f t="shared" si="6"/>
        <v>52.569142311027981</v>
      </c>
      <c r="K18" s="15">
        <f t="shared" si="7"/>
        <v>5256.9142311027981</v>
      </c>
      <c r="L18" s="5">
        <f t="shared" si="8"/>
        <v>54923.312114197528</v>
      </c>
      <c r="M18" s="4">
        <f t="shared" si="10"/>
        <v>27.379761620327074</v>
      </c>
      <c r="N18" s="4">
        <f t="shared" si="11"/>
        <v>1.7724747818627533E-2</v>
      </c>
      <c r="O18" s="4">
        <f t="shared" si="12"/>
        <v>4.4311869546568832E-3</v>
      </c>
      <c r="P18" s="4">
        <f t="shared" si="13"/>
        <v>-6.2054757370364865E-4</v>
      </c>
      <c r="Q18" s="11"/>
      <c r="R18" s="11">
        <v>1.1000000000000001</v>
      </c>
      <c r="S18" s="10">
        <f t="shared" si="9"/>
        <v>17399.691358024691</v>
      </c>
      <c r="T18" s="10">
        <f t="shared" si="14"/>
        <v>2.5424209894386686E-2</v>
      </c>
      <c r="U18" s="10">
        <f t="shared" si="15"/>
        <v>6.8871746665958456E-3</v>
      </c>
      <c r="V18" s="17"/>
      <c r="W18" s="3" t="s">
        <v>70</v>
      </c>
      <c r="X18" s="3">
        <v>20</v>
      </c>
      <c r="AA18" s="12"/>
      <c r="AB18" s="12"/>
      <c r="AC18" s="12"/>
      <c r="AD18" s="12"/>
    </row>
    <row r="19" spans="1:30" ht="15.5" x14ac:dyDescent="0.35">
      <c r="A19" s="3" t="s">
        <v>82</v>
      </c>
      <c r="B19" s="3">
        <v>5800</v>
      </c>
      <c r="C19" s="7">
        <f t="shared" si="0"/>
        <v>96.66686</v>
      </c>
      <c r="D19" s="7">
        <f t="shared" si="1"/>
        <v>1.6111124000000001</v>
      </c>
      <c r="E19" s="5">
        <f t="shared" si="2"/>
        <v>1.6111124000000002E-3</v>
      </c>
      <c r="F19" s="7">
        <f t="shared" si="3"/>
        <v>3.2222248000000002</v>
      </c>
      <c r="G19" s="7">
        <f t="shared" si="4"/>
        <v>10.382732661735041</v>
      </c>
      <c r="H19" s="7">
        <f t="shared" si="5"/>
        <v>6.2634894552320004</v>
      </c>
      <c r="I19" s="3">
        <v>4.4976931462935594</v>
      </c>
      <c r="J19" s="16">
        <f t="shared" si="6"/>
        <v>44.976931462935596</v>
      </c>
      <c r="K19" s="15">
        <f t="shared" si="7"/>
        <v>4497.6931462935599</v>
      </c>
      <c r="L19" s="5">
        <f t="shared" si="8"/>
        <v>50968.83364197531</v>
      </c>
      <c r="M19" s="4">
        <f t="shared" si="10"/>
        <v>23.425485136945621</v>
      </c>
      <c r="N19" s="4">
        <f t="shared" si="11"/>
        <v>1.7609338570490317E-2</v>
      </c>
      <c r="O19" s="4">
        <f t="shared" si="12"/>
        <v>4.4023346426225792E-3</v>
      </c>
      <c r="P19" s="4">
        <f t="shared" si="13"/>
        <v>-7.4168368674321149E-4</v>
      </c>
      <c r="R19" s="11">
        <v>1.2</v>
      </c>
      <c r="S19" s="10">
        <f t="shared" si="9"/>
        <v>18981.481481481482</v>
      </c>
      <c r="T19" s="10">
        <f t="shared" si="14"/>
        <v>2.4877132829803777E-2</v>
      </c>
      <c r="U19" s="10">
        <f t="shared" si="15"/>
        <v>6.7389767357447913E-3</v>
      </c>
      <c r="V19" s="17"/>
      <c r="W19" s="9"/>
      <c r="X19" s="9"/>
      <c r="AA19" s="14" t="s">
        <v>28</v>
      </c>
      <c r="AB19" s="14"/>
      <c r="AC19" s="14"/>
      <c r="AD19" s="14"/>
    </row>
    <row r="20" spans="1:30" ht="15.5" x14ac:dyDescent="0.35">
      <c r="A20" s="18" t="s">
        <v>45</v>
      </c>
      <c r="B20" s="3">
        <v>5450</v>
      </c>
      <c r="C20" s="7">
        <f t="shared" si="0"/>
        <v>90.833514999999991</v>
      </c>
      <c r="D20" s="7">
        <f t="shared" si="1"/>
        <v>1.5138901</v>
      </c>
      <c r="E20" s="5">
        <f t="shared" si="2"/>
        <v>1.5138901E-3</v>
      </c>
      <c r="F20" s="7">
        <f t="shared" si="3"/>
        <v>3.0277802</v>
      </c>
      <c r="G20" s="7">
        <f t="shared" si="4"/>
        <v>9.1674529395120405</v>
      </c>
      <c r="H20" s="7">
        <f t="shared" si="5"/>
        <v>5.885520263968</v>
      </c>
      <c r="I20" s="16">
        <v>3.919647428133513</v>
      </c>
      <c r="J20" s="16">
        <f t="shared" si="6"/>
        <v>39.196474281335128</v>
      </c>
      <c r="K20" s="15">
        <f t="shared" si="7"/>
        <v>3919.6474281335127</v>
      </c>
      <c r="L20" s="5">
        <f t="shared" si="8"/>
        <v>47893.128163580244</v>
      </c>
      <c r="M20" s="4">
        <f t="shared" si="10"/>
        <v>20.414830354862044</v>
      </c>
      <c r="N20" s="4">
        <f t="shared" si="11"/>
        <v>1.7380537686700288E-2</v>
      </c>
      <c r="O20" s="4">
        <f t="shared" si="12"/>
        <v>4.3451344216750721E-3</v>
      </c>
      <c r="P20" s="4">
        <f t="shared" si="13"/>
        <v>-8.7438592068893567E-4</v>
      </c>
      <c r="R20" s="11">
        <v>1.3</v>
      </c>
      <c r="S20" s="10">
        <f t="shared" si="9"/>
        <v>20563.271604938269</v>
      </c>
      <c r="T20" s="10">
        <f t="shared" si="14"/>
        <v>2.4384272245175108E-2</v>
      </c>
      <c r="U20" s="10">
        <f t="shared" si="15"/>
        <v>6.6054655294292847E-3</v>
      </c>
      <c r="V20" s="17"/>
      <c r="AA20" s="19" t="s">
        <v>29</v>
      </c>
      <c r="AB20" s="14" t="s">
        <v>30</v>
      </c>
      <c r="AC20" s="14" t="s">
        <v>31</v>
      </c>
      <c r="AD20" s="14" t="s">
        <v>32</v>
      </c>
    </row>
    <row r="21" spans="1:30" ht="15.5" x14ac:dyDescent="0.35">
      <c r="A21" s="18" t="s">
        <v>81</v>
      </c>
      <c r="B21" s="3">
        <v>4900</v>
      </c>
      <c r="C21" s="7">
        <f t="shared" si="0"/>
        <v>81.666830000000004</v>
      </c>
      <c r="D21" s="7">
        <f t="shared" si="1"/>
        <v>1.3611122</v>
      </c>
      <c r="E21" s="5">
        <f t="shared" si="2"/>
        <v>1.3611122000000001E-3</v>
      </c>
      <c r="F21" s="7">
        <f t="shared" si="3"/>
        <v>2.7222244</v>
      </c>
      <c r="G21" s="7">
        <f t="shared" si="4"/>
        <v>7.4105056839553596</v>
      </c>
      <c r="H21" s="7">
        <f t="shared" si="5"/>
        <v>5.2915686776959996</v>
      </c>
      <c r="I21" s="16">
        <v>3.251685086655268</v>
      </c>
      <c r="J21" s="16">
        <f t="shared" si="6"/>
        <v>32.51685086655268</v>
      </c>
      <c r="K21" s="15">
        <f t="shared" si="7"/>
        <v>3251.6850866552682</v>
      </c>
      <c r="L21" s="5">
        <f t="shared" si="8"/>
        <v>43059.876697530861</v>
      </c>
      <c r="M21" s="4">
        <f t="shared" si="10"/>
        <v>16.935859826329523</v>
      </c>
      <c r="N21" s="4">
        <f t="shared" si="11"/>
        <v>1.783715258216903E-2</v>
      </c>
      <c r="O21" s="4">
        <f t="shared" si="12"/>
        <v>4.4592881455422576E-3</v>
      </c>
      <c r="P21" s="4">
        <f t="shared" si="13"/>
        <v>-9.4738329056187935E-4</v>
      </c>
      <c r="R21" s="11">
        <v>1.4</v>
      </c>
      <c r="S21" s="10">
        <f t="shared" si="9"/>
        <v>22145.061728395056</v>
      </c>
      <c r="T21" s="10">
        <f t="shared" si="14"/>
        <v>2.3936664221769863E-2</v>
      </c>
      <c r="U21" s="10">
        <f t="shared" si="15"/>
        <v>6.4842128080205355E-3</v>
      </c>
      <c r="V21" s="17"/>
      <c r="W21" s="9" t="s">
        <v>33</v>
      </c>
      <c r="X21" s="9">
        <f>4*10^(-6)</f>
        <v>3.9999999999999998E-6</v>
      </c>
      <c r="AA21" s="19" t="s">
        <v>34</v>
      </c>
      <c r="AB21" s="14" t="s">
        <v>35</v>
      </c>
      <c r="AC21" s="14" t="s">
        <v>36</v>
      </c>
      <c r="AD21" s="14" t="s">
        <v>37</v>
      </c>
    </row>
    <row r="22" spans="1:30" ht="15.5" x14ac:dyDescent="0.35">
      <c r="A22" s="18" t="s">
        <v>46</v>
      </c>
      <c r="B22" s="3">
        <v>4550</v>
      </c>
      <c r="C22" s="7">
        <f t="shared" si="0"/>
        <v>75.833484999999996</v>
      </c>
      <c r="D22" s="7">
        <f t="shared" si="1"/>
        <v>1.2638899000000001</v>
      </c>
      <c r="E22" s="3">
        <f t="shared" si="2"/>
        <v>1.2638899000000001E-3</v>
      </c>
      <c r="F22" s="7">
        <f t="shared" si="3"/>
        <v>2.5277798000000002</v>
      </c>
      <c r="G22" s="7">
        <f t="shared" si="4"/>
        <v>6.3896707172880411</v>
      </c>
      <c r="H22" s="7">
        <f t="shared" si="5"/>
        <v>4.9135994864320001</v>
      </c>
      <c r="I22" s="16">
        <v>2.2773572270828168</v>
      </c>
      <c r="J22" s="16">
        <f t="shared" si="6"/>
        <v>22.773572270828168</v>
      </c>
      <c r="K22" s="15">
        <f t="shared" si="7"/>
        <v>2277.3572270828167</v>
      </c>
      <c r="L22" s="5">
        <f t="shared" si="8"/>
        <v>39984.171219135802</v>
      </c>
      <c r="M22" s="4">
        <f t="shared" si="10"/>
        <v>11.861235557723004</v>
      </c>
      <c r="N22" s="4">
        <f t="shared" si="11"/>
        <v>1.4488304817556944E-2</v>
      </c>
      <c r="O22" s="4">
        <f t="shared" si="12"/>
        <v>3.6220762043892361E-3</v>
      </c>
      <c r="P22" s="4">
        <f t="shared" si="13"/>
        <v>-1.6700814561653183E-3</v>
      </c>
      <c r="R22" s="11">
        <v>1.5</v>
      </c>
      <c r="S22" s="10">
        <f t="shared" si="9"/>
        <v>23726.85185185185</v>
      </c>
      <c r="T22" s="10">
        <f t="shared" si="14"/>
        <v>2.3527339629844345E-2</v>
      </c>
      <c r="U22" s="10">
        <f t="shared" si="15"/>
        <v>6.3733307010982463E-3</v>
      </c>
      <c r="V22" s="17"/>
      <c r="W22" s="9" t="s">
        <v>38</v>
      </c>
      <c r="X22" s="3">
        <f>X21/X12</f>
        <v>2.3999999999999998E-4</v>
      </c>
      <c r="AA22" s="14">
        <v>0</v>
      </c>
      <c r="AB22" s="14">
        <v>1.792E-3</v>
      </c>
      <c r="AC22" s="14">
        <v>999.87</v>
      </c>
      <c r="AD22" s="13">
        <v>1.7922329902887374E-6</v>
      </c>
    </row>
    <row r="23" spans="1:30" ht="15.5" x14ac:dyDescent="0.35">
      <c r="A23" s="18" t="s">
        <v>80</v>
      </c>
      <c r="B23" s="3">
        <v>4100</v>
      </c>
      <c r="C23" s="7">
        <f t="shared" si="0"/>
        <v>68.333469999999991</v>
      </c>
      <c r="D23" s="7">
        <f t="shared" si="1"/>
        <v>1.1388898000000001</v>
      </c>
      <c r="E23" s="5">
        <f t="shared" si="2"/>
        <v>1.1388898000000002E-3</v>
      </c>
      <c r="F23" s="7">
        <f t="shared" si="3"/>
        <v>2.2777796000000001</v>
      </c>
      <c r="G23" s="7">
        <f t="shared" si="4"/>
        <v>5.1882799061761604</v>
      </c>
      <c r="H23" s="7">
        <f t="shared" si="5"/>
        <v>4.4276390976640005</v>
      </c>
      <c r="I23" s="16">
        <v>2.0753771693542995</v>
      </c>
      <c r="J23" s="16">
        <f t="shared" si="6"/>
        <v>20.753771693542994</v>
      </c>
      <c r="K23" s="15">
        <f t="shared" si="7"/>
        <v>2075.3771693542994</v>
      </c>
      <c r="L23" s="5">
        <f t="shared" si="8"/>
        <v>36029.692746913577</v>
      </c>
      <c r="M23" s="4">
        <f t="shared" si="10"/>
        <v>10.809256090386977</v>
      </c>
      <c r="N23" s="4">
        <f t="shared" si="11"/>
        <v>1.6260673500494757E-2</v>
      </c>
      <c r="O23" s="4">
        <f t="shared" si="12"/>
        <v>4.0651683751236891E-3</v>
      </c>
      <c r="P23" s="3">
        <f t="shared" si="13"/>
        <v>-1.5775903118432873E-3</v>
      </c>
      <c r="R23" s="11">
        <v>1.6</v>
      </c>
      <c r="S23" s="10">
        <f t="shared" si="9"/>
        <v>25308.641975308641</v>
      </c>
      <c r="T23" s="10">
        <f t="shared" si="14"/>
        <v>2.3150780691943755E-2</v>
      </c>
      <c r="U23" s="10">
        <f t="shared" si="15"/>
        <v>6.2713244956601067E-3</v>
      </c>
      <c r="V23" s="17"/>
      <c r="AA23" s="14">
        <v>5</v>
      </c>
      <c r="AB23" s="14">
        <v>1.519E-3</v>
      </c>
      <c r="AC23" s="14">
        <v>999.99</v>
      </c>
      <c r="AD23" s="13">
        <v>1.5190151901519014E-6</v>
      </c>
    </row>
    <row r="24" spans="1:30" ht="15.5" x14ac:dyDescent="0.35">
      <c r="A24" s="3" t="s">
        <v>47</v>
      </c>
      <c r="B24" s="3">
        <v>3700</v>
      </c>
      <c r="C24" s="7">
        <f t="shared" si="0"/>
        <v>61.666789999999999</v>
      </c>
      <c r="D24" s="7">
        <f t="shared" si="1"/>
        <v>1.0277786</v>
      </c>
      <c r="E24" s="5">
        <f t="shared" si="2"/>
        <v>1.0277786E-3</v>
      </c>
      <c r="F24" s="5">
        <f t="shared" si="3"/>
        <v>2.0555572</v>
      </c>
      <c r="G24" s="7">
        <f t="shared" si="4"/>
        <v>4.22531540247184</v>
      </c>
      <c r="H24" s="7">
        <f t="shared" si="5"/>
        <v>3.9956743076480001</v>
      </c>
      <c r="I24" s="7">
        <v>1.5556393573754805</v>
      </c>
      <c r="J24" s="16">
        <f t="shared" si="6"/>
        <v>15.556393573754805</v>
      </c>
      <c r="K24" s="15">
        <f t="shared" si="7"/>
        <v>1555.6393573754806</v>
      </c>
      <c r="L24" s="5">
        <f t="shared" si="8"/>
        <v>32514.600771604935</v>
      </c>
      <c r="M24" s="4">
        <f t="shared" si="10"/>
        <v>8.1022883196639608</v>
      </c>
      <c r="N24" s="4">
        <f t="shared" si="11"/>
        <v>1.4966308127919036E-2</v>
      </c>
      <c r="O24" s="4">
        <f t="shared" si="12"/>
        <v>3.741577031979759E-3</v>
      </c>
      <c r="P24" s="4">
        <f t="shared" si="13"/>
        <v>-2.0319668945119143E-3</v>
      </c>
      <c r="R24" s="11">
        <v>1.7</v>
      </c>
      <c r="S24" s="10">
        <f t="shared" si="9"/>
        <v>26890.432098765428</v>
      </c>
      <c r="T24" s="10">
        <f t="shared" si="14"/>
        <v>2.280254945027245E-2</v>
      </c>
      <c r="U24" s="10">
        <f t="shared" si="15"/>
        <v>6.1769919914950368E-3</v>
      </c>
      <c r="V24" s="17"/>
      <c r="W24" s="8"/>
      <c r="AA24" s="14">
        <f>AA23+5</f>
        <v>10</v>
      </c>
      <c r="AB24" s="14">
        <v>1.3079999999999999E-3</v>
      </c>
      <c r="AC24" s="14">
        <v>999.73</v>
      </c>
      <c r="AD24" s="13">
        <v>1.3083532553789522E-6</v>
      </c>
    </row>
    <row r="25" spans="1:30" ht="15.5" x14ac:dyDescent="0.35">
      <c r="A25" s="3" t="s">
        <v>79</v>
      </c>
      <c r="B25" s="3">
        <v>3350</v>
      </c>
      <c r="C25" s="7">
        <f t="shared" si="0"/>
        <v>55.833444999999998</v>
      </c>
      <c r="D25" s="7">
        <f t="shared" si="1"/>
        <v>0.9305563</v>
      </c>
      <c r="E25" s="5">
        <f t="shared" si="2"/>
        <v>9.3055630000000002E-4</v>
      </c>
      <c r="F25" s="5">
        <f t="shared" si="3"/>
        <v>1.8611126</v>
      </c>
      <c r="G25" s="7">
        <f t="shared" si="4"/>
        <v>3.4637401098787599</v>
      </c>
      <c r="H25" s="7">
        <f t="shared" si="5"/>
        <v>3.6177051163840002</v>
      </c>
      <c r="I25" s="7">
        <v>1.1398724790885884</v>
      </c>
      <c r="J25" s="16">
        <f t="shared" si="6"/>
        <v>11.398724790885883</v>
      </c>
      <c r="K25" s="15">
        <f t="shared" si="7"/>
        <v>1139.8724790885883</v>
      </c>
      <c r="L25" s="5">
        <f t="shared" si="8"/>
        <v>29438.895293209873</v>
      </c>
      <c r="M25" s="4">
        <f t="shared" si="10"/>
        <v>5.936835828586398</v>
      </c>
      <c r="N25" s="4">
        <f t="shared" si="11"/>
        <v>1.3377527807468611E-2</v>
      </c>
      <c r="O25" s="4">
        <f t="shared" si="12"/>
        <v>3.3443819518671528E-3</v>
      </c>
      <c r="P25" s="4">
        <f t="shared" si="13"/>
        <v>-2.551621044692972E-3</v>
      </c>
      <c r="R25" s="11">
        <v>1.8</v>
      </c>
      <c r="S25" s="10">
        <f t="shared" si="9"/>
        <v>28472.222222222219</v>
      </c>
      <c r="T25" s="10">
        <f t="shared" si="14"/>
        <v>2.2479027069078936E-2</v>
      </c>
      <c r="U25" s="10">
        <f t="shared" si="15"/>
        <v>6.0893528806991231E-3</v>
      </c>
      <c r="V25" s="4"/>
      <c r="W25" s="8"/>
      <c r="AA25" s="14" t="e">
        <f>#REF!+5</f>
        <v>#REF!</v>
      </c>
      <c r="AB25" s="14">
        <v>1.005E-3</v>
      </c>
      <c r="AC25" s="14">
        <v>998.23</v>
      </c>
      <c r="AD25" s="13">
        <v>1.0067820041473407E-6</v>
      </c>
    </row>
    <row r="26" spans="1:30" ht="15.5" x14ac:dyDescent="0.35">
      <c r="A26" s="3" t="s">
        <v>48</v>
      </c>
      <c r="B26" s="3">
        <v>2950</v>
      </c>
      <c r="C26" s="7">
        <f t="shared" si="0"/>
        <v>49.166764999999998</v>
      </c>
      <c r="D26" s="7">
        <f t="shared" si="1"/>
        <v>0.81944510000000004</v>
      </c>
      <c r="E26" s="5">
        <f t="shared" si="2"/>
        <v>8.1944510000000006E-4</v>
      </c>
      <c r="F26" s="5">
        <f t="shared" si="3"/>
        <v>1.6388902000000001</v>
      </c>
      <c r="G26" s="7">
        <f t="shared" si="4"/>
        <v>2.68596108765604</v>
      </c>
      <c r="H26" s="7">
        <f t="shared" si="5"/>
        <v>3.1857403263680002</v>
      </c>
      <c r="I26" s="7">
        <v>0.7310306223419345</v>
      </c>
      <c r="J26" s="16">
        <f t="shared" si="6"/>
        <v>7.310306223419345</v>
      </c>
      <c r="K26" s="15">
        <f t="shared" si="7"/>
        <v>731.03062234193453</v>
      </c>
      <c r="L26" s="5">
        <f t="shared" si="8"/>
        <v>25923.803317901235</v>
      </c>
      <c r="M26" s="4">
        <f t="shared" si="10"/>
        <v>3.8074511580309087</v>
      </c>
      <c r="N26" s="4">
        <f t="shared" si="11"/>
        <v>1.1063709039453055E-2</v>
      </c>
      <c r="O26" s="4">
        <f t="shared" si="12"/>
        <v>2.7659272598632638E-3</v>
      </c>
      <c r="P26" s="4">
        <f t="shared" si="13"/>
        <v>-3.3405984453127877E-3</v>
      </c>
      <c r="R26" s="11">
        <v>1.9</v>
      </c>
      <c r="S26" s="10">
        <f t="shared" si="9"/>
        <v>30054.012345679006</v>
      </c>
      <c r="T26" s="10">
        <f t="shared" si="14"/>
        <v>2.2177226719738818E-2</v>
      </c>
      <c r="U26" s="10">
        <f t="shared" si="15"/>
        <v>6.0075980600388388E-3</v>
      </c>
      <c r="V26" s="4"/>
      <c r="W26" s="8"/>
      <c r="AA26" s="14">
        <v>25</v>
      </c>
      <c r="AB26" s="14">
        <v>8.9400000000000005E-4</v>
      </c>
      <c r="AC26" s="14">
        <v>997.07</v>
      </c>
      <c r="AD26" s="13">
        <v>8.9662711745414066E-7</v>
      </c>
    </row>
    <row r="27" spans="1:30" ht="15.5" x14ac:dyDescent="0.35">
      <c r="A27" s="3" t="s">
        <v>78</v>
      </c>
      <c r="B27" s="3">
        <v>2500</v>
      </c>
      <c r="C27" s="3">
        <f t="shared" si="0"/>
        <v>41.66675</v>
      </c>
      <c r="D27" s="3">
        <f t="shared" si="1"/>
        <v>0.69444499999999998</v>
      </c>
      <c r="E27" s="3">
        <f t="shared" si="2"/>
        <v>6.9444500000000002E-4</v>
      </c>
      <c r="F27" s="3">
        <f t="shared" si="3"/>
        <v>1.38889</v>
      </c>
      <c r="G27" s="3">
        <f t="shared" si="4"/>
        <v>1.9290154320999999</v>
      </c>
      <c r="H27" s="3">
        <f t="shared" si="5"/>
        <v>2.6997799375999998</v>
      </c>
      <c r="I27" s="3">
        <v>0.31449422710996933</v>
      </c>
      <c r="J27" s="3">
        <f t="shared" si="6"/>
        <v>3.1449422710996933</v>
      </c>
      <c r="K27" s="3">
        <f t="shared" si="7"/>
        <v>314.4942271099693</v>
      </c>
      <c r="L27" s="5">
        <f t="shared" si="8"/>
        <v>21969.324845679006</v>
      </c>
      <c r="M27" s="4">
        <f t="shared" si="10"/>
        <v>1.6379907661977566</v>
      </c>
      <c r="N27" s="11">
        <f t="shared" si="11"/>
        <v>6.6273799382125763E-3</v>
      </c>
      <c r="O27" s="4">
        <f t="shared" si="12"/>
        <v>1.6568449845531441E-3</v>
      </c>
      <c r="P27" s="4">
        <f t="shared" si="13"/>
        <v>-5.1899660206281943E-3</v>
      </c>
      <c r="R27" s="11">
        <v>2</v>
      </c>
      <c r="S27" s="10">
        <f t="shared" si="9"/>
        <v>31635.8024691358</v>
      </c>
      <c r="T27" s="10">
        <f t="shared" si="14"/>
        <v>2.1894656581278538E-2</v>
      </c>
      <c r="U27" s="10">
        <f t="shared" si="15"/>
        <v>5.931052519106618E-3</v>
      </c>
      <c r="V27" s="4"/>
      <c r="W27" s="8"/>
      <c r="AA27" s="12"/>
      <c r="AB27" s="12"/>
      <c r="AC27" s="12"/>
      <c r="AD27" s="12"/>
    </row>
    <row r="28" spans="1:30" ht="15.5" x14ac:dyDescent="0.35">
      <c r="A28" s="3" t="s">
        <v>49</v>
      </c>
      <c r="B28" s="3">
        <v>2050</v>
      </c>
      <c r="C28" s="3">
        <f t="shared" si="0"/>
        <v>34.166734999999996</v>
      </c>
      <c r="D28" s="3">
        <f t="shared" si="1"/>
        <v>0.56944490000000003</v>
      </c>
      <c r="E28" s="3">
        <f t="shared" si="2"/>
        <v>5.6944490000000009E-4</v>
      </c>
      <c r="F28" s="3">
        <f t="shared" si="3"/>
        <v>1.1388898000000001</v>
      </c>
      <c r="G28" s="3">
        <f t="shared" si="4"/>
        <v>1.2970699765440401</v>
      </c>
      <c r="H28" s="3">
        <f t="shared" si="5"/>
        <v>2.2138195488320003</v>
      </c>
      <c r="I28" s="3">
        <v>-6.0803407854056912E-2</v>
      </c>
      <c r="J28" s="3">
        <f t="shared" si="6"/>
        <v>-0.60803407854056912</v>
      </c>
      <c r="K28" s="9">
        <f t="shared" si="7"/>
        <v>-60.803407854056914</v>
      </c>
      <c r="L28" s="4">
        <f t="shared" si="8"/>
        <v>18014.846373456789</v>
      </c>
      <c r="M28" s="4">
        <f t="shared" si="10"/>
        <v>-0.31668441590654645</v>
      </c>
      <c r="N28" s="11">
        <f t="shared" si="11"/>
        <v>-1.9055897451928665E-3</v>
      </c>
      <c r="O28" s="4">
        <f t="shared" si="12"/>
        <v>-4.7639743629821662E-4</v>
      </c>
      <c r="P28" s="4" t="e">
        <f t="shared" si="13"/>
        <v>#NUM!</v>
      </c>
      <c r="R28" s="11">
        <v>2.1</v>
      </c>
      <c r="S28" s="10">
        <f t="shared" si="9"/>
        <v>33217.592592592591</v>
      </c>
      <c r="T28" s="10">
        <f t="shared" si="14"/>
        <v>2.1629217750527337E-2</v>
      </c>
      <c r="U28" s="10">
        <f t="shared" si="15"/>
        <v>5.8591476851599751E-3</v>
      </c>
      <c r="V28" s="4"/>
      <c r="W28" s="8"/>
    </row>
    <row r="29" spans="1:30" ht="15.5" x14ac:dyDescent="0.35">
      <c r="G29" s="7"/>
      <c r="V29" s="4"/>
      <c r="W29" s="8"/>
      <c r="X29" s="9" t="s">
        <v>39</v>
      </c>
    </row>
    <row r="30" spans="1:30" x14ac:dyDescent="0.35">
      <c r="G30" s="7"/>
      <c r="V30" s="4"/>
      <c r="W30" s="8"/>
    </row>
    <row r="31" spans="1:30" x14ac:dyDescent="0.35">
      <c r="G31" s="7"/>
      <c r="V31" s="4"/>
      <c r="W31" s="8"/>
    </row>
    <row r="32" spans="1:30" x14ac:dyDescent="0.35">
      <c r="G32" s="7"/>
      <c r="V32" s="4"/>
    </row>
    <row r="33" spans="7:26" x14ac:dyDescent="0.35">
      <c r="G33" s="7"/>
      <c r="V33" s="4"/>
    </row>
    <row r="34" spans="7:26" x14ac:dyDescent="0.35">
      <c r="V34" s="4"/>
    </row>
    <row r="35" spans="7:26" ht="15.5" x14ac:dyDescent="0.35">
      <c r="R35" s="4"/>
      <c r="S35" s="6"/>
      <c r="T35" s="6"/>
      <c r="U35" s="4"/>
      <c r="V35" s="4"/>
      <c r="Z35" s="4"/>
    </row>
    <row r="36" spans="7:26" ht="15.5" x14ac:dyDescent="0.35">
      <c r="R36" s="4"/>
      <c r="S36" s="6"/>
      <c r="T36" s="6"/>
      <c r="U36" s="4"/>
      <c r="V36" s="4"/>
      <c r="Z36" s="4"/>
    </row>
    <row r="37" spans="7:26" ht="15.5" x14ac:dyDescent="0.35">
      <c r="R37" s="4"/>
      <c r="S37" s="6"/>
      <c r="T37" s="6"/>
      <c r="U37" s="4"/>
      <c r="V37" s="4"/>
      <c r="Z37" s="4"/>
    </row>
    <row r="38" spans="7:26" ht="15.5" x14ac:dyDescent="0.35">
      <c r="R38" s="4"/>
      <c r="S38" s="6"/>
      <c r="T38" s="6"/>
      <c r="U38" s="4"/>
      <c r="V38" s="4"/>
      <c r="Z38" s="4"/>
    </row>
    <row r="39" spans="7:26" ht="15.5" x14ac:dyDescent="0.35">
      <c r="R39" s="4"/>
      <c r="S39" s="6"/>
      <c r="T39" s="6"/>
      <c r="U39" s="4"/>
      <c r="V39" s="4"/>
      <c r="Z39" s="4"/>
    </row>
    <row r="40" spans="7:26" ht="15.5" x14ac:dyDescent="0.35">
      <c r="R40" s="4"/>
      <c r="S40" s="6"/>
      <c r="T40" s="6"/>
      <c r="Z40" s="4"/>
    </row>
    <row r="41" spans="7:26" ht="15.5" x14ac:dyDescent="0.35">
      <c r="R41" s="4"/>
      <c r="S41" s="6"/>
      <c r="T41" s="6"/>
      <c r="Z41" s="4"/>
    </row>
    <row r="42" spans="7:26" ht="15.5" x14ac:dyDescent="0.35">
      <c r="R42" s="4"/>
      <c r="S42" s="6"/>
      <c r="T42" s="6"/>
      <c r="Z42" s="4"/>
    </row>
    <row r="43" spans="7:26" ht="15.5" x14ac:dyDescent="0.35">
      <c r="R43" s="4"/>
      <c r="S43" s="6"/>
      <c r="T43" s="6"/>
      <c r="Z43" s="4"/>
    </row>
    <row r="44" spans="7:26" ht="15.5" x14ac:dyDescent="0.35">
      <c r="R44" s="4"/>
      <c r="S44" s="6"/>
      <c r="T44" s="6"/>
      <c r="Z44" s="4"/>
    </row>
    <row r="45" spans="7:26" ht="15.5" x14ac:dyDescent="0.35">
      <c r="R45" s="4"/>
      <c r="S45" s="6"/>
      <c r="T45" s="6"/>
      <c r="Z45" s="4"/>
    </row>
    <row r="46" spans="7:26" ht="15.5" x14ac:dyDescent="0.35">
      <c r="R46" s="4"/>
      <c r="S46" s="6"/>
      <c r="T46" s="6"/>
      <c r="Z46" s="4"/>
    </row>
    <row r="47" spans="7:26" ht="15.5" x14ac:dyDescent="0.35">
      <c r="R47" s="4"/>
      <c r="S47" s="6"/>
      <c r="T47" s="6"/>
      <c r="Z47" s="4"/>
    </row>
    <row r="48" spans="7:26" ht="15.5" x14ac:dyDescent="0.35">
      <c r="R48" s="4"/>
      <c r="S48" s="6"/>
      <c r="T48" s="6"/>
      <c r="Z48" s="4"/>
    </row>
    <row r="49" spans="2:26" ht="15.5" x14ac:dyDescent="0.35">
      <c r="R49" s="4"/>
      <c r="S49" s="6"/>
      <c r="T49" s="6"/>
      <c r="Z49" s="4"/>
    </row>
    <row r="50" spans="2:26" x14ac:dyDescent="0.35">
      <c r="R50" s="4"/>
      <c r="Z50" s="4"/>
    </row>
    <row r="51" spans="2:26" x14ac:dyDescent="0.35">
      <c r="Z51" s="4"/>
    </row>
    <row r="52" spans="2:26" x14ac:dyDescent="0.35">
      <c r="Z52" s="4"/>
    </row>
    <row r="53" spans="2:26" x14ac:dyDescent="0.35">
      <c r="Z53" s="4"/>
    </row>
    <row r="60" spans="2:26" x14ac:dyDescent="0.35">
      <c r="B60" s="3">
        <v>0</v>
      </c>
    </row>
  </sheetData>
  <mergeCells count="2">
    <mergeCell ref="A4:N4"/>
    <mergeCell ref="W6:X6"/>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756F4-9976-4840-A67C-0B28A565DFA2}">
  <dimension ref="A1:AD60"/>
  <sheetViews>
    <sheetView zoomScale="50" zoomScaleNormal="50" workbookViewId="0">
      <selection activeCell="U55" sqref="U55"/>
    </sheetView>
  </sheetViews>
  <sheetFormatPr defaultColWidth="8.69140625" defaultRowHeight="14.5" x14ac:dyDescent="0.35"/>
  <cols>
    <col min="1" max="1" width="8.69140625" style="3"/>
    <col min="2" max="2" width="11" style="3" customWidth="1"/>
    <col min="3" max="4" width="8.69140625" style="3"/>
    <col min="5" max="5" width="12.3046875" style="3" customWidth="1"/>
    <col min="6" max="6" width="15.69140625" style="3" bestFit="1" customWidth="1"/>
    <col min="7" max="7" width="8.53515625" style="3" customWidth="1"/>
    <col min="8" max="8" width="8.69140625" style="3"/>
    <col min="9" max="9" width="15.69140625" style="3" bestFit="1" customWidth="1"/>
    <col min="10" max="10" width="12.23046875" style="3" customWidth="1"/>
    <col min="11" max="11" width="10.4609375" style="3" customWidth="1"/>
    <col min="12" max="12" width="8.53515625" style="5" customWidth="1"/>
    <col min="13" max="13" width="6.765625" style="4" customWidth="1"/>
    <col min="14" max="14" width="8.4609375" style="4" customWidth="1"/>
    <col min="15" max="15" width="9.07421875" style="4" customWidth="1"/>
    <col min="16" max="16" width="27.23046875" style="4" customWidth="1"/>
    <col min="17" max="17" width="8.4609375" style="4" customWidth="1"/>
    <col min="18" max="18" width="10.23046875" style="3" customWidth="1"/>
    <col min="19" max="19" width="13.84375" style="3" customWidth="1"/>
    <col min="20" max="22" width="10" style="3" customWidth="1"/>
    <col min="23" max="23" width="24.69140625" style="3" customWidth="1"/>
    <col min="24" max="25" width="8.69140625" style="3"/>
    <col min="26" max="26" width="22" style="3" customWidth="1"/>
    <col min="27" max="27" width="35.84375" style="3" customWidth="1"/>
    <col min="28" max="28" width="16.84375" style="3" customWidth="1"/>
    <col min="29" max="16384" width="8.69140625" style="3"/>
  </cols>
  <sheetData>
    <row r="1" spans="1:28" x14ac:dyDescent="0.35">
      <c r="A1" s="37" t="s">
        <v>95</v>
      </c>
    </row>
    <row r="2" spans="1:28" ht="15.5" x14ac:dyDescent="0.35">
      <c r="A2" s="9"/>
      <c r="I2" s="9"/>
      <c r="J2" s="9"/>
    </row>
    <row r="3" spans="1:28" ht="15.5" x14ac:dyDescent="0.35">
      <c r="A3" s="9"/>
      <c r="I3" s="9"/>
      <c r="J3" s="9"/>
    </row>
    <row r="4" spans="1:28" x14ac:dyDescent="0.35">
      <c r="A4" s="51" t="s">
        <v>3</v>
      </c>
      <c r="B4" s="51"/>
      <c r="C4" s="51"/>
      <c r="D4" s="51"/>
      <c r="E4" s="51"/>
      <c r="F4" s="51"/>
      <c r="G4" s="51"/>
      <c r="H4" s="51"/>
      <c r="I4" s="51"/>
      <c r="J4" s="51"/>
      <c r="K4" s="51"/>
      <c r="L4" s="51"/>
      <c r="M4" s="51"/>
      <c r="N4" s="51"/>
      <c r="O4" s="35"/>
      <c r="P4" s="35"/>
      <c r="Q4" s="36"/>
    </row>
    <row r="6" spans="1:28" ht="15.5" x14ac:dyDescent="0.35">
      <c r="A6" s="29"/>
      <c r="B6" s="27" t="s">
        <v>4</v>
      </c>
      <c r="C6" s="27" t="s">
        <v>5</v>
      </c>
      <c r="D6" s="28" t="s">
        <v>6</v>
      </c>
      <c r="E6" s="28" t="s">
        <v>93</v>
      </c>
      <c r="F6" s="28" t="s">
        <v>7</v>
      </c>
      <c r="G6" s="28" t="s">
        <v>92</v>
      </c>
      <c r="H6" s="28" t="s">
        <v>8</v>
      </c>
      <c r="I6" s="27" t="s">
        <v>91</v>
      </c>
      <c r="J6" s="27" t="s">
        <v>90</v>
      </c>
      <c r="K6" s="27" t="s">
        <v>9</v>
      </c>
      <c r="L6" s="26" t="s">
        <v>10</v>
      </c>
      <c r="M6" s="25" t="s">
        <v>89</v>
      </c>
      <c r="N6" s="24" t="s">
        <v>11</v>
      </c>
      <c r="O6" s="11" t="s">
        <v>88</v>
      </c>
      <c r="P6" s="11" t="s">
        <v>12</v>
      </c>
      <c r="Q6" s="11"/>
      <c r="R6" s="23" t="s">
        <v>13</v>
      </c>
      <c r="S6" s="6" t="s">
        <v>10</v>
      </c>
      <c r="T6" s="23" t="s">
        <v>14</v>
      </c>
      <c r="U6" s="6" t="s">
        <v>15</v>
      </c>
      <c r="V6" s="9"/>
      <c r="W6" s="52" t="s">
        <v>16</v>
      </c>
      <c r="X6" s="52"/>
    </row>
    <row r="7" spans="1:28" ht="15.5" x14ac:dyDescent="0.35">
      <c r="A7" s="22" t="s">
        <v>17</v>
      </c>
      <c r="C7" s="7">
        <f t="shared" ref="C7:C28" si="0">B7*0.0166667</f>
        <v>0</v>
      </c>
      <c r="D7" s="7">
        <f t="shared" ref="D7:D28" si="1">B7*0.000277778</f>
        <v>0</v>
      </c>
      <c r="E7" s="5">
        <f t="shared" ref="E7:E28" si="2">0.001*D7</f>
        <v>0</v>
      </c>
      <c r="F7" s="7">
        <f t="shared" ref="F7:F28" si="3">E7/X$8</f>
        <v>0</v>
      </c>
      <c r="G7" s="7">
        <f t="shared" ref="G7:G28" si="4">F7^(2)</f>
        <v>0</v>
      </c>
      <c r="H7" s="7">
        <f t="shared" ref="H7:H28" si="5">F7*1.94384</f>
        <v>0</v>
      </c>
      <c r="I7" s="16"/>
      <c r="J7" s="16">
        <f t="shared" ref="J7" si="6">I7 * 10</f>
        <v>0</v>
      </c>
      <c r="K7" s="15">
        <f t="shared" ref="K7:K28" si="7">J7*100</f>
        <v>0</v>
      </c>
      <c r="L7" s="5">
        <f t="shared" ref="L7:L28" si="8">(F7*X$12)/X$13</f>
        <v>0</v>
      </c>
      <c r="R7" s="11">
        <v>0</v>
      </c>
      <c r="S7" s="10">
        <f t="shared" ref="S7:S28" si="9">(R7*X$12)/X$13</f>
        <v>0</v>
      </c>
      <c r="T7" s="10"/>
      <c r="U7" s="10"/>
    </row>
    <row r="8" spans="1:28" ht="15.5" x14ac:dyDescent="0.35">
      <c r="A8" s="3" t="s">
        <v>40</v>
      </c>
      <c r="B8" s="3">
        <v>1500</v>
      </c>
      <c r="C8" s="7">
        <f t="shared" si="0"/>
        <v>25.000049999999998</v>
      </c>
      <c r="D8" s="7">
        <f t="shared" si="1"/>
        <v>0.41666700000000001</v>
      </c>
      <c r="E8" s="5">
        <f t="shared" si="2"/>
        <v>4.1666700000000001E-4</v>
      </c>
      <c r="F8" s="7">
        <f t="shared" si="3"/>
        <v>0.83333400000000002</v>
      </c>
      <c r="G8" s="7">
        <f t="shared" si="4"/>
        <v>0.69444555555600007</v>
      </c>
      <c r="H8" s="7">
        <f t="shared" si="5"/>
        <v>1.6198679625600001</v>
      </c>
      <c r="I8" s="3">
        <v>0.40018864648690022</v>
      </c>
      <c r="J8" s="16">
        <f>I8 * 10</f>
        <v>4.0018864648690027</v>
      </c>
      <c r="K8" s="15">
        <f>J8*100</f>
        <v>400.18864648690027</v>
      </c>
      <c r="L8" s="5">
        <f t="shared" si="8"/>
        <v>13181.594907407407</v>
      </c>
      <c r="M8" s="4">
        <f t="shared" ref="M8:M28" si="10">(X$16*G8*N8)/8</f>
        <v>2.0843158671192716</v>
      </c>
      <c r="N8" s="4">
        <f t="shared" ref="N8:N28" si="11">(K8*2*X$12)/(X$14*X$16*G8)</f>
        <v>2.3425639386487854E-2</v>
      </c>
      <c r="O8" s="4">
        <f t="shared" ref="O8:O28" si="12">N8/4</f>
        <v>5.8564098466219634E-3</v>
      </c>
      <c r="P8" s="4">
        <f t="shared" ref="P8:P28" si="13">3.7*(10^(-1/(2*SQRT(N8)))-2.51/(L8*SQRT(N8)))</f>
        <v>-2.6015676767544914E-3</v>
      </c>
      <c r="R8" s="11">
        <v>0.1</v>
      </c>
      <c r="S8" s="10">
        <f t="shared" si="9"/>
        <v>1581.7901234567901</v>
      </c>
      <c r="T8" s="10">
        <f t="shared" ref="T8:T28" si="14">0.292/(S8^(0.25))</f>
        <v>4.6301561383887517E-2</v>
      </c>
      <c r="U8" s="10">
        <f>0.0791/(S8^0.25)</f>
        <v>1.2542648991320215E-2</v>
      </c>
      <c r="V8" s="17"/>
      <c r="W8" s="9" t="s">
        <v>18</v>
      </c>
      <c r="X8" s="3">
        <f>X$10*X$11</f>
        <v>5.0000000000000001E-4</v>
      </c>
    </row>
    <row r="9" spans="1:28" ht="15.5" x14ac:dyDescent="0.35">
      <c r="A9" s="3" t="s">
        <v>87</v>
      </c>
      <c r="B9" s="3">
        <v>1950</v>
      </c>
      <c r="C9" s="7">
        <f t="shared" si="0"/>
        <v>32.500064999999999</v>
      </c>
      <c r="D9" s="7">
        <f t="shared" si="1"/>
        <v>0.54166710000000007</v>
      </c>
      <c r="E9" s="5">
        <f t="shared" si="2"/>
        <v>5.4166710000000005E-4</v>
      </c>
      <c r="F9" s="7">
        <f t="shared" si="3"/>
        <v>1.0833342000000001</v>
      </c>
      <c r="G9" s="7">
        <f t="shared" si="4"/>
        <v>1.1736129888896403</v>
      </c>
      <c r="H9" s="7">
        <f t="shared" si="5"/>
        <v>2.1058283513280003</v>
      </c>
      <c r="I9" s="3">
        <v>0.7205701025241229</v>
      </c>
      <c r="J9" s="16">
        <f t="shared" ref="J9:J28" si="15">I9 * 10</f>
        <v>7.205701025241229</v>
      </c>
      <c r="K9" s="15">
        <f t="shared" si="7"/>
        <v>720.57010252412294</v>
      </c>
      <c r="L9" s="5">
        <f t="shared" si="8"/>
        <v>17136.07337962963</v>
      </c>
      <c r="M9" s="4">
        <f t="shared" si="10"/>
        <v>3.7529692839798061</v>
      </c>
      <c r="N9" s="4">
        <f t="shared" si="11"/>
        <v>2.4958370314215921E-2</v>
      </c>
      <c r="O9" s="4">
        <f t="shared" si="12"/>
        <v>6.2395925785539803E-3</v>
      </c>
      <c r="P9" s="4">
        <f t="shared" si="13"/>
        <v>-8.9951377895146106E-4</v>
      </c>
      <c r="R9" s="11">
        <v>0.2</v>
      </c>
      <c r="S9" s="10">
        <f t="shared" si="9"/>
        <v>3163.5802469135801</v>
      </c>
      <c r="T9" s="10">
        <f t="shared" si="14"/>
        <v>3.8934816988360828E-2</v>
      </c>
      <c r="U9" s="10">
        <f t="shared" ref="U9:U28" si="16">0.0791/(S9^0.25)</f>
        <v>1.0547068574586788E-2</v>
      </c>
      <c r="V9" s="17"/>
      <c r="W9" s="3" t="s">
        <v>19</v>
      </c>
    </row>
    <row r="10" spans="1:28" ht="15.5" x14ac:dyDescent="0.35">
      <c r="A10" s="3" t="s">
        <v>41</v>
      </c>
      <c r="B10" s="3">
        <v>2500</v>
      </c>
      <c r="C10" s="7">
        <f t="shared" si="0"/>
        <v>41.66675</v>
      </c>
      <c r="D10" s="7">
        <f t="shared" si="1"/>
        <v>0.69444499999999998</v>
      </c>
      <c r="E10" s="5">
        <f t="shared" si="2"/>
        <v>6.9444500000000002E-4</v>
      </c>
      <c r="F10" s="7">
        <f t="shared" si="3"/>
        <v>1.38889</v>
      </c>
      <c r="G10" s="7">
        <f t="shared" si="4"/>
        <v>1.9290154320999999</v>
      </c>
      <c r="H10" s="7">
        <f t="shared" si="5"/>
        <v>2.6997799375999998</v>
      </c>
      <c r="I10" s="3">
        <v>1.2622833996511038</v>
      </c>
      <c r="J10" s="16">
        <f t="shared" si="15"/>
        <v>12.622833996511037</v>
      </c>
      <c r="K10" s="15">
        <f t="shared" si="7"/>
        <v>1262.2833996511038</v>
      </c>
      <c r="L10" s="5">
        <f t="shared" si="8"/>
        <v>21969.324845679006</v>
      </c>
      <c r="M10" s="4">
        <f t="shared" si="10"/>
        <v>6.5743927065161651</v>
      </c>
      <c r="N10" s="4">
        <f t="shared" si="11"/>
        <v>2.6600271032196976E-2</v>
      </c>
      <c r="O10" s="4">
        <f t="shared" si="12"/>
        <v>6.650067758049244E-3</v>
      </c>
      <c r="P10" s="4">
        <f t="shared" si="13"/>
        <v>5.8880002853117775E-4</v>
      </c>
      <c r="R10" s="11">
        <v>0.3</v>
      </c>
      <c r="S10" s="10">
        <f t="shared" si="9"/>
        <v>4745.3703703703704</v>
      </c>
      <c r="T10" s="10">
        <f t="shared" si="14"/>
        <v>3.5181578640865456E-2</v>
      </c>
      <c r="U10" s="10">
        <f t="shared" si="16"/>
        <v>9.5303522962070491E-3</v>
      </c>
      <c r="V10" s="17"/>
      <c r="W10" s="9" t="s">
        <v>20</v>
      </c>
      <c r="X10" s="7">
        <v>0.05</v>
      </c>
      <c r="AA10" s="20" t="s">
        <v>73</v>
      </c>
    </row>
    <row r="11" spans="1:28" ht="15.5" x14ac:dyDescent="0.35">
      <c r="A11" s="3" t="s">
        <v>86</v>
      </c>
      <c r="B11" s="3">
        <v>2900</v>
      </c>
      <c r="C11" s="7">
        <f t="shared" si="0"/>
        <v>48.33343</v>
      </c>
      <c r="D11" s="7">
        <f t="shared" si="1"/>
        <v>0.80555620000000006</v>
      </c>
      <c r="E11" s="5">
        <f t="shared" si="2"/>
        <v>8.0555620000000009E-4</v>
      </c>
      <c r="F11" s="7">
        <f t="shared" si="3"/>
        <v>1.6111124000000001</v>
      </c>
      <c r="G11" s="7">
        <f t="shared" si="4"/>
        <v>2.5956831654337602</v>
      </c>
      <c r="H11" s="7">
        <f t="shared" si="5"/>
        <v>3.1317447276160002</v>
      </c>
      <c r="I11" s="3">
        <v>1.6984808965883076</v>
      </c>
      <c r="J11" s="16">
        <f t="shared" si="15"/>
        <v>16.984808965883076</v>
      </c>
      <c r="K11" s="15">
        <f t="shared" si="7"/>
        <v>1698.4808965883076</v>
      </c>
      <c r="L11" s="5">
        <f t="shared" si="8"/>
        <v>25484.416820987655</v>
      </c>
      <c r="M11" s="4">
        <f t="shared" si="10"/>
        <v>8.8462546697307687</v>
      </c>
      <c r="N11" s="4">
        <f t="shared" si="11"/>
        <v>2.6599524859254438E-2</v>
      </c>
      <c r="O11" s="4">
        <f t="shared" si="12"/>
        <v>6.6498812148136095E-3</v>
      </c>
      <c r="P11" s="4">
        <f t="shared" si="13"/>
        <v>9.4595514734941843E-4</v>
      </c>
      <c r="R11" s="11">
        <v>0.4</v>
      </c>
      <c r="S11" s="10">
        <f t="shared" si="9"/>
        <v>6327.1604938271603</v>
      </c>
      <c r="T11" s="10">
        <f t="shared" si="14"/>
        <v>3.2740148034072047E-2</v>
      </c>
      <c r="U11" s="10">
        <f t="shared" si="16"/>
        <v>8.8689921558051353E-3</v>
      </c>
      <c r="V11" s="17"/>
      <c r="W11" s="9" t="s">
        <v>21</v>
      </c>
      <c r="X11" s="7">
        <v>0.01</v>
      </c>
      <c r="AA11" s="21" t="s">
        <v>74</v>
      </c>
      <c r="AB11" s="3" t="s">
        <v>22</v>
      </c>
    </row>
    <row r="12" spans="1:28" ht="15.5" x14ac:dyDescent="0.35">
      <c r="A12" s="3" t="s">
        <v>42</v>
      </c>
      <c r="B12" s="3">
        <v>3250</v>
      </c>
      <c r="C12" s="7">
        <f t="shared" si="0"/>
        <v>54.166775000000001</v>
      </c>
      <c r="D12" s="7">
        <f t="shared" si="1"/>
        <v>0.90277850000000004</v>
      </c>
      <c r="E12" s="5">
        <f t="shared" si="2"/>
        <v>9.0277850000000008E-4</v>
      </c>
      <c r="F12" s="7">
        <f t="shared" si="3"/>
        <v>1.8055570000000001</v>
      </c>
      <c r="G12" s="7">
        <f t="shared" si="4"/>
        <v>3.2600360802490003</v>
      </c>
      <c r="H12" s="7">
        <f t="shared" si="5"/>
        <v>3.5097139188800002</v>
      </c>
      <c r="I12" s="3">
        <v>2.1065203821994682</v>
      </c>
      <c r="J12" s="16">
        <f t="shared" si="15"/>
        <v>21.065203821994682</v>
      </c>
      <c r="K12" s="15">
        <f t="shared" si="7"/>
        <v>2106.5203821994683</v>
      </c>
      <c r="L12" s="5">
        <f t="shared" si="8"/>
        <v>28560.122299382714</v>
      </c>
      <c r="M12" s="4">
        <f t="shared" si="10"/>
        <v>10.971460323955563</v>
      </c>
      <c r="N12" s="4">
        <f t="shared" si="11"/>
        <v>2.6266859549286457E-2</v>
      </c>
      <c r="O12" s="4">
        <f t="shared" si="12"/>
        <v>6.5667148873216142E-3</v>
      </c>
      <c r="P12" s="4">
        <f t="shared" si="13"/>
        <v>1.0353911172707364E-3</v>
      </c>
      <c r="R12" s="11">
        <v>0.5</v>
      </c>
      <c r="S12" s="10">
        <f t="shared" si="9"/>
        <v>7908.9506172839501</v>
      </c>
      <c r="T12" s="10">
        <f t="shared" si="14"/>
        <v>3.0963720280745455E-2</v>
      </c>
      <c r="U12" s="10">
        <f t="shared" si="16"/>
        <v>8.3877749116676916E-3</v>
      </c>
      <c r="V12" s="17"/>
      <c r="W12" s="9" t="s">
        <v>71</v>
      </c>
      <c r="X12" s="4">
        <f>2*(X10*X11)/(X10+X11)</f>
        <v>1.6666666666666666E-2</v>
      </c>
      <c r="Y12" s="9">
        <f>10*X12*100</f>
        <v>16.666666666666664</v>
      </c>
      <c r="AA12" s="20" t="s">
        <v>75</v>
      </c>
      <c r="AB12" s="3" t="s">
        <v>23</v>
      </c>
    </row>
    <row r="13" spans="1:28" ht="15.5" x14ac:dyDescent="0.35">
      <c r="A13" s="3" t="s">
        <v>85</v>
      </c>
      <c r="B13" s="3">
        <v>3750</v>
      </c>
      <c r="C13" s="7">
        <f t="shared" si="0"/>
        <v>62.500124999999997</v>
      </c>
      <c r="D13" s="7">
        <f t="shared" si="1"/>
        <v>1.0416675</v>
      </c>
      <c r="E13" s="5">
        <f t="shared" si="2"/>
        <v>1.0416675E-3</v>
      </c>
      <c r="F13" s="7">
        <f t="shared" si="3"/>
        <v>2.0833349999999999</v>
      </c>
      <c r="G13" s="7">
        <f t="shared" si="4"/>
        <v>4.3402847222249994</v>
      </c>
      <c r="H13" s="7">
        <f t="shared" si="5"/>
        <v>4.0496699064000001</v>
      </c>
      <c r="I13" s="3">
        <v>2.7316517541174306</v>
      </c>
      <c r="J13" s="16">
        <f t="shared" si="15"/>
        <v>27.316517541174306</v>
      </c>
      <c r="K13" s="15">
        <f t="shared" si="7"/>
        <v>2731.6517541174308</v>
      </c>
      <c r="L13" s="5">
        <f t="shared" si="8"/>
        <v>32953.987268518511</v>
      </c>
      <c r="M13" s="4">
        <f t="shared" si="10"/>
        <v>14.227352886028289</v>
      </c>
      <c r="N13" s="4">
        <f t="shared" si="11"/>
        <v>2.5584209640396829E-2</v>
      </c>
      <c r="O13" s="4">
        <f t="shared" si="12"/>
        <v>6.3960524100992074E-3</v>
      </c>
      <c r="P13" s="4">
        <f t="shared" si="13"/>
        <v>1.0065543856849427E-3</v>
      </c>
      <c r="R13" s="11">
        <v>0.6</v>
      </c>
      <c r="S13" s="10">
        <f t="shared" si="9"/>
        <v>9490.7407407407409</v>
      </c>
      <c r="T13" s="10">
        <f t="shared" si="14"/>
        <v>2.9584063362070416E-2</v>
      </c>
      <c r="U13" s="10">
        <f t="shared" si="16"/>
        <v>8.0140390819855144E-3</v>
      </c>
      <c r="V13" s="17"/>
      <c r="W13" s="9" t="s">
        <v>72</v>
      </c>
      <c r="X13" s="8">
        <f>X$17/X$16</f>
        <v>1.053658536585366E-6</v>
      </c>
    </row>
    <row r="14" spans="1:28" ht="15.5" x14ac:dyDescent="0.35">
      <c r="A14" s="3" t="s">
        <v>43</v>
      </c>
      <c r="B14" s="3">
        <v>4100</v>
      </c>
      <c r="C14" s="7">
        <f t="shared" si="0"/>
        <v>68.333469999999991</v>
      </c>
      <c r="D14" s="7">
        <f t="shared" si="1"/>
        <v>1.1388898000000001</v>
      </c>
      <c r="E14" s="5">
        <f t="shared" si="2"/>
        <v>1.1388898000000002E-3</v>
      </c>
      <c r="F14" s="7">
        <f t="shared" si="3"/>
        <v>2.2777796000000001</v>
      </c>
      <c r="G14" s="7">
        <f t="shared" si="4"/>
        <v>5.1882799061761604</v>
      </c>
      <c r="H14" s="7">
        <f t="shared" si="5"/>
        <v>4.4276390976640005</v>
      </c>
      <c r="I14" s="3">
        <v>3.2276032921961342</v>
      </c>
      <c r="J14" s="16">
        <f t="shared" si="15"/>
        <v>32.276032921961345</v>
      </c>
      <c r="K14" s="15">
        <f t="shared" si="7"/>
        <v>3227.6032921961346</v>
      </c>
      <c r="L14" s="5">
        <f t="shared" si="8"/>
        <v>36029.692746913577</v>
      </c>
      <c r="M14" s="4">
        <f t="shared" si="10"/>
        <v>16.810433813521534</v>
      </c>
      <c r="N14" s="4">
        <f t="shared" si="11"/>
        <v>2.5288417015713854E-2</v>
      </c>
      <c r="O14" s="4">
        <f t="shared" si="12"/>
        <v>6.3221042539284636E-3</v>
      </c>
      <c r="P14" s="4">
        <f t="shared" si="13"/>
        <v>1.0337675793600852E-3</v>
      </c>
      <c r="R14" s="11">
        <v>0.7</v>
      </c>
      <c r="S14" s="10">
        <f t="shared" si="9"/>
        <v>11072.530864197528</v>
      </c>
      <c r="T14" s="10">
        <f t="shared" si="14"/>
        <v>2.8465651401959793E-2</v>
      </c>
      <c r="U14" s="10">
        <f t="shared" si="16"/>
        <v>7.7110720064897942E-3</v>
      </c>
      <c r="V14" s="17"/>
      <c r="W14" s="9" t="s">
        <v>24</v>
      </c>
      <c r="X14" s="3">
        <v>0.8</v>
      </c>
      <c r="AA14" s="20" t="s">
        <v>76</v>
      </c>
      <c r="AB14" s="9" t="s">
        <v>25</v>
      </c>
    </row>
    <row r="15" spans="1:28" ht="15.5" x14ac:dyDescent="0.35">
      <c r="A15" s="3" t="s">
        <v>84</v>
      </c>
      <c r="B15" s="3">
        <v>4500</v>
      </c>
      <c r="C15" s="7">
        <f t="shared" si="0"/>
        <v>75.000150000000005</v>
      </c>
      <c r="D15" s="7">
        <f t="shared" si="1"/>
        <v>1.2500010000000001</v>
      </c>
      <c r="E15" s="5">
        <f t="shared" si="2"/>
        <v>1.2500010000000002E-3</v>
      </c>
      <c r="F15" s="7">
        <f t="shared" si="3"/>
        <v>2.5000020000000003</v>
      </c>
      <c r="G15" s="7">
        <f t="shared" si="4"/>
        <v>6.2500100000040018</v>
      </c>
      <c r="H15" s="7">
        <f t="shared" si="5"/>
        <v>4.8596038876800005</v>
      </c>
      <c r="I15" s="3">
        <v>3.8723500656127863</v>
      </c>
      <c r="J15" s="16">
        <f t="shared" si="15"/>
        <v>38.723500656127861</v>
      </c>
      <c r="K15" s="15">
        <f t="shared" si="7"/>
        <v>3872.3500656127862</v>
      </c>
      <c r="L15" s="5">
        <f t="shared" si="8"/>
        <v>39544.784722222219</v>
      </c>
      <c r="M15" s="4">
        <f t="shared" si="10"/>
        <v>20.168489925066595</v>
      </c>
      <c r="N15" s="4">
        <f t="shared" si="11"/>
        <v>2.5185976389334081E-2</v>
      </c>
      <c r="O15" s="4">
        <f t="shared" si="12"/>
        <v>6.2964940973335203E-3</v>
      </c>
      <c r="P15" s="4">
        <f t="shared" si="13"/>
        <v>1.136086323163232E-3</v>
      </c>
      <c r="R15" s="11">
        <v>0.8</v>
      </c>
      <c r="S15" s="10">
        <f t="shared" si="9"/>
        <v>12654.320987654321</v>
      </c>
      <c r="T15" s="10">
        <f t="shared" si="14"/>
        <v>2.7531073116727131E-2</v>
      </c>
      <c r="U15" s="10">
        <f t="shared" si="16"/>
        <v>7.4579037107298501E-3</v>
      </c>
      <c r="V15" s="17"/>
    </row>
    <row r="16" spans="1:28" ht="15.5" x14ac:dyDescent="0.35">
      <c r="A16" s="3" t="s">
        <v>44</v>
      </c>
      <c r="B16" s="3">
        <v>4850</v>
      </c>
      <c r="C16" s="7">
        <f t="shared" si="0"/>
        <v>80.833494999999999</v>
      </c>
      <c r="D16" s="7">
        <f t="shared" si="1"/>
        <v>1.3472233</v>
      </c>
      <c r="E16" s="5">
        <f t="shared" si="2"/>
        <v>1.3472233000000001E-3</v>
      </c>
      <c r="F16" s="7">
        <f t="shared" si="3"/>
        <v>2.6944466</v>
      </c>
      <c r="G16" s="7">
        <f t="shared" si="4"/>
        <v>7.2600424802515597</v>
      </c>
      <c r="H16" s="7">
        <f t="shared" si="5"/>
        <v>5.237573078944</v>
      </c>
      <c r="I16" s="3">
        <v>4.5395797159992899</v>
      </c>
      <c r="J16" s="16">
        <f t="shared" si="15"/>
        <v>45.395797159992895</v>
      </c>
      <c r="K16" s="15">
        <f t="shared" si="7"/>
        <v>4539.5797159992899</v>
      </c>
      <c r="L16" s="5">
        <f t="shared" si="8"/>
        <v>42620.490200617278</v>
      </c>
      <c r="M16" s="4">
        <f t="shared" si="10"/>
        <v>23.643644354162969</v>
      </c>
      <c r="N16" s="4">
        <f t="shared" si="11"/>
        <v>2.5418000144619694E-2</v>
      </c>
      <c r="O16" s="4">
        <f t="shared" si="12"/>
        <v>6.3545000361549236E-3</v>
      </c>
      <c r="P16" s="4">
        <f t="shared" si="13"/>
        <v>1.3374272158714791E-3</v>
      </c>
      <c r="Q16" s="16"/>
      <c r="R16" s="11">
        <v>0.9</v>
      </c>
      <c r="S16" s="10">
        <f t="shared" si="9"/>
        <v>14236.111111111109</v>
      </c>
      <c r="T16" s="10">
        <f t="shared" si="14"/>
        <v>2.6732218928887431E-2</v>
      </c>
      <c r="U16" s="10">
        <f t="shared" si="16"/>
        <v>7.2415017714897124E-3</v>
      </c>
      <c r="V16" s="17"/>
      <c r="W16" s="3" t="s">
        <v>26</v>
      </c>
      <c r="X16" s="3">
        <f>VLOOKUP(X18, Seawater!A4:F34, 3, FALSE)</f>
        <v>1025</v>
      </c>
    </row>
    <row r="17" spans="1:30" ht="15.5" x14ac:dyDescent="0.35">
      <c r="A17" s="3" t="s">
        <v>83</v>
      </c>
      <c r="B17" s="3">
        <v>5300</v>
      </c>
      <c r="C17" s="7">
        <f t="shared" si="0"/>
        <v>88.333510000000004</v>
      </c>
      <c r="D17" s="7">
        <f t="shared" si="1"/>
        <v>1.4722234000000001</v>
      </c>
      <c r="E17" s="5">
        <f t="shared" si="2"/>
        <v>1.4722234000000001E-3</v>
      </c>
      <c r="F17" s="7">
        <f t="shared" si="3"/>
        <v>2.9444468000000001</v>
      </c>
      <c r="G17" s="7">
        <f t="shared" si="4"/>
        <v>8.669766958030241</v>
      </c>
      <c r="H17" s="7">
        <f t="shared" si="5"/>
        <v>5.7235334677120004</v>
      </c>
      <c r="I17" s="3">
        <v>5.2756852639277207</v>
      </c>
      <c r="J17" s="16">
        <f t="shared" si="15"/>
        <v>52.756852639277206</v>
      </c>
      <c r="K17" s="15">
        <f t="shared" si="7"/>
        <v>5275.6852639277204</v>
      </c>
      <c r="L17" s="5">
        <f t="shared" si="8"/>
        <v>46574.968672839503</v>
      </c>
      <c r="M17" s="4">
        <f t="shared" si="10"/>
        <v>27.477527416290211</v>
      </c>
      <c r="N17" s="4">
        <f t="shared" si="11"/>
        <v>2.4736391601336911E-2</v>
      </c>
      <c r="O17" s="4">
        <f t="shared" si="12"/>
        <v>6.1840979003342277E-3</v>
      </c>
      <c r="P17" s="4">
        <f t="shared" si="13"/>
        <v>1.1819227929229237E-3</v>
      </c>
      <c r="R17" s="11">
        <v>1</v>
      </c>
      <c r="S17" s="10">
        <f t="shared" si="9"/>
        <v>15817.9012345679</v>
      </c>
      <c r="T17" s="10">
        <f t="shared" si="14"/>
        <v>2.6037281386997589E-2</v>
      </c>
      <c r="U17" s="10">
        <f t="shared" si="16"/>
        <v>7.0532498551764029E-3</v>
      </c>
      <c r="V17" s="17"/>
      <c r="W17" s="3" t="s">
        <v>27</v>
      </c>
      <c r="X17" s="3">
        <f>VLOOKUP(X18, Seawater!A4:F34, 5, FALSE)</f>
        <v>1.08E-3</v>
      </c>
      <c r="AA17" s="12"/>
      <c r="AB17" s="12"/>
      <c r="AC17" s="12"/>
      <c r="AD17" s="12"/>
    </row>
    <row r="18" spans="1:30" ht="15.5" x14ac:dyDescent="0.35">
      <c r="A18" s="3" t="s">
        <v>50</v>
      </c>
      <c r="B18" s="3">
        <v>5800</v>
      </c>
      <c r="C18" s="7">
        <f t="shared" si="0"/>
        <v>96.66686</v>
      </c>
      <c r="D18" s="7">
        <f t="shared" si="1"/>
        <v>1.6111124000000001</v>
      </c>
      <c r="E18" s="5">
        <f t="shared" si="2"/>
        <v>1.6111124000000002E-3</v>
      </c>
      <c r="F18" s="7">
        <f t="shared" si="3"/>
        <v>3.2222248000000002</v>
      </c>
      <c r="G18" s="7">
        <f t="shared" si="4"/>
        <v>10.382732661735041</v>
      </c>
      <c r="H18" s="7">
        <f t="shared" si="5"/>
        <v>6.2634894552320004</v>
      </c>
      <c r="I18" s="3">
        <v>6.0782913781541206</v>
      </c>
      <c r="J18" s="16">
        <f t="shared" si="15"/>
        <v>60.782913781541204</v>
      </c>
      <c r="K18" s="15">
        <f t="shared" si="7"/>
        <v>6078.2913781541201</v>
      </c>
      <c r="L18" s="5">
        <f t="shared" si="8"/>
        <v>50968.83364197531</v>
      </c>
      <c r="M18" s="4">
        <f t="shared" si="10"/>
        <v>31.657767594552706</v>
      </c>
      <c r="N18" s="4">
        <f t="shared" si="11"/>
        <v>2.379768635310588E-2</v>
      </c>
      <c r="O18" s="4">
        <f t="shared" si="12"/>
        <v>5.9494215882764699E-3</v>
      </c>
      <c r="P18" s="4">
        <f t="shared" si="13"/>
        <v>9.422239842008268E-4</v>
      </c>
      <c r="Q18" s="11"/>
      <c r="R18" s="11">
        <v>1.1000000000000001</v>
      </c>
      <c r="S18" s="10">
        <f t="shared" si="9"/>
        <v>17399.691358024691</v>
      </c>
      <c r="T18" s="10">
        <f t="shared" si="14"/>
        <v>2.5424209894386686E-2</v>
      </c>
      <c r="U18" s="10">
        <f t="shared" si="16"/>
        <v>6.8871746665958456E-3</v>
      </c>
      <c r="V18" s="17"/>
      <c r="W18" s="3" t="s">
        <v>70</v>
      </c>
      <c r="X18" s="3">
        <v>20</v>
      </c>
      <c r="AA18" s="12"/>
      <c r="AB18" s="12"/>
      <c r="AC18" s="12"/>
      <c r="AD18" s="12"/>
    </row>
    <row r="19" spans="1:30" ht="15.5" x14ac:dyDescent="0.35">
      <c r="A19" s="3" t="s">
        <v>82</v>
      </c>
      <c r="B19" s="3">
        <v>5300</v>
      </c>
      <c r="C19" s="7">
        <f t="shared" si="0"/>
        <v>88.333510000000004</v>
      </c>
      <c r="D19" s="7">
        <f t="shared" si="1"/>
        <v>1.4722234000000001</v>
      </c>
      <c r="E19" s="5">
        <f t="shared" si="2"/>
        <v>1.4722234000000001E-3</v>
      </c>
      <c r="F19" s="7">
        <f t="shared" si="3"/>
        <v>2.9444468000000001</v>
      </c>
      <c r="G19" s="7">
        <f t="shared" si="4"/>
        <v>8.669766958030241</v>
      </c>
      <c r="H19" s="7">
        <f t="shared" si="5"/>
        <v>5.7235334677120004</v>
      </c>
      <c r="I19" s="16">
        <v>5.2968523870968314</v>
      </c>
      <c r="J19" s="16">
        <f t="shared" si="15"/>
        <v>52.968523870968312</v>
      </c>
      <c r="K19" s="15">
        <f t="shared" si="7"/>
        <v>5296.8523870968311</v>
      </c>
      <c r="L19" s="5">
        <f t="shared" si="8"/>
        <v>46574.968672839503</v>
      </c>
      <c r="M19" s="4">
        <f t="shared" si="10"/>
        <v>27.58777284946266</v>
      </c>
      <c r="N19" s="4">
        <f t="shared" si="11"/>
        <v>2.4835639039648843E-2</v>
      </c>
      <c r="O19" s="4">
        <f t="shared" si="12"/>
        <v>6.2089097599122107E-3</v>
      </c>
      <c r="P19" s="4">
        <f t="shared" si="13"/>
        <v>1.2205885360995915E-3</v>
      </c>
      <c r="R19" s="11">
        <v>1.2</v>
      </c>
      <c r="S19" s="10">
        <f t="shared" si="9"/>
        <v>18981.481481481482</v>
      </c>
      <c r="T19" s="10">
        <f t="shared" si="14"/>
        <v>2.4877132829803777E-2</v>
      </c>
      <c r="U19" s="10">
        <f t="shared" si="16"/>
        <v>6.7389767357447913E-3</v>
      </c>
      <c r="V19" s="17"/>
      <c r="W19" s="9"/>
      <c r="X19" s="9"/>
      <c r="AA19" s="14" t="s">
        <v>28</v>
      </c>
      <c r="AB19" s="14"/>
      <c r="AC19" s="14"/>
      <c r="AD19" s="14"/>
    </row>
    <row r="20" spans="1:30" ht="15.5" x14ac:dyDescent="0.35">
      <c r="A20" s="18" t="s">
        <v>45</v>
      </c>
      <c r="B20" s="3">
        <v>4800</v>
      </c>
      <c r="C20" s="7">
        <f t="shared" si="0"/>
        <v>80.000159999999994</v>
      </c>
      <c r="D20" s="7">
        <f t="shared" si="1"/>
        <v>1.3333344</v>
      </c>
      <c r="E20" s="5">
        <f t="shared" si="2"/>
        <v>1.3333344E-3</v>
      </c>
      <c r="F20" s="7">
        <f t="shared" si="3"/>
        <v>2.6666688000000001</v>
      </c>
      <c r="G20" s="7">
        <f t="shared" si="4"/>
        <v>7.1111224888934403</v>
      </c>
      <c r="H20" s="7">
        <f t="shared" si="5"/>
        <v>5.1835774801920005</v>
      </c>
      <c r="I20" s="16">
        <v>4.4005405716237629</v>
      </c>
      <c r="J20" s="16">
        <f t="shared" si="15"/>
        <v>44.005405716237632</v>
      </c>
      <c r="K20" s="15">
        <f t="shared" si="7"/>
        <v>4400.5405716237628</v>
      </c>
      <c r="L20" s="5">
        <f t="shared" si="8"/>
        <v>42181.103703703702</v>
      </c>
      <c r="M20" s="4">
        <f t="shared" si="10"/>
        <v>22.919482143873765</v>
      </c>
      <c r="N20" s="4">
        <f t="shared" si="11"/>
        <v>2.5155488933502078E-2</v>
      </c>
      <c r="O20" s="4">
        <f t="shared" si="12"/>
        <v>6.2888722333755195E-3</v>
      </c>
      <c r="P20" s="4">
        <f t="shared" si="13"/>
        <v>1.2162632249270223E-3</v>
      </c>
      <c r="R20" s="11">
        <v>1.3</v>
      </c>
      <c r="S20" s="10">
        <f t="shared" si="9"/>
        <v>20563.271604938269</v>
      </c>
      <c r="T20" s="10">
        <f t="shared" si="14"/>
        <v>2.4384272245175108E-2</v>
      </c>
      <c r="U20" s="10">
        <f t="shared" si="16"/>
        <v>6.6054655294292847E-3</v>
      </c>
      <c r="V20" s="17"/>
      <c r="AA20" s="19" t="s">
        <v>29</v>
      </c>
      <c r="AB20" s="14" t="s">
        <v>30</v>
      </c>
      <c r="AC20" s="14" t="s">
        <v>31</v>
      </c>
      <c r="AD20" s="14" t="s">
        <v>32</v>
      </c>
    </row>
    <row r="21" spans="1:30" ht="15.5" x14ac:dyDescent="0.35">
      <c r="A21" s="18" t="s">
        <v>81</v>
      </c>
      <c r="B21" s="3">
        <v>4400</v>
      </c>
      <c r="C21" s="7">
        <f t="shared" si="0"/>
        <v>73.333479999999994</v>
      </c>
      <c r="D21" s="7">
        <f t="shared" si="1"/>
        <v>1.2222232</v>
      </c>
      <c r="E21" s="5">
        <f t="shared" si="2"/>
        <v>1.2222232E-3</v>
      </c>
      <c r="F21" s="7">
        <f t="shared" si="3"/>
        <v>2.4444463999999999</v>
      </c>
      <c r="G21" s="7">
        <f t="shared" si="4"/>
        <v>5.9753182024729599</v>
      </c>
      <c r="H21" s="7">
        <f t="shared" si="5"/>
        <v>4.7516126901759996</v>
      </c>
      <c r="I21" s="16">
        <v>3.6971467420152742</v>
      </c>
      <c r="J21" s="16">
        <f t="shared" si="15"/>
        <v>36.971467420152742</v>
      </c>
      <c r="K21" s="15">
        <f t="shared" si="7"/>
        <v>3697.146742015274</v>
      </c>
      <c r="L21" s="5">
        <f t="shared" si="8"/>
        <v>38666.01172839506</v>
      </c>
      <c r="M21" s="4">
        <f t="shared" si="10"/>
        <v>19.255972614662888</v>
      </c>
      <c r="N21" s="4">
        <f t="shared" si="11"/>
        <v>2.5151885284686759E-2</v>
      </c>
      <c r="O21" s="4">
        <f t="shared" si="12"/>
        <v>6.2879713211716898E-3</v>
      </c>
      <c r="P21" s="4">
        <f t="shared" si="13"/>
        <v>1.0886039883124029E-3</v>
      </c>
      <c r="R21" s="11">
        <v>1.4</v>
      </c>
      <c r="S21" s="10">
        <f t="shared" si="9"/>
        <v>22145.061728395056</v>
      </c>
      <c r="T21" s="10">
        <f t="shared" si="14"/>
        <v>2.3936664221769863E-2</v>
      </c>
      <c r="U21" s="10">
        <f t="shared" si="16"/>
        <v>6.4842128080205355E-3</v>
      </c>
      <c r="V21" s="17"/>
      <c r="W21" s="9" t="s">
        <v>33</v>
      </c>
      <c r="X21" s="9">
        <f>4*10^(-6)</f>
        <v>3.9999999999999998E-6</v>
      </c>
      <c r="AA21" s="19" t="s">
        <v>34</v>
      </c>
      <c r="AB21" s="14" t="s">
        <v>35</v>
      </c>
      <c r="AC21" s="14" t="s">
        <v>36</v>
      </c>
      <c r="AD21" s="14" t="s">
        <v>37</v>
      </c>
    </row>
    <row r="22" spans="1:30" ht="15.5" x14ac:dyDescent="0.35">
      <c r="A22" s="18" t="s">
        <v>46</v>
      </c>
      <c r="B22" s="3">
        <v>4000</v>
      </c>
      <c r="C22" s="7">
        <f t="shared" si="0"/>
        <v>66.666799999999995</v>
      </c>
      <c r="D22" s="7">
        <f t="shared" si="1"/>
        <v>1.1111120000000001</v>
      </c>
      <c r="E22" s="3">
        <f t="shared" si="2"/>
        <v>1.111112E-3</v>
      </c>
      <c r="F22" s="7">
        <f t="shared" si="3"/>
        <v>2.2222240000000002</v>
      </c>
      <c r="G22" s="7">
        <f t="shared" si="4"/>
        <v>4.9382795061760012</v>
      </c>
      <c r="H22" s="7">
        <f t="shared" si="5"/>
        <v>4.3196479001600006</v>
      </c>
      <c r="I22" s="16">
        <v>3.0757984369508007</v>
      </c>
      <c r="J22" s="16">
        <f t="shared" si="15"/>
        <v>30.757984369508009</v>
      </c>
      <c r="K22" s="15">
        <f t="shared" si="7"/>
        <v>3075.7984369508008</v>
      </c>
      <c r="L22" s="5">
        <f t="shared" si="8"/>
        <v>35150.919753086418</v>
      </c>
      <c r="M22" s="4">
        <f t="shared" si="10"/>
        <v>16.019783525785417</v>
      </c>
      <c r="N22" s="4">
        <f t="shared" si="11"/>
        <v>2.5319031988822734E-2</v>
      </c>
      <c r="O22" s="4">
        <f t="shared" si="12"/>
        <v>6.3297579972056836E-3</v>
      </c>
      <c r="P22" s="4">
        <f t="shared" si="13"/>
        <v>1.0058986277976442E-3</v>
      </c>
      <c r="R22" s="11">
        <v>1.5</v>
      </c>
      <c r="S22" s="10">
        <f t="shared" si="9"/>
        <v>23726.85185185185</v>
      </c>
      <c r="T22" s="10">
        <f t="shared" si="14"/>
        <v>2.3527339629844345E-2</v>
      </c>
      <c r="U22" s="10">
        <f t="shared" si="16"/>
        <v>6.3733307010982463E-3</v>
      </c>
      <c r="V22" s="17"/>
      <c r="W22" s="9" t="s">
        <v>38</v>
      </c>
      <c r="X22" s="3">
        <f>X21/X12</f>
        <v>2.3999999999999998E-4</v>
      </c>
      <c r="AA22" s="14">
        <v>0</v>
      </c>
      <c r="AB22" s="14">
        <v>1.792E-3</v>
      </c>
      <c r="AC22" s="14">
        <v>999.87</v>
      </c>
      <c r="AD22" s="13">
        <v>1.7922329902887374E-6</v>
      </c>
    </row>
    <row r="23" spans="1:30" ht="15.5" x14ac:dyDescent="0.35">
      <c r="A23" s="18" t="s">
        <v>80</v>
      </c>
      <c r="B23" s="3">
        <v>3600</v>
      </c>
      <c r="C23" s="7">
        <f t="shared" si="0"/>
        <v>60.000119999999995</v>
      </c>
      <c r="D23" s="7">
        <f t="shared" si="1"/>
        <v>1.0000008</v>
      </c>
      <c r="E23" s="5">
        <f t="shared" si="2"/>
        <v>1.0000008000000001E-3</v>
      </c>
      <c r="F23" s="7">
        <f t="shared" si="3"/>
        <v>2.0000016</v>
      </c>
      <c r="G23" s="7">
        <f t="shared" si="4"/>
        <v>4.0000064000025599</v>
      </c>
      <c r="H23" s="7">
        <f t="shared" si="5"/>
        <v>3.8876831101440001</v>
      </c>
      <c r="I23" s="7">
        <v>2.4931473696206932</v>
      </c>
      <c r="J23" s="16">
        <f t="shared" si="15"/>
        <v>24.931473696206933</v>
      </c>
      <c r="K23" s="15">
        <f t="shared" si="7"/>
        <v>2493.1473696206931</v>
      </c>
      <c r="L23" s="5">
        <f t="shared" si="8"/>
        <v>31635.827777777773</v>
      </c>
      <c r="M23" s="4">
        <f t="shared" si="10"/>
        <v>12.985142550107774</v>
      </c>
      <c r="N23" s="4">
        <f t="shared" si="11"/>
        <v>2.5336822973472443E-2</v>
      </c>
      <c r="O23" s="4">
        <f t="shared" si="12"/>
        <v>6.3342057433681109E-3</v>
      </c>
      <c r="P23" s="3">
        <f t="shared" si="13"/>
        <v>8.2883947094033463E-4</v>
      </c>
      <c r="R23" s="11">
        <v>1.6</v>
      </c>
      <c r="S23" s="10">
        <f t="shared" si="9"/>
        <v>25308.641975308641</v>
      </c>
      <c r="T23" s="10">
        <f t="shared" si="14"/>
        <v>2.3150780691943755E-2</v>
      </c>
      <c r="U23" s="10">
        <f t="shared" si="16"/>
        <v>6.2713244956601067E-3</v>
      </c>
      <c r="V23" s="17"/>
      <c r="AA23" s="14">
        <v>5</v>
      </c>
      <c r="AB23" s="14">
        <v>1.519E-3</v>
      </c>
      <c r="AC23" s="14">
        <v>999.99</v>
      </c>
      <c r="AD23" s="13">
        <v>1.5190151901519014E-6</v>
      </c>
    </row>
    <row r="24" spans="1:30" ht="15.5" x14ac:dyDescent="0.35">
      <c r="A24" s="3" t="s">
        <v>47</v>
      </c>
      <c r="B24" s="3">
        <v>3200</v>
      </c>
      <c r="C24" s="7">
        <f t="shared" si="0"/>
        <v>53.333439999999996</v>
      </c>
      <c r="D24" s="7">
        <f t="shared" si="1"/>
        <v>0.88888960000000006</v>
      </c>
      <c r="E24" s="5">
        <f t="shared" si="2"/>
        <v>8.8888960000000012E-4</v>
      </c>
      <c r="F24" s="5">
        <f t="shared" si="3"/>
        <v>1.7777792000000001</v>
      </c>
      <c r="G24" s="7">
        <f t="shared" si="4"/>
        <v>3.1604988839526404</v>
      </c>
      <c r="H24" s="7">
        <f t="shared" si="5"/>
        <v>3.4557183201280002</v>
      </c>
      <c r="I24" s="7">
        <v>1.9903598011811789</v>
      </c>
      <c r="J24" s="16">
        <f t="shared" si="15"/>
        <v>19.903598011811788</v>
      </c>
      <c r="K24" s="15">
        <f t="shared" si="7"/>
        <v>1990.3598011811787</v>
      </c>
      <c r="L24" s="5">
        <f t="shared" si="8"/>
        <v>28120.735802469135</v>
      </c>
      <c r="M24" s="4">
        <f t="shared" si="10"/>
        <v>10.36645729781864</v>
      </c>
      <c r="N24" s="4">
        <f t="shared" si="11"/>
        <v>2.5600051757074881E-2</v>
      </c>
      <c r="O24" s="4">
        <f t="shared" si="12"/>
        <v>6.4000129392687202E-3</v>
      </c>
      <c r="P24" s="4">
        <f t="shared" si="13"/>
        <v>7.1054011648150701E-4</v>
      </c>
      <c r="R24" s="11">
        <v>1.7</v>
      </c>
      <c r="S24" s="10">
        <f t="shared" si="9"/>
        <v>26890.432098765428</v>
      </c>
      <c r="T24" s="10">
        <f t="shared" si="14"/>
        <v>2.280254945027245E-2</v>
      </c>
      <c r="U24" s="10">
        <f t="shared" si="16"/>
        <v>6.1769919914950368E-3</v>
      </c>
      <c r="V24" s="17"/>
      <c r="W24" s="8"/>
      <c r="AA24" s="14">
        <f>AA23+5</f>
        <v>10</v>
      </c>
      <c r="AB24" s="14">
        <v>1.3079999999999999E-3</v>
      </c>
      <c r="AC24" s="14">
        <v>999.73</v>
      </c>
      <c r="AD24" s="13">
        <v>1.3083532553789522E-6</v>
      </c>
    </row>
    <row r="25" spans="1:30" ht="15.5" x14ac:dyDescent="0.35">
      <c r="A25" s="3" t="s">
        <v>79</v>
      </c>
      <c r="B25" s="3">
        <v>2750</v>
      </c>
      <c r="C25" s="7">
        <f t="shared" si="0"/>
        <v>45.833424999999998</v>
      </c>
      <c r="D25" s="7">
        <f t="shared" si="1"/>
        <v>0.7638895</v>
      </c>
      <c r="E25" s="5">
        <f t="shared" si="2"/>
        <v>7.6388949999999997E-4</v>
      </c>
      <c r="F25" s="5">
        <f t="shared" si="3"/>
        <v>1.527779</v>
      </c>
      <c r="G25" s="7">
        <f t="shared" si="4"/>
        <v>2.3341086728409999</v>
      </c>
      <c r="H25" s="7">
        <f t="shared" si="5"/>
        <v>2.9697579313600002</v>
      </c>
      <c r="I25" s="7">
        <v>1.4927544831500192</v>
      </c>
      <c r="J25" s="16">
        <f t="shared" si="15"/>
        <v>14.927544831500192</v>
      </c>
      <c r="K25" s="15">
        <f t="shared" si="7"/>
        <v>1492.7544831500193</v>
      </c>
      <c r="L25" s="5">
        <f t="shared" si="8"/>
        <v>24166.25733024691</v>
      </c>
      <c r="M25" s="4">
        <f t="shared" si="10"/>
        <v>7.774762933073017</v>
      </c>
      <c r="N25" s="4">
        <f t="shared" si="11"/>
        <v>2.5997536985694326E-2</v>
      </c>
      <c r="O25" s="4">
        <f t="shared" si="12"/>
        <v>6.4993842464235816E-3</v>
      </c>
      <c r="P25" s="4">
        <f t="shared" si="13"/>
        <v>5.487354286713423E-4</v>
      </c>
      <c r="R25" s="11">
        <v>1.8</v>
      </c>
      <c r="S25" s="10">
        <f t="shared" si="9"/>
        <v>28472.222222222219</v>
      </c>
      <c r="T25" s="10">
        <f t="shared" si="14"/>
        <v>2.2479027069078936E-2</v>
      </c>
      <c r="U25" s="10">
        <f t="shared" si="16"/>
        <v>6.0893528806991231E-3</v>
      </c>
      <c r="V25" s="4"/>
      <c r="W25" s="8"/>
      <c r="AA25" s="14" t="e">
        <f>#REF!+5</f>
        <v>#REF!</v>
      </c>
      <c r="AB25" s="14">
        <v>1.005E-3</v>
      </c>
      <c r="AC25" s="14">
        <v>998.23</v>
      </c>
      <c r="AD25" s="13">
        <v>1.0067820041473407E-6</v>
      </c>
    </row>
    <row r="26" spans="1:30" ht="15.5" x14ac:dyDescent="0.35">
      <c r="A26" s="3" t="s">
        <v>48</v>
      </c>
      <c r="B26" s="3">
        <v>2450</v>
      </c>
      <c r="C26" s="7">
        <f t="shared" si="0"/>
        <v>40.833415000000002</v>
      </c>
      <c r="D26" s="7">
        <f t="shared" si="1"/>
        <v>0.6805561</v>
      </c>
      <c r="E26" s="5">
        <f t="shared" si="2"/>
        <v>6.8055610000000006E-4</v>
      </c>
      <c r="F26" s="5">
        <f t="shared" si="3"/>
        <v>1.3611122</v>
      </c>
      <c r="G26" s="7">
        <f t="shared" si="4"/>
        <v>1.8526264209888399</v>
      </c>
      <c r="H26" s="7">
        <f t="shared" si="5"/>
        <v>2.6457843388479998</v>
      </c>
      <c r="I26" s="3">
        <v>1.0943700072614377</v>
      </c>
      <c r="J26" s="16">
        <f t="shared" si="15"/>
        <v>10.943700072614376</v>
      </c>
      <c r="K26" s="15">
        <f t="shared" si="7"/>
        <v>1094.3700072614376</v>
      </c>
      <c r="L26" s="5">
        <f t="shared" si="8"/>
        <v>21529.93834876543</v>
      </c>
      <c r="M26" s="4">
        <f t="shared" si="10"/>
        <v>5.6998437878199883</v>
      </c>
      <c r="N26" s="4">
        <f t="shared" si="11"/>
        <v>2.4012712523709626E-2</v>
      </c>
      <c r="O26" s="4">
        <f t="shared" si="12"/>
        <v>6.0031781309274066E-3</v>
      </c>
      <c r="P26" s="4">
        <f t="shared" si="13"/>
        <v>-5.8794841694663632E-4</v>
      </c>
      <c r="R26" s="11">
        <v>1.9</v>
      </c>
      <c r="S26" s="10">
        <f t="shared" si="9"/>
        <v>30054.012345679006</v>
      </c>
      <c r="T26" s="10">
        <f t="shared" si="14"/>
        <v>2.2177226719738818E-2</v>
      </c>
      <c r="U26" s="10">
        <f t="shared" si="16"/>
        <v>6.0075980600388388E-3</v>
      </c>
      <c r="V26" s="4"/>
      <c r="W26" s="8"/>
      <c r="AA26" s="14">
        <v>25</v>
      </c>
      <c r="AB26" s="14">
        <v>8.9400000000000005E-4</v>
      </c>
      <c r="AC26" s="14">
        <v>997.07</v>
      </c>
      <c r="AD26" s="13">
        <v>8.9662711745414066E-7</v>
      </c>
    </row>
    <row r="27" spans="1:30" ht="15.5" x14ac:dyDescent="0.35">
      <c r="A27" s="3" t="s">
        <v>78</v>
      </c>
      <c r="B27" s="3">
        <v>2000</v>
      </c>
      <c r="C27" s="3">
        <f t="shared" si="0"/>
        <v>33.333399999999997</v>
      </c>
      <c r="D27" s="3">
        <f t="shared" si="1"/>
        <v>0.55555600000000005</v>
      </c>
      <c r="E27" s="3">
        <f t="shared" si="2"/>
        <v>5.5555600000000002E-4</v>
      </c>
      <c r="F27" s="3">
        <f t="shared" si="3"/>
        <v>1.1111120000000001</v>
      </c>
      <c r="G27" s="3">
        <f t="shared" si="4"/>
        <v>1.2345698765440003</v>
      </c>
      <c r="H27" s="3">
        <f t="shared" si="5"/>
        <v>2.1598239500800003</v>
      </c>
      <c r="I27" s="3">
        <v>0.73158980655327666</v>
      </c>
      <c r="J27" s="16">
        <f t="shared" si="15"/>
        <v>7.3158980655327666</v>
      </c>
      <c r="K27" s="3">
        <f t="shared" si="7"/>
        <v>731.58980655327662</v>
      </c>
      <c r="L27" s="5">
        <f t="shared" si="8"/>
        <v>17575.459876543209</v>
      </c>
      <c r="M27" s="4">
        <f t="shared" si="10"/>
        <v>3.8103635757983154</v>
      </c>
      <c r="N27" s="11">
        <f t="shared" si="11"/>
        <v>2.4088894112557008E-2</v>
      </c>
      <c r="O27" s="4">
        <f t="shared" si="12"/>
        <v>6.0222235281392521E-3</v>
      </c>
      <c r="P27" s="4">
        <f t="shared" si="13"/>
        <v>-1.1829017087777304E-3</v>
      </c>
      <c r="R27" s="11">
        <v>2</v>
      </c>
      <c r="S27" s="10">
        <f t="shared" si="9"/>
        <v>31635.8024691358</v>
      </c>
      <c r="T27" s="10">
        <f t="shared" si="14"/>
        <v>2.1894656581278538E-2</v>
      </c>
      <c r="U27" s="10">
        <f t="shared" si="16"/>
        <v>5.931052519106618E-3</v>
      </c>
      <c r="V27" s="4"/>
      <c r="W27" s="8"/>
      <c r="AA27" s="12"/>
      <c r="AB27" s="12"/>
      <c r="AC27" s="12"/>
      <c r="AD27" s="12"/>
    </row>
    <row r="28" spans="1:30" ht="15.5" x14ac:dyDescent="0.35">
      <c r="A28" s="3" t="s">
        <v>49</v>
      </c>
      <c r="B28" s="3">
        <v>1650</v>
      </c>
      <c r="C28" s="3">
        <f t="shared" si="0"/>
        <v>27.500055</v>
      </c>
      <c r="D28" s="3">
        <f t="shared" si="1"/>
        <v>0.45833370000000001</v>
      </c>
      <c r="E28" s="3">
        <f t="shared" si="2"/>
        <v>4.5833370000000003E-4</v>
      </c>
      <c r="F28" s="3">
        <f t="shared" si="3"/>
        <v>0.91666740000000002</v>
      </c>
      <c r="G28" s="3">
        <f t="shared" si="4"/>
        <v>0.84027912222276002</v>
      </c>
      <c r="H28" s="3">
        <f t="shared" si="5"/>
        <v>1.7818547588160001</v>
      </c>
      <c r="I28" s="3">
        <v>0.36964226580009218</v>
      </c>
      <c r="J28" s="16">
        <f t="shared" si="15"/>
        <v>3.6964226580009218</v>
      </c>
      <c r="K28" s="9">
        <f t="shared" si="7"/>
        <v>369.64226580009216</v>
      </c>
      <c r="L28" s="4">
        <f t="shared" si="8"/>
        <v>14499.754398148147</v>
      </c>
      <c r="M28" s="4">
        <f t="shared" si="10"/>
        <v>1.92522013437548</v>
      </c>
      <c r="N28" s="11">
        <f t="shared" si="11"/>
        <v>1.7882282170845067E-2</v>
      </c>
      <c r="O28" s="4">
        <f t="shared" si="12"/>
        <v>4.4705705427112667E-3</v>
      </c>
      <c r="P28" s="4">
        <f t="shared" si="13"/>
        <v>-4.1148446500183485E-3</v>
      </c>
      <c r="R28" s="11">
        <v>2.1</v>
      </c>
      <c r="S28" s="10">
        <f t="shared" si="9"/>
        <v>33217.592592592591</v>
      </c>
      <c r="T28" s="10">
        <f t="shared" si="14"/>
        <v>2.1629217750527337E-2</v>
      </c>
      <c r="U28" s="10">
        <f t="shared" si="16"/>
        <v>5.8591476851599751E-3</v>
      </c>
      <c r="V28" s="4"/>
      <c r="W28" s="8"/>
    </row>
    <row r="29" spans="1:30" ht="15.5" x14ac:dyDescent="0.35">
      <c r="G29" s="7"/>
      <c r="V29" s="4"/>
      <c r="W29" s="8"/>
      <c r="X29" s="9" t="s">
        <v>39</v>
      </c>
    </row>
    <row r="30" spans="1:30" x14ac:dyDescent="0.35">
      <c r="G30" s="7"/>
      <c r="V30" s="4"/>
      <c r="W30" s="8"/>
    </row>
    <row r="31" spans="1:30" x14ac:dyDescent="0.35">
      <c r="G31" s="7"/>
      <c r="V31" s="4"/>
      <c r="W31" s="8"/>
    </row>
    <row r="32" spans="1:30" x14ac:dyDescent="0.35">
      <c r="G32" s="7"/>
      <c r="V32" s="4"/>
    </row>
    <row r="33" spans="7:22" x14ac:dyDescent="0.35">
      <c r="G33" s="7"/>
      <c r="V33" s="4"/>
    </row>
    <row r="34" spans="7:22" x14ac:dyDescent="0.35">
      <c r="V34" s="4"/>
    </row>
    <row r="35" spans="7:22" ht="15.5" x14ac:dyDescent="0.35">
      <c r="R35" s="4"/>
      <c r="S35" s="6"/>
      <c r="T35" s="6"/>
      <c r="U35" s="4"/>
      <c r="V35" s="4"/>
    </row>
    <row r="36" spans="7:22" ht="15.5" x14ac:dyDescent="0.35">
      <c r="R36" s="4"/>
      <c r="S36" s="6"/>
      <c r="T36" s="6"/>
      <c r="U36" s="4"/>
      <c r="V36" s="4"/>
    </row>
    <row r="37" spans="7:22" ht="15.5" x14ac:dyDescent="0.35">
      <c r="R37" s="4"/>
      <c r="S37" s="6"/>
      <c r="T37" s="6"/>
      <c r="U37" s="4"/>
      <c r="V37" s="4"/>
    </row>
    <row r="38" spans="7:22" ht="15.5" x14ac:dyDescent="0.35">
      <c r="R38" s="4"/>
      <c r="S38" s="6"/>
      <c r="T38" s="6"/>
      <c r="U38" s="4"/>
      <c r="V38" s="4"/>
    </row>
    <row r="39" spans="7:22" ht="15.5" x14ac:dyDescent="0.35">
      <c r="R39" s="4"/>
      <c r="S39" s="6"/>
      <c r="T39" s="6"/>
      <c r="U39" s="4"/>
      <c r="V39" s="4"/>
    </row>
    <row r="40" spans="7:22" ht="15.5" x14ac:dyDescent="0.35">
      <c r="R40" s="4"/>
      <c r="S40" s="6"/>
      <c r="T40" s="6"/>
    </row>
    <row r="41" spans="7:22" ht="15.5" x14ac:dyDescent="0.35">
      <c r="R41" s="4"/>
      <c r="S41" s="6"/>
      <c r="T41" s="6"/>
    </row>
    <row r="42" spans="7:22" ht="15.5" x14ac:dyDescent="0.35">
      <c r="R42" s="4"/>
      <c r="S42" s="6"/>
      <c r="T42" s="6"/>
    </row>
    <row r="43" spans="7:22" ht="15.5" x14ac:dyDescent="0.35">
      <c r="R43" s="4"/>
      <c r="S43" s="6"/>
      <c r="T43" s="6"/>
    </row>
    <row r="44" spans="7:22" ht="15.5" x14ac:dyDescent="0.35">
      <c r="R44" s="4"/>
      <c r="S44" s="6"/>
      <c r="T44" s="6"/>
    </row>
    <row r="45" spans="7:22" ht="15.5" x14ac:dyDescent="0.35">
      <c r="R45" s="4"/>
      <c r="S45" s="6"/>
      <c r="T45" s="6"/>
    </row>
    <row r="46" spans="7:22" ht="15.5" x14ac:dyDescent="0.35">
      <c r="R46" s="4"/>
      <c r="S46" s="6"/>
      <c r="T46" s="6"/>
    </row>
    <row r="47" spans="7:22" ht="15.5" x14ac:dyDescent="0.35">
      <c r="R47" s="4"/>
      <c r="S47" s="6"/>
      <c r="T47" s="6"/>
    </row>
    <row r="48" spans="7:22" ht="15.5" x14ac:dyDescent="0.35">
      <c r="R48" s="4"/>
      <c r="S48" s="6"/>
      <c r="T48" s="6"/>
    </row>
    <row r="49" spans="2:20" ht="15.5" x14ac:dyDescent="0.35">
      <c r="R49" s="4"/>
      <c r="S49" s="6"/>
      <c r="T49" s="6"/>
    </row>
    <row r="50" spans="2:20" x14ac:dyDescent="0.35">
      <c r="R50" s="4"/>
    </row>
    <row r="60" spans="2:20" x14ac:dyDescent="0.35">
      <c r="B60" s="3">
        <v>0</v>
      </c>
    </row>
  </sheetData>
  <mergeCells count="2">
    <mergeCell ref="A4:N4"/>
    <mergeCell ref="W6:X6"/>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44833-A29F-47CE-807E-C7CC9D0AD959}">
  <dimension ref="A1:AD60"/>
  <sheetViews>
    <sheetView zoomScale="50" zoomScaleNormal="50" workbookViewId="0">
      <selection activeCell="K2" sqref="A1:K2"/>
    </sheetView>
  </sheetViews>
  <sheetFormatPr defaultColWidth="8.69140625" defaultRowHeight="14.5" x14ac:dyDescent="0.35"/>
  <cols>
    <col min="1" max="1" width="8.69140625" style="3"/>
    <col min="2" max="2" width="11" style="3" customWidth="1"/>
    <col min="3" max="4" width="8.69140625" style="3"/>
    <col min="5" max="5" width="12.3046875" style="3" customWidth="1"/>
    <col min="6" max="6" width="15.69140625" style="3" bestFit="1" customWidth="1"/>
    <col min="7" max="7" width="8.53515625" style="3" customWidth="1"/>
    <col min="8" max="8" width="8.69140625" style="3"/>
    <col min="9" max="9" width="15.69140625" style="3" bestFit="1" customWidth="1"/>
    <col min="10" max="10" width="12.23046875" style="3" customWidth="1"/>
    <col min="11" max="11" width="10.4609375" style="3" customWidth="1"/>
    <col min="12" max="12" width="8.53515625" style="5" customWidth="1"/>
    <col min="13" max="13" width="6.765625" style="4" customWidth="1"/>
    <col min="14" max="14" width="8.4609375" style="4" customWidth="1"/>
    <col min="15" max="15" width="9.07421875" style="4" customWidth="1"/>
    <col min="16" max="16" width="27.23046875" style="4" customWidth="1"/>
    <col min="17" max="17" width="8.4609375" style="4" customWidth="1"/>
    <col min="18" max="18" width="10.23046875" style="3" customWidth="1"/>
    <col min="19" max="19" width="13.84375" style="3" customWidth="1"/>
    <col min="20" max="22" width="10" style="3" customWidth="1"/>
    <col min="23" max="23" width="24.69140625" style="3" customWidth="1"/>
    <col min="24" max="25" width="8.69140625" style="3"/>
    <col min="26" max="26" width="22" style="3" customWidth="1"/>
    <col min="27" max="27" width="35.84375" style="3" customWidth="1"/>
    <col min="28" max="28" width="16.84375" style="3" customWidth="1"/>
    <col min="29" max="16384" width="8.69140625" style="3"/>
  </cols>
  <sheetData>
    <row r="1" spans="1:28" x14ac:dyDescent="0.35">
      <c r="A1" s="37"/>
    </row>
    <row r="2" spans="1:28" ht="15.5" x14ac:dyDescent="0.35">
      <c r="A2" s="9"/>
      <c r="I2" s="9"/>
      <c r="J2" s="9"/>
    </row>
    <row r="3" spans="1:28" ht="15.5" x14ac:dyDescent="0.35">
      <c r="A3" s="9"/>
      <c r="I3" s="9"/>
      <c r="J3" s="9"/>
    </row>
    <row r="4" spans="1:28" x14ac:dyDescent="0.35">
      <c r="A4" s="51" t="s">
        <v>3</v>
      </c>
      <c r="B4" s="51"/>
      <c r="C4" s="51"/>
      <c r="D4" s="51"/>
      <c r="E4" s="51"/>
      <c r="F4" s="51"/>
      <c r="G4" s="51"/>
      <c r="H4" s="51"/>
      <c r="I4" s="51"/>
      <c r="J4" s="51"/>
      <c r="K4" s="51"/>
      <c r="L4" s="51"/>
      <c r="M4" s="51"/>
      <c r="N4" s="51"/>
      <c r="O4" s="35"/>
      <c r="P4" s="35"/>
      <c r="Q4" s="36"/>
    </row>
    <row r="6" spans="1:28" ht="15.5" x14ac:dyDescent="0.35">
      <c r="A6" s="29"/>
      <c r="B6" s="27" t="s">
        <v>4</v>
      </c>
      <c r="C6" s="27" t="s">
        <v>5</v>
      </c>
      <c r="D6" s="28" t="s">
        <v>6</v>
      </c>
      <c r="E6" s="28" t="s">
        <v>93</v>
      </c>
      <c r="F6" s="28" t="s">
        <v>7</v>
      </c>
      <c r="G6" s="28" t="s">
        <v>92</v>
      </c>
      <c r="H6" s="28" t="s">
        <v>8</v>
      </c>
      <c r="I6" s="27" t="s">
        <v>91</v>
      </c>
      <c r="J6" s="27" t="s">
        <v>90</v>
      </c>
      <c r="K6" s="27" t="s">
        <v>9</v>
      </c>
      <c r="L6" s="26" t="s">
        <v>10</v>
      </c>
      <c r="M6" s="25" t="s">
        <v>89</v>
      </c>
      <c r="N6" s="24" t="s">
        <v>11</v>
      </c>
      <c r="O6" s="11" t="s">
        <v>88</v>
      </c>
      <c r="P6" s="11" t="s">
        <v>12</v>
      </c>
      <c r="Q6" s="11"/>
      <c r="R6" s="23" t="s">
        <v>13</v>
      </c>
      <c r="S6" s="6" t="s">
        <v>10</v>
      </c>
      <c r="T6" s="23" t="s">
        <v>14</v>
      </c>
      <c r="U6" s="6" t="s">
        <v>15</v>
      </c>
      <c r="V6" s="9"/>
      <c r="W6" s="52" t="s">
        <v>16</v>
      </c>
      <c r="X6" s="52"/>
    </row>
    <row r="7" spans="1:28" ht="15.5" x14ac:dyDescent="0.35">
      <c r="A7" s="22" t="s">
        <v>17</v>
      </c>
      <c r="C7" s="7">
        <f t="shared" ref="C7:C28" si="0">B7*0.0166667</f>
        <v>0</v>
      </c>
      <c r="D7" s="7">
        <f t="shared" ref="D7:D28" si="1">B7*0.000277778</f>
        <v>0</v>
      </c>
      <c r="E7" s="5">
        <f t="shared" ref="E7:E28" si="2">0.001*D7</f>
        <v>0</v>
      </c>
      <c r="F7" s="7">
        <f t="shared" ref="F7:F28" si="3">E7/X$8</f>
        <v>0</v>
      </c>
      <c r="G7" s="7">
        <f t="shared" ref="G7:G28" si="4">F7^(2)</f>
        <v>0</v>
      </c>
      <c r="H7" s="7">
        <f t="shared" ref="H7:H28" si="5">F7*1.94384</f>
        <v>0</v>
      </c>
      <c r="I7" s="16"/>
      <c r="J7" s="16">
        <f t="shared" ref="J7:J28" si="6">I7 * 10</f>
        <v>0</v>
      </c>
      <c r="K7" s="15">
        <f t="shared" ref="K7:K28" si="7">J7*100</f>
        <v>0</v>
      </c>
      <c r="L7" s="5">
        <f t="shared" ref="L7:L28" si="8">(F7*X$12)/X$13</f>
        <v>0</v>
      </c>
      <c r="R7" s="11">
        <v>0</v>
      </c>
      <c r="S7" s="10">
        <f t="shared" ref="S7:S28" si="9">(R7*X$12)/X$13</f>
        <v>0</v>
      </c>
      <c r="T7" s="10"/>
      <c r="U7" s="10"/>
    </row>
    <row r="8" spans="1:28" ht="15.5" x14ac:dyDescent="0.35">
      <c r="A8" s="3" t="s">
        <v>40</v>
      </c>
      <c r="B8" s="3">
        <v>1800</v>
      </c>
      <c r="C8" s="7">
        <f t="shared" si="0"/>
        <v>30.000059999999998</v>
      </c>
      <c r="D8" s="7">
        <f t="shared" si="1"/>
        <v>0.50000040000000001</v>
      </c>
      <c r="E8" s="5">
        <f t="shared" si="2"/>
        <v>5.0000040000000004E-4</v>
      </c>
      <c r="F8" s="7">
        <f t="shared" si="3"/>
        <v>1.0000008</v>
      </c>
      <c r="G8" s="7">
        <f t="shared" si="4"/>
        <v>1.00000160000064</v>
      </c>
      <c r="H8" s="7">
        <f t="shared" si="5"/>
        <v>1.9438415550720001</v>
      </c>
      <c r="I8" s="3">
        <v>0.70009560842257423</v>
      </c>
      <c r="J8" s="16">
        <f>I8 * 10</f>
        <v>7.0009560842257423</v>
      </c>
      <c r="K8" s="15">
        <f t="shared" si="7"/>
        <v>700.09560842257429</v>
      </c>
      <c r="L8" s="5">
        <f t="shared" si="8"/>
        <v>15817.913888888887</v>
      </c>
      <c r="M8" s="4">
        <f t="shared" ref="M8:M28" si="10">(X$16*G8*N8)/8</f>
        <v>3.6463312938675743</v>
      </c>
      <c r="N8" s="4">
        <f t="shared" ref="N8:N28" si="11">(K8*2*X$12)/(X$14*X$16*G8)</f>
        <v>2.8459125539469311E-2</v>
      </c>
      <c r="O8" s="4">
        <f t="shared" ref="O8:O28" si="12">N8/4</f>
        <v>7.1147813848673278E-3</v>
      </c>
      <c r="P8" s="4">
        <f t="shared" ref="P8:P28" si="13">3.7*(10^(-1/(2*SQRT(N8)))-2.51/(L8*SQRT(N8)))</f>
        <v>5.4068310512614057E-4</v>
      </c>
      <c r="R8" s="11">
        <v>0.1</v>
      </c>
      <c r="S8" s="10">
        <f t="shared" si="9"/>
        <v>1581.7901234567901</v>
      </c>
      <c r="T8" s="10">
        <f t="shared" ref="T8:T28" si="14">0.292/(S8^(0.25))</f>
        <v>4.6301561383887517E-2</v>
      </c>
      <c r="U8" s="10">
        <f>0.0791/(S8^0.25)</f>
        <v>1.2542648991320215E-2</v>
      </c>
      <c r="V8" s="17"/>
      <c r="W8" s="9" t="s">
        <v>18</v>
      </c>
      <c r="X8" s="3">
        <f>X$10*X$11</f>
        <v>5.0000000000000001E-4</v>
      </c>
    </row>
    <row r="9" spans="1:28" ht="15.5" x14ac:dyDescent="0.35">
      <c r="A9" s="3" t="s">
        <v>87</v>
      </c>
      <c r="B9" s="3">
        <v>2150</v>
      </c>
      <c r="C9" s="7">
        <f t="shared" si="0"/>
        <v>35.833404999999999</v>
      </c>
      <c r="D9" s="7">
        <f t="shared" si="1"/>
        <v>0.5972227</v>
      </c>
      <c r="E9" s="5">
        <f t="shared" si="2"/>
        <v>5.9722270000000003E-4</v>
      </c>
      <c r="F9" s="7">
        <f t="shared" si="3"/>
        <v>1.1944454</v>
      </c>
      <c r="G9" s="7">
        <f t="shared" si="4"/>
        <v>1.4266998135811599</v>
      </c>
      <c r="H9" s="7">
        <f t="shared" si="5"/>
        <v>2.3218107463359998</v>
      </c>
      <c r="I9" s="3">
        <v>1.0229116788050365</v>
      </c>
      <c r="J9" s="16">
        <f t="shared" si="6"/>
        <v>10.229116788050366</v>
      </c>
      <c r="K9" s="15">
        <f t="shared" si="7"/>
        <v>1022.9116788050366</v>
      </c>
      <c r="L9" s="5">
        <f t="shared" si="8"/>
        <v>18893.619367283951</v>
      </c>
      <c r="M9" s="4">
        <f t="shared" si="10"/>
        <v>5.3276649937762324</v>
      </c>
      <c r="N9" s="4">
        <f t="shared" si="11"/>
        <v>2.9145427205745485E-2</v>
      </c>
      <c r="O9" s="4">
        <f t="shared" si="12"/>
        <v>7.2863568014363712E-3</v>
      </c>
      <c r="P9" s="4">
        <f t="shared" si="13"/>
        <v>1.4802609731072629E-3</v>
      </c>
      <c r="R9" s="11">
        <v>0.2</v>
      </c>
      <c r="S9" s="10">
        <f t="shared" si="9"/>
        <v>3163.5802469135801</v>
      </c>
      <c r="T9" s="10">
        <f t="shared" si="14"/>
        <v>3.8934816988360828E-2</v>
      </c>
      <c r="U9" s="10">
        <f t="shared" ref="U9:U28" si="15">0.0791/(S9^0.25)</f>
        <v>1.0547068574586788E-2</v>
      </c>
      <c r="V9" s="17"/>
      <c r="W9" s="3" t="s">
        <v>19</v>
      </c>
    </row>
    <row r="10" spans="1:28" ht="15.5" x14ac:dyDescent="0.35">
      <c r="A10" s="3" t="s">
        <v>41</v>
      </c>
      <c r="B10" s="3">
        <v>2550</v>
      </c>
      <c r="C10" s="7">
        <f t="shared" si="0"/>
        <v>42.500084999999999</v>
      </c>
      <c r="D10" s="7">
        <f t="shared" si="1"/>
        <v>0.70833390000000007</v>
      </c>
      <c r="E10" s="5">
        <f t="shared" si="2"/>
        <v>7.083339000000001E-4</v>
      </c>
      <c r="F10" s="7">
        <f t="shared" si="3"/>
        <v>1.4166678000000001</v>
      </c>
      <c r="G10" s="7">
        <f t="shared" si="4"/>
        <v>2.0069476555568406</v>
      </c>
      <c r="H10" s="7">
        <f t="shared" si="5"/>
        <v>2.7537755363520002</v>
      </c>
      <c r="I10" s="3">
        <v>1.4055391393852548</v>
      </c>
      <c r="J10" s="16">
        <f t="shared" si="6"/>
        <v>14.055391393852547</v>
      </c>
      <c r="K10" s="15">
        <f t="shared" si="7"/>
        <v>1405.5391393852547</v>
      </c>
      <c r="L10" s="5">
        <f t="shared" si="8"/>
        <v>22408.711342592593</v>
      </c>
      <c r="M10" s="4">
        <f t="shared" si="10"/>
        <v>7.3205163509648674</v>
      </c>
      <c r="N10" s="4">
        <f t="shared" si="11"/>
        <v>2.8468972379616774E-2</v>
      </c>
      <c r="O10" s="4">
        <f t="shared" si="12"/>
        <v>7.1172430949041935E-3</v>
      </c>
      <c r="P10" s="4">
        <f t="shared" si="13"/>
        <v>1.5694716964825479E-3</v>
      </c>
      <c r="R10" s="11">
        <v>0.3</v>
      </c>
      <c r="S10" s="10">
        <f t="shared" si="9"/>
        <v>4745.3703703703704</v>
      </c>
      <c r="T10" s="10">
        <f t="shared" si="14"/>
        <v>3.5181578640865456E-2</v>
      </c>
      <c r="U10" s="10">
        <f t="shared" si="15"/>
        <v>9.5303522962070491E-3</v>
      </c>
      <c r="V10" s="17"/>
      <c r="W10" s="9" t="s">
        <v>20</v>
      </c>
      <c r="X10" s="7">
        <v>0.05</v>
      </c>
      <c r="AA10" s="20" t="s">
        <v>73</v>
      </c>
    </row>
    <row r="11" spans="1:28" ht="15.5" x14ac:dyDescent="0.35">
      <c r="A11" s="3" t="s">
        <v>86</v>
      </c>
      <c r="B11" s="3">
        <v>3000</v>
      </c>
      <c r="C11" s="7">
        <f t="shared" si="0"/>
        <v>50.000099999999996</v>
      </c>
      <c r="D11" s="7">
        <f t="shared" si="1"/>
        <v>0.83333400000000002</v>
      </c>
      <c r="E11" s="5">
        <f t="shared" si="2"/>
        <v>8.3333400000000003E-4</v>
      </c>
      <c r="F11" s="7">
        <f t="shared" si="3"/>
        <v>1.666668</v>
      </c>
      <c r="G11" s="7">
        <f t="shared" si="4"/>
        <v>2.7777822222240003</v>
      </c>
      <c r="H11" s="7">
        <f t="shared" si="5"/>
        <v>3.2397359251200002</v>
      </c>
      <c r="I11" s="3">
        <v>1.782160295290981</v>
      </c>
      <c r="J11" s="16">
        <f t="shared" si="6"/>
        <v>17.82160295290981</v>
      </c>
      <c r="K11" s="15">
        <f t="shared" si="7"/>
        <v>1782.1602952909809</v>
      </c>
      <c r="L11" s="5">
        <f t="shared" si="8"/>
        <v>26363.189814814814</v>
      </c>
      <c r="M11" s="4">
        <f t="shared" si="10"/>
        <v>9.2820848713071911</v>
      </c>
      <c r="N11" s="4">
        <f t="shared" si="11"/>
        <v>2.6080352836652634E-2</v>
      </c>
      <c r="O11" s="4">
        <f t="shared" si="12"/>
        <v>6.5200882091631584E-3</v>
      </c>
      <c r="P11" s="4">
        <f t="shared" si="13"/>
        <v>7.8428207078263732E-4</v>
      </c>
      <c r="R11" s="11">
        <v>0.4</v>
      </c>
      <c r="S11" s="10">
        <f t="shared" si="9"/>
        <v>6327.1604938271603</v>
      </c>
      <c r="T11" s="10">
        <f t="shared" si="14"/>
        <v>3.2740148034072047E-2</v>
      </c>
      <c r="U11" s="10">
        <f t="shared" si="15"/>
        <v>8.8689921558051353E-3</v>
      </c>
      <c r="V11" s="17"/>
      <c r="W11" s="9" t="s">
        <v>21</v>
      </c>
      <c r="X11" s="7">
        <v>0.01</v>
      </c>
      <c r="AA11" s="21" t="s">
        <v>74</v>
      </c>
      <c r="AB11" s="3" t="s">
        <v>22</v>
      </c>
    </row>
    <row r="12" spans="1:28" ht="15.5" x14ac:dyDescent="0.35">
      <c r="A12" s="3" t="s">
        <v>42</v>
      </c>
      <c r="B12" s="3">
        <v>3350</v>
      </c>
      <c r="C12" s="7">
        <f t="shared" si="0"/>
        <v>55.833444999999998</v>
      </c>
      <c r="D12" s="7">
        <f t="shared" si="1"/>
        <v>0.9305563</v>
      </c>
      <c r="E12" s="5">
        <f t="shared" si="2"/>
        <v>9.3055630000000002E-4</v>
      </c>
      <c r="F12" s="7">
        <f t="shared" si="3"/>
        <v>1.8611126</v>
      </c>
      <c r="G12" s="7">
        <f t="shared" si="4"/>
        <v>3.4637401098787599</v>
      </c>
      <c r="H12" s="7">
        <f t="shared" si="5"/>
        <v>3.6177051163840002</v>
      </c>
      <c r="I12" s="3">
        <v>2.2344393157700173</v>
      </c>
      <c r="J12" s="16">
        <f t="shared" si="6"/>
        <v>22.344393157700175</v>
      </c>
      <c r="K12" s="15">
        <f t="shared" si="7"/>
        <v>2234.4393157700174</v>
      </c>
      <c r="L12" s="5">
        <f t="shared" si="8"/>
        <v>29438.895293209873</v>
      </c>
      <c r="M12" s="4">
        <f t="shared" si="10"/>
        <v>11.637704769635507</v>
      </c>
      <c r="N12" s="4">
        <f t="shared" si="11"/>
        <v>2.6223349215970901E-2</v>
      </c>
      <c r="O12" s="4">
        <f t="shared" si="12"/>
        <v>6.5558373039927252E-3</v>
      </c>
      <c r="P12" s="4">
        <f t="shared" si="13"/>
        <v>1.075802842556702E-3</v>
      </c>
      <c r="R12" s="11">
        <v>0.5</v>
      </c>
      <c r="S12" s="10">
        <f t="shared" si="9"/>
        <v>7908.9506172839501</v>
      </c>
      <c r="T12" s="10">
        <f t="shared" si="14"/>
        <v>3.0963720280745455E-2</v>
      </c>
      <c r="U12" s="10">
        <f t="shared" si="15"/>
        <v>8.3877749116676916E-3</v>
      </c>
      <c r="V12" s="17"/>
      <c r="W12" s="9" t="s">
        <v>71</v>
      </c>
      <c r="X12" s="4">
        <f>2*(X10*X11)/(X10+X11)</f>
        <v>1.6666666666666666E-2</v>
      </c>
      <c r="Y12" s="9">
        <f>10*X12*100</f>
        <v>16.666666666666664</v>
      </c>
      <c r="AA12" s="20" t="s">
        <v>75</v>
      </c>
      <c r="AB12" s="3" t="s">
        <v>23</v>
      </c>
    </row>
    <row r="13" spans="1:28" ht="15.5" x14ac:dyDescent="0.35">
      <c r="A13" s="3" t="s">
        <v>85</v>
      </c>
      <c r="B13" s="3">
        <v>3700</v>
      </c>
      <c r="C13" s="7">
        <f t="shared" si="0"/>
        <v>61.666789999999999</v>
      </c>
      <c r="D13" s="7">
        <f t="shared" si="1"/>
        <v>1.0277786</v>
      </c>
      <c r="E13" s="5">
        <f t="shared" si="2"/>
        <v>1.0277786E-3</v>
      </c>
      <c r="F13" s="7">
        <f t="shared" si="3"/>
        <v>2.0555572</v>
      </c>
      <c r="G13" s="7">
        <f t="shared" si="4"/>
        <v>4.22531540247184</v>
      </c>
      <c r="H13" s="7">
        <f t="shared" si="5"/>
        <v>3.9956743076480001</v>
      </c>
      <c r="I13" s="3">
        <v>2.7069746603217579</v>
      </c>
      <c r="J13" s="16">
        <f t="shared" si="6"/>
        <v>27.069746603217581</v>
      </c>
      <c r="K13" s="15">
        <f t="shared" si="7"/>
        <v>2706.9746603217582</v>
      </c>
      <c r="L13" s="5">
        <f t="shared" si="8"/>
        <v>32514.600771604935</v>
      </c>
      <c r="M13" s="4">
        <f t="shared" si="10"/>
        <v>14.09882635584249</v>
      </c>
      <c r="N13" s="4">
        <f t="shared" si="11"/>
        <v>2.6042936409885253E-2</v>
      </c>
      <c r="O13" s="4">
        <f t="shared" si="12"/>
        <v>6.5107341024713133E-3</v>
      </c>
      <c r="P13" s="4">
        <f t="shared" si="13"/>
        <v>1.1805522570691479E-3</v>
      </c>
      <c r="R13" s="11">
        <v>0.6</v>
      </c>
      <c r="S13" s="10">
        <f t="shared" si="9"/>
        <v>9490.7407407407409</v>
      </c>
      <c r="T13" s="10">
        <f t="shared" si="14"/>
        <v>2.9584063362070416E-2</v>
      </c>
      <c r="U13" s="10">
        <f t="shared" si="15"/>
        <v>8.0140390819855144E-3</v>
      </c>
      <c r="V13" s="17"/>
      <c r="W13" s="9" t="s">
        <v>72</v>
      </c>
      <c r="X13" s="8">
        <f>X$17/X$16</f>
        <v>1.053658536585366E-6</v>
      </c>
    </row>
    <row r="14" spans="1:28" ht="15.5" x14ac:dyDescent="0.35">
      <c r="A14" s="3" t="s">
        <v>43</v>
      </c>
      <c r="B14" s="3">
        <v>4150</v>
      </c>
      <c r="C14" s="7">
        <f t="shared" si="0"/>
        <v>69.166804999999997</v>
      </c>
      <c r="D14" s="7">
        <f t="shared" si="1"/>
        <v>1.1527787</v>
      </c>
      <c r="E14" s="5">
        <f t="shared" si="2"/>
        <v>1.1527787000000002E-3</v>
      </c>
      <c r="F14" s="7">
        <f t="shared" si="3"/>
        <v>2.3055574000000001</v>
      </c>
      <c r="G14" s="7">
        <f t="shared" si="4"/>
        <v>5.3155949246947607</v>
      </c>
      <c r="H14" s="7">
        <f t="shared" si="5"/>
        <v>4.4816346964160001</v>
      </c>
      <c r="I14" s="3">
        <v>3.3083402830426571</v>
      </c>
      <c r="J14" s="16">
        <f t="shared" si="6"/>
        <v>33.083402830426571</v>
      </c>
      <c r="K14" s="15">
        <f t="shared" si="7"/>
        <v>3308.3402830426571</v>
      </c>
      <c r="L14" s="5">
        <f t="shared" si="8"/>
        <v>36469.07924382716</v>
      </c>
      <c r="M14" s="4">
        <f t="shared" si="10"/>
        <v>17.230938974180507</v>
      </c>
      <c r="N14" s="4">
        <f t="shared" si="11"/>
        <v>2.5300155347555985E-2</v>
      </c>
      <c r="O14" s="4">
        <f t="shared" si="12"/>
        <v>6.3250388368889963E-3</v>
      </c>
      <c r="P14" s="4">
        <f t="shared" si="13"/>
        <v>1.0581306725923197E-3</v>
      </c>
      <c r="R14" s="11">
        <v>0.7</v>
      </c>
      <c r="S14" s="10">
        <f t="shared" si="9"/>
        <v>11072.530864197528</v>
      </c>
      <c r="T14" s="10">
        <f t="shared" si="14"/>
        <v>2.8465651401959793E-2</v>
      </c>
      <c r="U14" s="10">
        <f t="shared" si="15"/>
        <v>7.7110720064897942E-3</v>
      </c>
      <c r="V14" s="17"/>
      <c r="W14" s="9" t="s">
        <v>24</v>
      </c>
      <c r="X14" s="3">
        <v>0.8</v>
      </c>
      <c r="AA14" s="20" t="s">
        <v>76</v>
      </c>
      <c r="AB14" s="9" t="s">
        <v>25</v>
      </c>
    </row>
    <row r="15" spans="1:28" ht="15.5" x14ac:dyDescent="0.35">
      <c r="A15" s="3" t="s">
        <v>84</v>
      </c>
      <c r="B15" s="3">
        <v>4500</v>
      </c>
      <c r="C15" s="7">
        <f t="shared" si="0"/>
        <v>75.000150000000005</v>
      </c>
      <c r="D15" s="7">
        <f t="shared" si="1"/>
        <v>1.2500010000000001</v>
      </c>
      <c r="E15" s="5">
        <f t="shared" si="2"/>
        <v>1.2500010000000002E-3</v>
      </c>
      <c r="F15" s="7">
        <f t="shared" si="3"/>
        <v>2.5000020000000003</v>
      </c>
      <c r="G15" s="7">
        <f t="shared" si="4"/>
        <v>6.2500100000040018</v>
      </c>
      <c r="H15" s="7">
        <f t="shared" si="5"/>
        <v>4.8596038876800005</v>
      </c>
      <c r="I15" s="3">
        <v>3.9996089041271308</v>
      </c>
      <c r="J15" s="16">
        <f t="shared" si="6"/>
        <v>39.996089041271304</v>
      </c>
      <c r="K15" s="15">
        <f t="shared" si="7"/>
        <v>3999.6089041271302</v>
      </c>
      <c r="L15" s="5">
        <f t="shared" si="8"/>
        <v>39544.784722222219</v>
      </c>
      <c r="M15" s="4">
        <f t="shared" si="10"/>
        <v>20.831296375662138</v>
      </c>
      <c r="N15" s="4">
        <f t="shared" si="11"/>
        <v>2.601367482771097E-2</v>
      </c>
      <c r="O15" s="4">
        <f t="shared" si="12"/>
        <v>6.5034187069277424E-3</v>
      </c>
      <c r="P15" s="4">
        <f t="shared" si="13"/>
        <v>1.4825738123180553E-3</v>
      </c>
      <c r="R15" s="11">
        <v>0.8</v>
      </c>
      <c r="S15" s="10">
        <f t="shared" si="9"/>
        <v>12654.320987654321</v>
      </c>
      <c r="T15" s="10">
        <f t="shared" si="14"/>
        <v>2.7531073116727131E-2</v>
      </c>
      <c r="U15" s="10">
        <f t="shared" si="15"/>
        <v>7.4579037107298501E-3</v>
      </c>
      <c r="V15" s="17"/>
    </row>
    <row r="16" spans="1:28" ht="15.5" x14ac:dyDescent="0.35">
      <c r="A16" s="3" t="s">
        <v>44</v>
      </c>
      <c r="B16" s="3">
        <v>4900</v>
      </c>
      <c r="C16" s="7">
        <f t="shared" si="0"/>
        <v>81.666830000000004</v>
      </c>
      <c r="D16" s="7">
        <f t="shared" si="1"/>
        <v>1.3611122</v>
      </c>
      <c r="E16" s="5">
        <f t="shared" si="2"/>
        <v>1.3611122000000001E-3</v>
      </c>
      <c r="F16" s="7">
        <f t="shared" si="3"/>
        <v>2.7222244</v>
      </c>
      <c r="G16" s="7">
        <f t="shared" si="4"/>
        <v>7.4105056839553596</v>
      </c>
      <c r="H16" s="7">
        <f t="shared" si="5"/>
        <v>5.2915686776959996</v>
      </c>
      <c r="I16" s="3">
        <v>4.5865555749885294</v>
      </c>
      <c r="J16" s="16">
        <f t="shared" si="6"/>
        <v>45.865555749885296</v>
      </c>
      <c r="K16" s="15">
        <f t="shared" si="7"/>
        <v>4586.5555749885298</v>
      </c>
      <c r="L16" s="5">
        <f t="shared" si="8"/>
        <v>43059.876697530861</v>
      </c>
      <c r="M16" s="4">
        <f t="shared" si="10"/>
        <v>23.888310286398593</v>
      </c>
      <c r="N16" s="4">
        <f t="shared" si="11"/>
        <v>2.5159598619625408E-2</v>
      </c>
      <c r="O16" s="4">
        <f t="shared" si="12"/>
        <v>6.2898996549063521E-3</v>
      </c>
      <c r="P16" s="4">
        <f t="shared" si="13"/>
        <v>1.2462487448031041E-3</v>
      </c>
      <c r="Q16" s="16"/>
      <c r="R16" s="11">
        <v>0.9</v>
      </c>
      <c r="S16" s="10">
        <f t="shared" si="9"/>
        <v>14236.111111111109</v>
      </c>
      <c r="T16" s="10">
        <f t="shared" si="14"/>
        <v>2.6732218928887431E-2</v>
      </c>
      <c r="U16" s="10">
        <f t="shared" si="15"/>
        <v>7.2415017714897124E-3</v>
      </c>
      <c r="V16" s="17"/>
      <c r="W16" s="3" t="s">
        <v>26</v>
      </c>
      <c r="X16" s="3">
        <f>VLOOKUP(X18, Seawater!A4:F34, 3, FALSE)</f>
        <v>1025</v>
      </c>
    </row>
    <row r="17" spans="1:30" ht="15.5" x14ac:dyDescent="0.35">
      <c r="A17" s="3" t="s">
        <v>83</v>
      </c>
      <c r="B17" s="3">
        <v>5300</v>
      </c>
      <c r="C17" s="7">
        <f t="shared" si="0"/>
        <v>88.333510000000004</v>
      </c>
      <c r="D17" s="7">
        <f t="shared" si="1"/>
        <v>1.4722234000000001</v>
      </c>
      <c r="E17" s="5">
        <f t="shared" si="2"/>
        <v>1.4722234000000001E-3</v>
      </c>
      <c r="F17" s="7">
        <f t="shared" si="3"/>
        <v>2.9444468000000001</v>
      </c>
      <c r="G17" s="7">
        <f t="shared" si="4"/>
        <v>8.669766958030241</v>
      </c>
      <c r="H17" s="7">
        <f t="shared" si="5"/>
        <v>5.7235334677120004</v>
      </c>
      <c r="I17" s="3">
        <v>5.3579274198723503</v>
      </c>
      <c r="J17" s="16">
        <f t="shared" si="6"/>
        <v>53.579274198723503</v>
      </c>
      <c r="K17" s="15">
        <f t="shared" si="7"/>
        <v>5357.9274198723506</v>
      </c>
      <c r="L17" s="5">
        <f t="shared" si="8"/>
        <v>46574.968672839503</v>
      </c>
      <c r="M17" s="4">
        <f t="shared" si="10"/>
        <v>27.905871978501825</v>
      </c>
      <c r="N17" s="4">
        <f t="shared" si="11"/>
        <v>2.5122004857968144E-2</v>
      </c>
      <c r="O17" s="4">
        <f t="shared" si="12"/>
        <v>6.2805012144920361E-3</v>
      </c>
      <c r="P17" s="4">
        <f t="shared" si="13"/>
        <v>1.3338202473426653E-3</v>
      </c>
      <c r="R17" s="11">
        <v>1</v>
      </c>
      <c r="S17" s="10">
        <f t="shared" si="9"/>
        <v>15817.9012345679</v>
      </c>
      <c r="T17" s="10">
        <f t="shared" si="14"/>
        <v>2.6037281386997589E-2</v>
      </c>
      <c r="U17" s="10">
        <f t="shared" si="15"/>
        <v>7.0532498551764029E-3</v>
      </c>
      <c r="V17" s="17"/>
      <c r="W17" s="3" t="s">
        <v>27</v>
      </c>
      <c r="X17" s="3">
        <f>VLOOKUP(X18, Seawater!A4:F34, 5, FALSE)</f>
        <v>1.08E-3</v>
      </c>
      <c r="AA17" s="12"/>
      <c r="AB17" s="12"/>
      <c r="AC17" s="12"/>
      <c r="AD17" s="12"/>
    </row>
    <row r="18" spans="1:30" ht="15.5" x14ac:dyDescent="0.35">
      <c r="A18" s="3" t="s">
        <v>50</v>
      </c>
      <c r="B18" s="3">
        <v>5600</v>
      </c>
      <c r="C18" s="7">
        <f t="shared" si="0"/>
        <v>93.333519999999993</v>
      </c>
      <c r="D18" s="7">
        <f t="shared" si="1"/>
        <v>1.5555568</v>
      </c>
      <c r="E18" s="5">
        <f t="shared" si="2"/>
        <v>1.5555568000000001E-3</v>
      </c>
      <c r="F18" s="7">
        <f t="shared" si="3"/>
        <v>3.1111135999999999</v>
      </c>
      <c r="G18" s="7">
        <f t="shared" si="4"/>
        <v>9.6790278321049588</v>
      </c>
      <c r="H18" s="7">
        <f t="shared" si="5"/>
        <v>6.0475070602239995</v>
      </c>
      <c r="I18" s="3">
        <v>5.9120095914321817</v>
      </c>
      <c r="J18" s="16">
        <f t="shared" si="6"/>
        <v>59.120095914321816</v>
      </c>
      <c r="K18" s="15">
        <f t="shared" si="7"/>
        <v>5912.0095914321819</v>
      </c>
      <c r="L18" s="5">
        <f t="shared" si="8"/>
        <v>49211.287654320979</v>
      </c>
      <c r="M18" s="4">
        <f t="shared" si="10"/>
        <v>30.79171662204261</v>
      </c>
      <c r="N18" s="4">
        <f t="shared" si="11"/>
        <v>2.4829517728061388E-2</v>
      </c>
      <c r="O18" s="4">
        <f t="shared" si="12"/>
        <v>6.207379432015347E-3</v>
      </c>
      <c r="P18" s="4">
        <f t="shared" si="13"/>
        <v>1.2859861370361284E-3</v>
      </c>
      <c r="Q18" s="11"/>
      <c r="R18" s="11">
        <v>1.1000000000000001</v>
      </c>
      <c r="S18" s="10">
        <f t="shared" si="9"/>
        <v>17399.691358024691</v>
      </c>
      <c r="T18" s="10">
        <f t="shared" si="14"/>
        <v>2.5424209894386686E-2</v>
      </c>
      <c r="U18" s="10">
        <f t="shared" si="15"/>
        <v>6.8871746665958456E-3</v>
      </c>
      <c r="V18" s="17"/>
      <c r="W18" s="3" t="s">
        <v>70</v>
      </c>
      <c r="X18" s="3">
        <v>20</v>
      </c>
      <c r="AA18" s="12"/>
      <c r="AB18" s="12"/>
      <c r="AC18" s="12"/>
      <c r="AD18" s="12"/>
    </row>
    <row r="19" spans="1:30" ht="15.5" x14ac:dyDescent="0.35">
      <c r="A19" s="3" t="s">
        <v>82</v>
      </c>
      <c r="B19" s="3">
        <v>5150</v>
      </c>
      <c r="C19" s="7">
        <f t="shared" si="0"/>
        <v>85.833505000000002</v>
      </c>
      <c r="D19" s="7">
        <f t="shared" si="1"/>
        <v>1.4305567000000001</v>
      </c>
      <c r="E19" s="5">
        <f t="shared" si="2"/>
        <v>1.4305567000000002E-3</v>
      </c>
      <c r="F19" s="7">
        <f t="shared" si="3"/>
        <v>2.8611134000000003</v>
      </c>
      <c r="G19" s="7">
        <f t="shared" si="4"/>
        <v>8.1859698876595619</v>
      </c>
      <c r="H19" s="7">
        <f t="shared" si="5"/>
        <v>5.5615466714560009</v>
      </c>
      <c r="I19" s="3">
        <v>5.1191655077573648</v>
      </c>
      <c r="J19" s="16">
        <f t="shared" si="6"/>
        <v>51.19165507757365</v>
      </c>
      <c r="K19" s="15">
        <f t="shared" si="7"/>
        <v>5119.165507757365</v>
      </c>
      <c r="L19" s="5">
        <f t="shared" si="8"/>
        <v>45256.809182098768</v>
      </c>
      <c r="M19" s="4">
        <f t="shared" si="10"/>
        <v>26.662320352902942</v>
      </c>
      <c r="N19" s="4">
        <f t="shared" si="11"/>
        <v>2.5421075536282218E-2</v>
      </c>
      <c r="O19" s="4">
        <f t="shared" si="12"/>
        <v>6.3552688840705545E-3</v>
      </c>
      <c r="P19" s="4">
        <f t="shared" si="13"/>
        <v>1.4183025716252805E-3</v>
      </c>
      <c r="R19" s="11">
        <v>1.2</v>
      </c>
      <c r="S19" s="10">
        <f t="shared" si="9"/>
        <v>18981.481481481482</v>
      </c>
      <c r="T19" s="10">
        <f t="shared" si="14"/>
        <v>2.4877132829803777E-2</v>
      </c>
      <c r="U19" s="10">
        <f t="shared" si="15"/>
        <v>6.7389767357447913E-3</v>
      </c>
      <c r="V19" s="17"/>
      <c r="W19" s="9"/>
      <c r="X19" s="9"/>
      <c r="AA19" s="14" t="s">
        <v>28</v>
      </c>
      <c r="AB19" s="14"/>
      <c r="AC19" s="14"/>
      <c r="AD19" s="14"/>
    </row>
    <row r="20" spans="1:30" ht="15.5" x14ac:dyDescent="0.35">
      <c r="A20" s="18" t="s">
        <v>45</v>
      </c>
      <c r="B20" s="3">
        <v>4800</v>
      </c>
      <c r="C20" s="7">
        <f t="shared" si="0"/>
        <v>80.000159999999994</v>
      </c>
      <c r="D20" s="7">
        <f t="shared" si="1"/>
        <v>1.3333344</v>
      </c>
      <c r="E20" s="5">
        <f t="shared" si="2"/>
        <v>1.3333344E-3</v>
      </c>
      <c r="F20" s="7">
        <f t="shared" si="3"/>
        <v>2.6666688000000001</v>
      </c>
      <c r="G20" s="7">
        <f t="shared" si="4"/>
        <v>7.1111224888934403</v>
      </c>
      <c r="H20" s="7">
        <f t="shared" si="5"/>
        <v>5.1835774801920005</v>
      </c>
      <c r="I20" s="16">
        <v>4.3822676149699147</v>
      </c>
      <c r="J20" s="16">
        <f t="shared" si="6"/>
        <v>43.822676149699149</v>
      </c>
      <c r="K20" s="15">
        <f t="shared" si="7"/>
        <v>4382.2676149699146</v>
      </c>
      <c r="L20" s="5">
        <f t="shared" si="8"/>
        <v>42181.103703703702</v>
      </c>
      <c r="M20" s="4">
        <f t="shared" si="10"/>
        <v>22.824310494634972</v>
      </c>
      <c r="N20" s="4">
        <f t="shared" si="11"/>
        <v>2.505103241244366E-2</v>
      </c>
      <c r="O20" s="4">
        <f t="shared" si="12"/>
        <v>6.262758103110915E-3</v>
      </c>
      <c r="P20" s="4">
        <f t="shared" si="13"/>
        <v>1.1742942122369001E-3</v>
      </c>
      <c r="R20" s="11">
        <v>1.3</v>
      </c>
      <c r="S20" s="10">
        <f t="shared" si="9"/>
        <v>20563.271604938269</v>
      </c>
      <c r="T20" s="10">
        <f t="shared" si="14"/>
        <v>2.4384272245175108E-2</v>
      </c>
      <c r="U20" s="10">
        <f t="shared" si="15"/>
        <v>6.6054655294292847E-3</v>
      </c>
      <c r="V20" s="17"/>
      <c r="AA20" s="19" t="s">
        <v>29</v>
      </c>
      <c r="AB20" s="14" t="s">
        <v>30</v>
      </c>
      <c r="AC20" s="14" t="s">
        <v>31</v>
      </c>
      <c r="AD20" s="14" t="s">
        <v>32</v>
      </c>
    </row>
    <row r="21" spans="1:30" ht="15.5" x14ac:dyDescent="0.35">
      <c r="A21" s="18" t="s">
        <v>81</v>
      </c>
      <c r="B21" s="3">
        <v>4400</v>
      </c>
      <c r="C21" s="7">
        <f t="shared" si="0"/>
        <v>73.333479999999994</v>
      </c>
      <c r="D21" s="7">
        <f t="shared" si="1"/>
        <v>1.2222232</v>
      </c>
      <c r="E21" s="5">
        <f t="shared" si="2"/>
        <v>1.2222232E-3</v>
      </c>
      <c r="F21" s="7">
        <f t="shared" si="3"/>
        <v>2.4444463999999999</v>
      </c>
      <c r="G21" s="7">
        <f t="shared" si="4"/>
        <v>5.9753182024729599</v>
      </c>
      <c r="H21" s="7">
        <f t="shared" si="5"/>
        <v>4.7516126901759996</v>
      </c>
      <c r="I21" s="16">
        <v>3.7192877545595078</v>
      </c>
      <c r="J21" s="16">
        <f t="shared" si="6"/>
        <v>37.192877545595081</v>
      </c>
      <c r="K21" s="15">
        <f t="shared" si="7"/>
        <v>3719.2877545595084</v>
      </c>
      <c r="L21" s="5">
        <f t="shared" si="8"/>
        <v>38666.01172839506</v>
      </c>
      <c r="M21" s="4">
        <f t="shared" si="10"/>
        <v>19.371290388330777</v>
      </c>
      <c r="N21" s="4">
        <f t="shared" si="11"/>
        <v>2.5302511766798163E-2</v>
      </c>
      <c r="O21" s="4">
        <f t="shared" si="12"/>
        <v>6.3256279416995407E-3</v>
      </c>
      <c r="P21" s="4">
        <f t="shared" si="13"/>
        <v>1.1500628260205697E-3</v>
      </c>
      <c r="R21" s="11">
        <v>1.4</v>
      </c>
      <c r="S21" s="10">
        <f t="shared" si="9"/>
        <v>22145.061728395056</v>
      </c>
      <c r="T21" s="10">
        <f t="shared" si="14"/>
        <v>2.3936664221769863E-2</v>
      </c>
      <c r="U21" s="10">
        <f t="shared" si="15"/>
        <v>6.4842128080205355E-3</v>
      </c>
      <c r="V21" s="17"/>
      <c r="W21" s="9" t="s">
        <v>33</v>
      </c>
      <c r="X21" s="9">
        <f>4*10^(-6)</f>
        <v>3.9999999999999998E-6</v>
      </c>
      <c r="AA21" s="19" t="s">
        <v>34</v>
      </c>
      <c r="AB21" s="14" t="s">
        <v>35</v>
      </c>
      <c r="AC21" s="14" t="s">
        <v>36</v>
      </c>
      <c r="AD21" s="14" t="s">
        <v>37</v>
      </c>
    </row>
    <row r="22" spans="1:30" ht="15.5" x14ac:dyDescent="0.35">
      <c r="A22" s="18" t="s">
        <v>46</v>
      </c>
      <c r="B22" s="3">
        <v>4000</v>
      </c>
      <c r="C22" s="7">
        <f t="shared" si="0"/>
        <v>66.666799999999995</v>
      </c>
      <c r="D22" s="7">
        <f t="shared" si="1"/>
        <v>1.1111120000000001</v>
      </c>
      <c r="E22" s="3">
        <f t="shared" si="2"/>
        <v>1.111112E-3</v>
      </c>
      <c r="F22" s="7">
        <f t="shared" si="3"/>
        <v>2.2222240000000002</v>
      </c>
      <c r="G22" s="7">
        <f t="shared" si="4"/>
        <v>4.9382795061760012</v>
      </c>
      <c r="H22" s="7">
        <f t="shared" si="5"/>
        <v>4.3196479001600006</v>
      </c>
      <c r="I22" s="16">
        <v>3.0259538227007985</v>
      </c>
      <c r="J22" s="16">
        <f t="shared" si="6"/>
        <v>30.259538227007987</v>
      </c>
      <c r="K22" s="15">
        <f t="shared" si="7"/>
        <v>3025.9538227007988</v>
      </c>
      <c r="L22" s="5">
        <f t="shared" si="8"/>
        <v>35150.919753086418</v>
      </c>
      <c r="M22" s="4">
        <f t="shared" si="10"/>
        <v>15.760176159899993</v>
      </c>
      <c r="N22" s="4">
        <f t="shared" si="11"/>
        <v>2.4908726369473558E-2</v>
      </c>
      <c r="O22" s="4">
        <f t="shared" si="12"/>
        <v>6.2271815923683896E-3</v>
      </c>
      <c r="P22" s="4">
        <f t="shared" si="13"/>
        <v>8.3864154178164667E-4</v>
      </c>
      <c r="R22" s="11">
        <v>1.5</v>
      </c>
      <c r="S22" s="10">
        <f t="shared" si="9"/>
        <v>23726.85185185185</v>
      </c>
      <c r="T22" s="10">
        <f t="shared" si="14"/>
        <v>2.3527339629844345E-2</v>
      </c>
      <c r="U22" s="10">
        <f t="shared" si="15"/>
        <v>6.3733307010982463E-3</v>
      </c>
      <c r="V22" s="17"/>
      <c r="W22" s="9" t="s">
        <v>38</v>
      </c>
      <c r="X22" s="3">
        <f>X21/X12</f>
        <v>2.3999999999999998E-4</v>
      </c>
      <c r="AA22" s="14">
        <v>0</v>
      </c>
      <c r="AB22" s="14">
        <v>1.792E-3</v>
      </c>
      <c r="AC22" s="14">
        <v>999.87</v>
      </c>
      <c r="AD22" s="13">
        <v>1.7922329902887374E-6</v>
      </c>
    </row>
    <row r="23" spans="1:30" ht="15.5" x14ac:dyDescent="0.35">
      <c r="A23" s="18" t="s">
        <v>80</v>
      </c>
      <c r="B23" s="3">
        <v>3650</v>
      </c>
      <c r="C23" s="7">
        <f t="shared" si="0"/>
        <v>60.833455000000001</v>
      </c>
      <c r="D23" s="7">
        <f t="shared" si="1"/>
        <v>1.0138897</v>
      </c>
      <c r="E23" s="5">
        <f t="shared" si="2"/>
        <v>1.0138897E-3</v>
      </c>
      <c r="F23" s="7">
        <f t="shared" si="3"/>
        <v>2.0277794</v>
      </c>
      <c r="G23" s="7">
        <f t="shared" si="4"/>
        <v>4.1118892950643602</v>
      </c>
      <c r="H23" s="7">
        <f t="shared" si="5"/>
        <v>3.9416787088960001</v>
      </c>
      <c r="I23" s="16">
        <v>2.4466294011925473</v>
      </c>
      <c r="J23" s="16">
        <f t="shared" si="6"/>
        <v>24.466294011925473</v>
      </c>
      <c r="K23" s="15">
        <f t="shared" si="7"/>
        <v>2446.6294011925474</v>
      </c>
      <c r="L23" s="5">
        <f t="shared" si="8"/>
        <v>32075.21427469136</v>
      </c>
      <c r="M23" s="4">
        <f t="shared" si="10"/>
        <v>12.742861464544516</v>
      </c>
      <c r="N23" s="4">
        <f t="shared" si="11"/>
        <v>2.4187538278974401E-2</v>
      </c>
      <c r="O23" s="4">
        <f t="shared" si="12"/>
        <v>6.0468845697436002E-3</v>
      </c>
      <c r="P23" s="3">
        <f t="shared" si="13"/>
        <v>3.9384676004959861E-4</v>
      </c>
      <c r="R23" s="11">
        <v>1.6</v>
      </c>
      <c r="S23" s="10">
        <f t="shared" si="9"/>
        <v>25308.641975308641</v>
      </c>
      <c r="T23" s="10">
        <f t="shared" si="14"/>
        <v>2.3150780691943755E-2</v>
      </c>
      <c r="U23" s="10">
        <f t="shared" si="15"/>
        <v>6.2713244956601067E-3</v>
      </c>
      <c r="V23" s="17"/>
      <c r="AA23" s="14">
        <v>5</v>
      </c>
      <c r="AB23" s="14">
        <v>1.519E-3</v>
      </c>
      <c r="AC23" s="14">
        <v>999.99</v>
      </c>
      <c r="AD23" s="13">
        <v>1.5190151901519014E-6</v>
      </c>
    </row>
    <row r="24" spans="1:30" ht="15.5" x14ac:dyDescent="0.35">
      <c r="A24" s="3" t="s">
        <v>47</v>
      </c>
      <c r="B24" s="3">
        <v>3300</v>
      </c>
      <c r="C24" s="7">
        <f t="shared" si="0"/>
        <v>55.000109999999999</v>
      </c>
      <c r="D24" s="7">
        <f t="shared" si="1"/>
        <v>0.91666740000000002</v>
      </c>
      <c r="E24" s="5">
        <f t="shared" si="2"/>
        <v>9.1666740000000005E-4</v>
      </c>
      <c r="F24" s="5">
        <f t="shared" si="3"/>
        <v>1.8333348</v>
      </c>
      <c r="G24" s="7">
        <f t="shared" si="4"/>
        <v>3.3611164888910401</v>
      </c>
      <c r="H24" s="7">
        <f t="shared" si="5"/>
        <v>3.5637095176320002</v>
      </c>
      <c r="I24" s="7">
        <v>2.0194192490748577</v>
      </c>
      <c r="J24" s="16">
        <f t="shared" si="6"/>
        <v>20.194192490748577</v>
      </c>
      <c r="K24" s="15">
        <f t="shared" si="7"/>
        <v>2019.4192490748578</v>
      </c>
      <c r="L24" s="5">
        <f t="shared" si="8"/>
        <v>28999.508796296293</v>
      </c>
      <c r="M24" s="4">
        <f t="shared" si="10"/>
        <v>10.517808588931551</v>
      </c>
      <c r="N24" s="4">
        <f t="shared" si="11"/>
        <v>2.4423495480845835E-2</v>
      </c>
      <c r="O24" s="4">
        <f t="shared" si="12"/>
        <v>6.1058738702114588E-3</v>
      </c>
      <c r="P24" s="4">
        <f t="shared" si="13"/>
        <v>2.886829937544925E-4</v>
      </c>
      <c r="R24" s="11">
        <v>1.7</v>
      </c>
      <c r="S24" s="10">
        <f t="shared" si="9"/>
        <v>26890.432098765428</v>
      </c>
      <c r="T24" s="10">
        <f t="shared" si="14"/>
        <v>2.280254945027245E-2</v>
      </c>
      <c r="U24" s="10">
        <f t="shared" si="15"/>
        <v>6.1769919914950368E-3</v>
      </c>
      <c r="V24" s="17"/>
      <c r="W24" s="8"/>
      <c r="AA24" s="14">
        <f>AA23+5</f>
        <v>10</v>
      </c>
      <c r="AB24" s="14">
        <v>1.3079999999999999E-3</v>
      </c>
      <c r="AC24" s="14">
        <v>999.73</v>
      </c>
      <c r="AD24" s="13">
        <v>1.3083532553789522E-6</v>
      </c>
    </row>
    <row r="25" spans="1:30" ht="15.5" x14ac:dyDescent="0.35">
      <c r="A25" s="3" t="s">
        <v>79</v>
      </c>
      <c r="B25" s="3">
        <v>2900</v>
      </c>
      <c r="C25" s="7">
        <f t="shared" si="0"/>
        <v>48.33343</v>
      </c>
      <c r="D25" s="7">
        <f t="shared" si="1"/>
        <v>0.80555620000000006</v>
      </c>
      <c r="E25" s="5">
        <f t="shared" si="2"/>
        <v>8.0555620000000009E-4</v>
      </c>
      <c r="F25" s="5">
        <f t="shared" si="3"/>
        <v>1.6111124000000001</v>
      </c>
      <c r="G25" s="7">
        <f t="shared" si="4"/>
        <v>2.5956831654337602</v>
      </c>
      <c r="H25" s="7">
        <f t="shared" si="5"/>
        <v>3.1317447276160002</v>
      </c>
      <c r="I25" s="7">
        <v>1.5573381234907668</v>
      </c>
      <c r="J25" s="16">
        <f t="shared" si="6"/>
        <v>15.573381234907668</v>
      </c>
      <c r="K25" s="15">
        <f t="shared" si="7"/>
        <v>1557.3381234907667</v>
      </c>
      <c r="L25" s="5">
        <f t="shared" si="8"/>
        <v>25484.416820987655</v>
      </c>
      <c r="M25" s="4">
        <f t="shared" si="10"/>
        <v>8.1111360598477429</v>
      </c>
      <c r="N25" s="4">
        <f t="shared" si="11"/>
        <v>2.4389119838359962E-2</v>
      </c>
      <c r="O25" s="4">
        <f t="shared" si="12"/>
        <v>6.0972799595899905E-3</v>
      </c>
      <c r="P25" s="4">
        <f t="shared" si="13"/>
        <v>-7.7074854506561116E-6</v>
      </c>
      <c r="R25" s="11">
        <v>1.8</v>
      </c>
      <c r="S25" s="10">
        <f t="shared" si="9"/>
        <v>28472.222222222219</v>
      </c>
      <c r="T25" s="10">
        <f t="shared" si="14"/>
        <v>2.2479027069078936E-2</v>
      </c>
      <c r="U25" s="10">
        <f t="shared" si="15"/>
        <v>6.0893528806991231E-3</v>
      </c>
      <c r="V25" s="4"/>
      <c r="W25" s="8"/>
      <c r="AA25" s="14" t="e">
        <f>#REF!+5</f>
        <v>#REF!</v>
      </c>
      <c r="AB25" s="14">
        <v>1.005E-3</v>
      </c>
      <c r="AC25" s="14">
        <v>998.23</v>
      </c>
      <c r="AD25" s="13">
        <v>1.0067820041473407E-6</v>
      </c>
    </row>
    <row r="26" spans="1:30" ht="15.5" x14ac:dyDescent="0.35">
      <c r="A26" s="3" t="s">
        <v>48</v>
      </c>
      <c r="B26" s="3">
        <v>2500</v>
      </c>
      <c r="C26" s="7">
        <f t="shared" si="0"/>
        <v>41.66675</v>
      </c>
      <c r="D26" s="7">
        <f t="shared" si="1"/>
        <v>0.69444499999999998</v>
      </c>
      <c r="E26" s="5">
        <f t="shared" si="2"/>
        <v>6.9444500000000002E-4</v>
      </c>
      <c r="F26" s="5">
        <f t="shared" si="3"/>
        <v>1.38889</v>
      </c>
      <c r="G26" s="7">
        <f t="shared" si="4"/>
        <v>1.9290154320999999</v>
      </c>
      <c r="H26" s="7">
        <f t="shared" si="5"/>
        <v>2.6997799375999998</v>
      </c>
      <c r="I26" s="7">
        <v>1.0851303481307537</v>
      </c>
      <c r="J26" s="16">
        <f t="shared" si="6"/>
        <v>10.851303481307538</v>
      </c>
      <c r="K26" s="15">
        <f t="shared" si="7"/>
        <v>1085.1303481307536</v>
      </c>
      <c r="L26" s="5">
        <f t="shared" si="8"/>
        <v>21969.324845679006</v>
      </c>
      <c r="M26" s="4">
        <f t="shared" si="10"/>
        <v>5.6517205631810086</v>
      </c>
      <c r="N26" s="4">
        <f t="shared" si="11"/>
        <v>2.2867100504940927E-2</v>
      </c>
      <c r="O26" s="4">
        <f t="shared" si="12"/>
        <v>5.7167751262352318E-3</v>
      </c>
      <c r="P26" s="4">
        <f t="shared" si="13"/>
        <v>-9.6848382887002103E-4</v>
      </c>
      <c r="R26" s="11">
        <v>1.9</v>
      </c>
      <c r="S26" s="10">
        <f t="shared" si="9"/>
        <v>30054.012345679006</v>
      </c>
      <c r="T26" s="10">
        <f t="shared" si="14"/>
        <v>2.2177226719738818E-2</v>
      </c>
      <c r="U26" s="10">
        <f t="shared" si="15"/>
        <v>6.0075980600388388E-3</v>
      </c>
      <c r="V26" s="4"/>
      <c r="W26" s="8"/>
      <c r="AA26" s="14">
        <v>25</v>
      </c>
      <c r="AB26" s="14">
        <v>8.9400000000000005E-4</v>
      </c>
      <c r="AC26" s="14">
        <v>997.07</v>
      </c>
      <c r="AD26" s="13">
        <v>8.9662711745414066E-7</v>
      </c>
    </row>
    <row r="27" spans="1:30" ht="15.5" x14ac:dyDescent="0.35">
      <c r="A27" s="3" t="s">
        <v>78</v>
      </c>
      <c r="B27" s="3">
        <v>2100</v>
      </c>
      <c r="C27" s="3">
        <f t="shared" si="0"/>
        <v>35.000070000000001</v>
      </c>
      <c r="D27" s="3">
        <f t="shared" si="1"/>
        <v>0.58333380000000001</v>
      </c>
      <c r="E27" s="3">
        <f t="shared" si="2"/>
        <v>5.8333380000000006E-4</v>
      </c>
      <c r="F27" s="3">
        <f t="shared" si="3"/>
        <v>1.1666676</v>
      </c>
      <c r="G27" s="3">
        <f t="shared" si="4"/>
        <v>1.3611132888897601</v>
      </c>
      <c r="H27" s="3">
        <f t="shared" si="5"/>
        <v>2.2678151475840003</v>
      </c>
      <c r="I27" s="3">
        <v>0.69776849813803143</v>
      </c>
      <c r="J27" s="3">
        <f t="shared" si="6"/>
        <v>6.9776849813803139</v>
      </c>
      <c r="K27" s="3">
        <f t="shared" si="7"/>
        <v>697.76849813803142</v>
      </c>
      <c r="L27" s="5">
        <f t="shared" si="8"/>
        <v>18454.232870370368</v>
      </c>
      <c r="M27" s="4">
        <f t="shared" si="10"/>
        <v>3.6342109278022474</v>
      </c>
      <c r="N27" s="11">
        <f t="shared" si="11"/>
        <v>2.0839244849470605E-2</v>
      </c>
      <c r="O27" s="4">
        <f t="shared" si="12"/>
        <v>5.2098112123676512E-3</v>
      </c>
      <c r="P27" s="4">
        <f t="shared" si="13"/>
        <v>-2.213783201195859E-3</v>
      </c>
      <c r="R27" s="11">
        <v>2</v>
      </c>
      <c r="S27" s="10">
        <f t="shared" si="9"/>
        <v>31635.8024691358</v>
      </c>
      <c r="T27" s="10">
        <f t="shared" si="14"/>
        <v>2.1894656581278538E-2</v>
      </c>
      <c r="U27" s="10">
        <f t="shared" si="15"/>
        <v>5.931052519106618E-3</v>
      </c>
      <c r="V27" s="4"/>
      <c r="W27" s="8"/>
      <c r="AA27" s="12"/>
      <c r="AB27" s="12"/>
      <c r="AC27" s="12"/>
      <c r="AD27" s="12"/>
    </row>
    <row r="28" spans="1:30" ht="15.5" x14ac:dyDescent="0.35">
      <c r="A28" s="3" t="s">
        <v>49</v>
      </c>
      <c r="B28" s="3">
        <v>1750</v>
      </c>
      <c r="C28" s="3">
        <f t="shared" si="0"/>
        <v>29.166725</v>
      </c>
      <c r="D28" s="3">
        <f t="shared" si="1"/>
        <v>0.48611150000000003</v>
      </c>
      <c r="E28" s="3">
        <f t="shared" si="2"/>
        <v>4.8611150000000002E-4</v>
      </c>
      <c r="F28" s="3">
        <f t="shared" si="3"/>
        <v>0.97222300000000006</v>
      </c>
      <c r="G28" s="3">
        <f t="shared" si="4"/>
        <v>0.94521756172900007</v>
      </c>
      <c r="H28" s="3">
        <f t="shared" si="5"/>
        <v>1.8898459563200001</v>
      </c>
      <c r="I28" s="3">
        <v>0.3742929594799882</v>
      </c>
      <c r="J28" s="3">
        <f t="shared" si="6"/>
        <v>3.742929594799882</v>
      </c>
      <c r="K28" s="9">
        <f t="shared" si="7"/>
        <v>374.29295947998821</v>
      </c>
      <c r="L28" s="4">
        <f t="shared" si="8"/>
        <v>15378.527391975307</v>
      </c>
      <c r="M28" s="4">
        <f t="shared" si="10"/>
        <v>1.9494424972916051</v>
      </c>
      <c r="N28" s="11">
        <f t="shared" si="11"/>
        <v>1.6096993507652736E-2</v>
      </c>
      <c r="O28" s="4">
        <f t="shared" si="12"/>
        <v>4.0242483769131841E-3</v>
      </c>
      <c r="P28" s="4">
        <f t="shared" si="13"/>
        <v>-4.3358778201511424E-3</v>
      </c>
      <c r="R28" s="11">
        <v>2.1</v>
      </c>
      <c r="S28" s="10">
        <f t="shared" si="9"/>
        <v>33217.592592592591</v>
      </c>
      <c r="T28" s="10">
        <f t="shared" si="14"/>
        <v>2.1629217750527337E-2</v>
      </c>
      <c r="U28" s="10">
        <f t="shared" si="15"/>
        <v>5.8591476851599751E-3</v>
      </c>
      <c r="V28" s="4"/>
      <c r="W28" s="8"/>
    </row>
    <row r="29" spans="1:30" ht="15.5" x14ac:dyDescent="0.35">
      <c r="G29" s="7"/>
      <c r="V29" s="4"/>
      <c r="W29" s="8"/>
      <c r="X29" s="9" t="s">
        <v>39</v>
      </c>
    </row>
    <row r="30" spans="1:30" x14ac:dyDescent="0.35">
      <c r="G30" s="7"/>
      <c r="V30" s="4"/>
      <c r="W30" s="8"/>
    </row>
    <row r="31" spans="1:30" x14ac:dyDescent="0.35">
      <c r="G31" s="7"/>
      <c r="V31" s="4"/>
      <c r="W31" s="8"/>
    </row>
    <row r="32" spans="1:30" x14ac:dyDescent="0.35">
      <c r="G32" s="7"/>
      <c r="V32" s="4"/>
    </row>
    <row r="33" spans="7:22" x14ac:dyDescent="0.35">
      <c r="G33" s="7"/>
      <c r="V33" s="4"/>
    </row>
    <row r="34" spans="7:22" x14ac:dyDescent="0.35">
      <c r="V34" s="4"/>
    </row>
    <row r="35" spans="7:22" ht="15.5" x14ac:dyDescent="0.35">
      <c r="R35" s="4"/>
      <c r="S35" s="6"/>
      <c r="T35" s="6"/>
      <c r="U35" s="4"/>
      <c r="V35" s="4"/>
    </row>
    <row r="36" spans="7:22" ht="15.5" x14ac:dyDescent="0.35">
      <c r="R36" s="4"/>
      <c r="S36" s="6"/>
      <c r="T36" s="6"/>
      <c r="U36" s="4"/>
      <c r="V36" s="4"/>
    </row>
    <row r="37" spans="7:22" ht="15.5" x14ac:dyDescent="0.35">
      <c r="R37" s="4"/>
      <c r="S37" s="6"/>
      <c r="T37" s="6"/>
      <c r="U37" s="4"/>
      <c r="V37" s="4"/>
    </row>
    <row r="38" spans="7:22" ht="15.5" x14ac:dyDescent="0.35">
      <c r="R38" s="4"/>
      <c r="S38" s="6"/>
      <c r="T38" s="6"/>
      <c r="U38" s="4"/>
      <c r="V38" s="4"/>
    </row>
    <row r="39" spans="7:22" ht="15.5" x14ac:dyDescent="0.35">
      <c r="R39" s="4"/>
      <c r="S39" s="6"/>
      <c r="T39" s="6"/>
      <c r="U39" s="4"/>
      <c r="V39" s="4"/>
    </row>
    <row r="40" spans="7:22" ht="15.5" x14ac:dyDescent="0.35">
      <c r="R40" s="4"/>
      <c r="S40" s="6"/>
      <c r="T40" s="6"/>
    </row>
    <row r="41" spans="7:22" ht="15.5" x14ac:dyDescent="0.35">
      <c r="R41" s="4"/>
      <c r="S41" s="6"/>
      <c r="T41" s="6"/>
    </row>
    <row r="42" spans="7:22" ht="15.5" x14ac:dyDescent="0.35">
      <c r="R42" s="4"/>
      <c r="S42" s="6"/>
      <c r="T42" s="6"/>
    </row>
    <row r="43" spans="7:22" ht="15.5" x14ac:dyDescent="0.35">
      <c r="R43" s="4"/>
      <c r="S43" s="6"/>
      <c r="T43" s="6"/>
    </row>
    <row r="44" spans="7:22" ht="15.5" x14ac:dyDescent="0.35">
      <c r="R44" s="4"/>
      <c r="S44" s="6"/>
      <c r="T44" s="6"/>
    </row>
    <row r="45" spans="7:22" ht="15.5" x14ac:dyDescent="0.35">
      <c r="R45" s="4"/>
      <c r="S45" s="6"/>
      <c r="T45" s="6"/>
    </row>
    <row r="46" spans="7:22" ht="15.5" x14ac:dyDescent="0.35">
      <c r="R46" s="4"/>
      <c r="S46" s="6"/>
      <c r="T46" s="6"/>
    </row>
    <row r="47" spans="7:22" ht="15.5" x14ac:dyDescent="0.35">
      <c r="R47" s="4"/>
      <c r="S47" s="6"/>
      <c r="T47" s="6"/>
    </row>
    <row r="48" spans="7:22" ht="15.5" x14ac:dyDescent="0.35">
      <c r="R48" s="4"/>
      <c r="S48" s="6"/>
      <c r="T48" s="6"/>
    </row>
    <row r="49" spans="2:20" ht="15.5" x14ac:dyDescent="0.35">
      <c r="R49" s="4"/>
      <c r="S49" s="6"/>
      <c r="T49" s="6"/>
    </row>
    <row r="50" spans="2:20" x14ac:dyDescent="0.35">
      <c r="R50" s="4"/>
    </row>
    <row r="60" spans="2:20" x14ac:dyDescent="0.35">
      <c r="B60" s="3">
        <v>0</v>
      </c>
    </row>
  </sheetData>
  <mergeCells count="2">
    <mergeCell ref="A4:N4"/>
    <mergeCell ref="W6:X6"/>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BD65E-933A-40D8-8230-B3546789F5D4}">
  <dimension ref="A1:AD60"/>
  <sheetViews>
    <sheetView zoomScale="50" zoomScaleNormal="50" workbookViewId="0">
      <selection activeCell="N40" sqref="N40"/>
    </sheetView>
  </sheetViews>
  <sheetFormatPr defaultColWidth="8.69140625" defaultRowHeight="14.5" x14ac:dyDescent="0.35"/>
  <cols>
    <col min="1" max="1" width="8.69140625" style="3"/>
    <col min="2" max="2" width="11" style="3" customWidth="1"/>
    <col min="3" max="4" width="8.69140625" style="3"/>
    <col min="5" max="5" width="12.3046875" style="3" customWidth="1"/>
    <col min="6" max="6" width="15.69140625" style="3" bestFit="1" customWidth="1"/>
    <col min="7" max="7" width="8.53515625" style="3" customWidth="1"/>
    <col min="8" max="8" width="8.69140625" style="3"/>
    <col min="9" max="9" width="15.69140625" style="3" bestFit="1" customWidth="1"/>
    <col min="10" max="10" width="12.23046875" style="3" customWidth="1"/>
    <col min="11" max="11" width="10.4609375" style="3" customWidth="1"/>
    <col min="12" max="12" width="8.53515625" style="5" customWidth="1"/>
    <col min="13" max="13" width="6.765625" style="4" customWidth="1"/>
    <col min="14" max="14" width="8.4609375" style="4" customWidth="1"/>
    <col min="15" max="15" width="9.07421875" style="4" customWidth="1"/>
    <col min="16" max="16" width="27.23046875" style="4" customWidth="1"/>
    <col min="17" max="17" width="8.4609375" style="4" customWidth="1"/>
    <col min="18" max="18" width="10.23046875" style="3" customWidth="1"/>
    <col min="19" max="19" width="13.84375" style="3" customWidth="1"/>
    <col min="20" max="22" width="10" style="3" customWidth="1"/>
    <col min="23" max="23" width="24.69140625" style="3" customWidth="1"/>
    <col min="24" max="25" width="8.69140625" style="3"/>
    <col min="26" max="26" width="22" style="3" customWidth="1"/>
    <col min="27" max="27" width="35.84375" style="3" customWidth="1"/>
    <col min="28" max="28" width="16.84375" style="3" customWidth="1"/>
    <col min="29" max="16384" width="8.69140625" style="3"/>
  </cols>
  <sheetData>
    <row r="1" spans="1:28" x14ac:dyDescent="0.35">
      <c r="A1" s="37" t="s">
        <v>96</v>
      </c>
    </row>
    <row r="2" spans="1:28" ht="15.5" x14ac:dyDescent="0.35">
      <c r="A2" s="9"/>
      <c r="I2" s="9"/>
      <c r="J2" s="9"/>
    </row>
    <row r="3" spans="1:28" ht="15.5" x14ac:dyDescent="0.35">
      <c r="A3" s="9"/>
      <c r="I3" s="9"/>
      <c r="J3" s="9"/>
    </row>
    <row r="4" spans="1:28" x14ac:dyDescent="0.35">
      <c r="A4" s="51" t="s">
        <v>3</v>
      </c>
      <c r="B4" s="51"/>
      <c r="C4" s="51"/>
      <c r="D4" s="51"/>
      <c r="E4" s="51"/>
      <c r="F4" s="51"/>
      <c r="G4" s="51"/>
      <c r="H4" s="51"/>
      <c r="I4" s="51"/>
      <c r="J4" s="51"/>
      <c r="K4" s="51"/>
      <c r="L4" s="51"/>
      <c r="M4" s="51"/>
      <c r="N4" s="51"/>
      <c r="O4" s="42"/>
      <c r="P4" s="42"/>
      <c r="Q4" s="43"/>
    </row>
    <row r="6" spans="1:28" ht="15.5" x14ac:dyDescent="0.35">
      <c r="A6" s="29"/>
      <c r="B6" s="27" t="s">
        <v>4</v>
      </c>
      <c r="C6" s="27" t="s">
        <v>5</v>
      </c>
      <c r="D6" s="28" t="s">
        <v>6</v>
      </c>
      <c r="E6" s="28" t="s">
        <v>93</v>
      </c>
      <c r="F6" s="28" t="s">
        <v>7</v>
      </c>
      <c r="G6" s="28" t="s">
        <v>92</v>
      </c>
      <c r="H6" s="28" t="s">
        <v>8</v>
      </c>
      <c r="I6" s="27" t="s">
        <v>91</v>
      </c>
      <c r="J6" s="27" t="s">
        <v>90</v>
      </c>
      <c r="K6" s="27" t="s">
        <v>9</v>
      </c>
      <c r="L6" s="26" t="s">
        <v>10</v>
      </c>
      <c r="M6" s="25" t="s">
        <v>89</v>
      </c>
      <c r="N6" s="24" t="s">
        <v>11</v>
      </c>
      <c r="O6" s="11" t="s">
        <v>88</v>
      </c>
      <c r="P6" s="11" t="s">
        <v>12</v>
      </c>
      <c r="Q6" s="11"/>
      <c r="R6" s="23" t="s">
        <v>13</v>
      </c>
      <c r="S6" s="6" t="s">
        <v>10</v>
      </c>
      <c r="T6" s="23" t="s">
        <v>14</v>
      </c>
      <c r="U6" s="6" t="s">
        <v>15</v>
      </c>
      <c r="V6" s="9"/>
      <c r="W6" s="52" t="s">
        <v>16</v>
      </c>
      <c r="X6" s="52"/>
    </row>
    <row r="7" spans="1:28" ht="15.5" x14ac:dyDescent="0.35">
      <c r="A7" s="22" t="s">
        <v>17</v>
      </c>
      <c r="B7" s="3" t="e">
        <f>AVERAGE('smoothPVC (2)'!B7,'smoothPVC (3)'!B7)</f>
        <v>#DIV/0!</v>
      </c>
      <c r="C7" s="3">
        <f>AVERAGE('smoothPVC (2)'!C7,'smoothPVC (3)'!C7)</f>
        <v>0</v>
      </c>
      <c r="D7" s="3">
        <f>AVERAGE('smoothPVC (2)'!D7,'smoothPVC (3)'!D7)</f>
        <v>0</v>
      </c>
      <c r="E7" s="3">
        <f>AVERAGE('smoothPVC (2)'!E7,'smoothPVC (3)'!E7)</f>
        <v>0</v>
      </c>
      <c r="F7" s="3">
        <f>AVERAGE('smoothPVC (2)'!F7,'smoothPVC (3)'!F7)</f>
        <v>0</v>
      </c>
      <c r="G7" s="3">
        <f>AVERAGE('smoothPVC (2)'!G7,'smoothPVC (3)'!G7)</f>
        <v>0</v>
      </c>
      <c r="H7" s="3">
        <f>AVERAGE('smoothPVC (2)'!H7,'smoothPVC (3)'!H7)</f>
        <v>0</v>
      </c>
      <c r="I7" s="3" t="e">
        <f>AVERAGE('smoothPVC (2)'!I7,'smoothPVC (3)'!I7)</f>
        <v>#DIV/0!</v>
      </c>
      <c r="J7" s="3">
        <f>AVERAGE('smoothPVC (2)'!J7,'smoothPVC (3)'!J7)</f>
        <v>0</v>
      </c>
      <c r="K7" s="3">
        <f>AVERAGE('smoothPVC (2)'!K7,'smoothPVC (3)'!K7)</f>
        <v>0</v>
      </c>
      <c r="L7" s="3">
        <f>AVERAGE('smoothPVC (2)'!L7,'smoothPVC (3)'!L7)</f>
        <v>0</v>
      </c>
      <c r="M7" s="3" t="e">
        <f>AVERAGE('smoothPVC (2)'!M7,'smoothPVC (3)'!M7)</f>
        <v>#DIV/0!</v>
      </c>
      <c r="N7" s="3" t="e">
        <f>AVERAGE('smoothPVC (2)'!N7,'smoothPVC (3)'!N7)</f>
        <v>#DIV/0!</v>
      </c>
      <c r="O7" s="3" t="e">
        <f>AVERAGE('smoothPVC (2)'!O7,'smoothPVC (3)'!O7)</f>
        <v>#DIV/0!</v>
      </c>
      <c r="P7" s="3" t="e">
        <f>AVERAGE('smoothPVC (2)'!P7,'smoothPVC (3)'!P7)</f>
        <v>#DIV/0!</v>
      </c>
      <c r="R7" s="11">
        <v>0</v>
      </c>
      <c r="S7" s="10">
        <f t="shared" ref="S7:S28" si="0">(R7*X$12)/X$13</f>
        <v>0</v>
      </c>
      <c r="T7" s="10"/>
      <c r="U7" s="10"/>
    </row>
    <row r="8" spans="1:28" ht="15.5" x14ac:dyDescent="0.35">
      <c r="A8" s="3" t="s">
        <v>40</v>
      </c>
      <c r="B8" s="3">
        <f>AVERAGE('smoothPVC (2)'!B8,'smoothPVC (3)'!B8)</f>
        <v>1650</v>
      </c>
      <c r="C8" s="3">
        <f>AVERAGE('smoothPVC (2)'!C8,'smoothPVC (3)'!C8)</f>
        <v>27.500054999999996</v>
      </c>
      <c r="D8" s="3">
        <f>AVERAGE('smoothPVC (2)'!D8,'smoothPVC (3)'!D8)</f>
        <v>0.45833370000000001</v>
      </c>
      <c r="E8" s="3">
        <f>AVERAGE('smoothPVC (2)'!E8,'smoothPVC (3)'!E8)</f>
        <v>4.5833370000000003E-4</v>
      </c>
      <c r="F8" s="3">
        <f>AVERAGE('smoothPVC (2)'!F8,'smoothPVC (3)'!F8)</f>
        <v>0.91666740000000002</v>
      </c>
      <c r="G8" s="3">
        <f>AVERAGE('smoothPVC (2)'!G8,'smoothPVC (3)'!G8)</f>
        <v>0.84722357777832003</v>
      </c>
      <c r="H8" s="3">
        <f>AVERAGE('smoothPVC (2)'!H8,'smoothPVC (3)'!H8)</f>
        <v>1.7818547588160001</v>
      </c>
      <c r="I8" s="3">
        <f>AVERAGE('smoothPVC (2)'!I8,'smoothPVC (3)'!I8)</f>
        <v>0.55014212745473723</v>
      </c>
      <c r="J8" s="3">
        <f>AVERAGE('smoothPVC (2)'!J8,'smoothPVC (3)'!J8)</f>
        <v>5.5014212745473721</v>
      </c>
      <c r="K8" s="3">
        <f>AVERAGE('smoothPVC (2)'!K8,'smoothPVC (3)'!K8)</f>
        <v>550.14212745473731</v>
      </c>
      <c r="L8" s="3">
        <f>AVERAGE('smoothPVC (2)'!L8,'smoothPVC (3)'!L8)</f>
        <v>14499.754398148147</v>
      </c>
      <c r="M8" s="3">
        <f>AVERAGE('smoothPVC (2)'!M8,'smoothPVC (3)'!M8)</f>
        <v>2.8653235804934232</v>
      </c>
      <c r="N8" s="3">
        <f>AVERAGE('smoothPVC (2)'!N8,'smoothPVC (3)'!N8)</f>
        <v>2.5942382462978582E-2</v>
      </c>
      <c r="O8" s="3">
        <f>AVERAGE('smoothPVC (2)'!O8,'smoothPVC (3)'!O8)</f>
        <v>6.4855956157446456E-3</v>
      </c>
      <c r="P8" s="3">
        <f>AVERAGE('smoothPVC (2)'!P8,'smoothPVC (3)'!P8)</f>
        <v>-1.0304422858141754E-3</v>
      </c>
      <c r="R8" s="11">
        <v>0.1</v>
      </c>
      <c r="S8" s="10">
        <f t="shared" si="0"/>
        <v>1581.7901234567901</v>
      </c>
      <c r="T8" s="10">
        <f t="shared" ref="T8:T28" si="1">0.292/(S8^(0.25))</f>
        <v>4.6301561383887517E-2</v>
      </c>
      <c r="U8" s="10">
        <f>0.0791/(S8^0.25)</f>
        <v>1.2542648991320215E-2</v>
      </c>
      <c r="V8" s="17"/>
      <c r="W8" s="9" t="s">
        <v>18</v>
      </c>
      <c r="X8" s="3">
        <f>X$10*X$11</f>
        <v>5.0000000000000001E-4</v>
      </c>
    </row>
    <row r="9" spans="1:28" s="44" customFormat="1" ht="15.5" x14ac:dyDescent="0.35">
      <c r="A9" s="44" t="s">
        <v>87</v>
      </c>
      <c r="B9" s="44">
        <f>AVERAGE('smoothPVC (2)'!B9,'smoothPVC (3)'!B9)</f>
        <v>2050</v>
      </c>
      <c r="C9" s="44">
        <f>AVERAGE('smoothPVC (2)'!C9,'smoothPVC (3)'!C9)</f>
        <v>34.166735000000003</v>
      </c>
      <c r="D9" s="44">
        <f>AVERAGE('smoothPVC (2)'!D9,'smoothPVC (3)'!D9)</f>
        <v>0.56944490000000003</v>
      </c>
      <c r="E9" s="44">
        <f>AVERAGE('smoothPVC (2)'!E9,'smoothPVC (3)'!E9)</f>
        <v>5.6944489999999999E-4</v>
      </c>
      <c r="F9" s="44">
        <f>AVERAGE('smoothPVC (2)'!F9,'smoothPVC (3)'!F9)</f>
        <v>1.1388898000000001</v>
      </c>
      <c r="G9" s="44">
        <f>AVERAGE('smoothPVC (2)'!G9,'smoothPVC (3)'!G9)</f>
        <v>1.3001564012354001</v>
      </c>
      <c r="H9" s="44">
        <f>AVERAGE('smoothPVC (2)'!H9,'smoothPVC (3)'!H9)</f>
        <v>2.2138195488320003</v>
      </c>
      <c r="I9" s="44">
        <f>AVERAGE('smoothPVC (2)'!I9,'smoothPVC (3)'!I9)</f>
        <v>0.87174089066457972</v>
      </c>
      <c r="J9" s="44">
        <f>AVERAGE('smoothPVC (2)'!J9,'smoothPVC (3)'!J9)</f>
        <v>8.7174089066457974</v>
      </c>
      <c r="K9" s="44">
        <f>AVERAGE('smoothPVC (2)'!K9,'smoothPVC (3)'!K9)</f>
        <v>871.74089066457975</v>
      </c>
      <c r="L9" s="44">
        <f>AVERAGE('smoothPVC (2)'!L9,'smoothPVC (3)'!L9)</f>
        <v>18014.846373456792</v>
      </c>
      <c r="M9" s="44">
        <f>AVERAGE('smoothPVC (2)'!M9,'smoothPVC (3)'!M9)</f>
        <v>4.5403171388780192</v>
      </c>
      <c r="N9" s="44">
        <f>AVERAGE('smoothPVC (2)'!N9,'smoothPVC (3)'!N9)</f>
        <v>2.7051898759980701E-2</v>
      </c>
      <c r="O9" s="44">
        <f>AVERAGE('smoothPVC (2)'!O9,'smoothPVC (3)'!O9)</f>
        <v>6.7629746899951753E-3</v>
      </c>
      <c r="P9" s="44">
        <f>AVERAGE('smoothPVC (2)'!P9,'smoothPVC (3)'!P9)</f>
        <v>2.9037359707790092E-4</v>
      </c>
      <c r="Q9" s="45"/>
      <c r="R9" s="23">
        <v>0.2</v>
      </c>
      <c r="S9" s="6">
        <f t="shared" si="0"/>
        <v>3163.5802469135801</v>
      </c>
      <c r="T9" s="6">
        <f t="shared" si="1"/>
        <v>3.8934816988360828E-2</v>
      </c>
      <c r="U9" s="6">
        <f t="shared" ref="U9:U28" si="2">0.0791/(S9^0.25)</f>
        <v>1.0547068574586788E-2</v>
      </c>
      <c r="V9" s="17"/>
      <c r="W9" s="44" t="s">
        <v>19</v>
      </c>
    </row>
    <row r="10" spans="1:28" ht="15.5" x14ac:dyDescent="0.35">
      <c r="A10" s="3" t="s">
        <v>41</v>
      </c>
      <c r="B10" s="3">
        <f>AVERAGE('smoothPVC (2)'!B10,'smoothPVC (3)'!B10)</f>
        <v>2525</v>
      </c>
      <c r="C10" s="3">
        <f>AVERAGE('smoothPVC (2)'!C10,'smoothPVC (3)'!C10)</f>
        <v>42.083417499999996</v>
      </c>
      <c r="D10" s="3">
        <f>AVERAGE('smoothPVC (2)'!D10,'smoothPVC (3)'!D10)</f>
        <v>0.70138944999999997</v>
      </c>
      <c r="E10" s="3">
        <f>AVERAGE('smoothPVC (2)'!E10,'smoothPVC (3)'!E10)</f>
        <v>7.0138945000000012E-4</v>
      </c>
      <c r="F10" s="3">
        <f>AVERAGE('smoothPVC (2)'!F10,'smoothPVC (3)'!F10)</f>
        <v>1.4027788999999999</v>
      </c>
      <c r="G10" s="3">
        <f>AVERAGE('smoothPVC (2)'!G10,'smoothPVC (3)'!G10)</f>
        <v>1.9679815438284203</v>
      </c>
      <c r="H10" s="3">
        <f>AVERAGE('smoothPVC (2)'!H10,'smoothPVC (3)'!H10)</f>
        <v>2.726777736976</v>
      </c>
      <c r="I10" s="3">
        <f>AVERAGE('smoothPVC (2)'!I10,'smoothPVC (3)'!I10)</f>
        <v>1.3339112695181794</v>
      </c>
      <c r="J10" s="3">
        <f>AVERAGE('smoothPVC (2)'!J10,'smoothPVC (3)'!J10)</f>
        <v>13.339112695181793</v>
      </c>
      <c r="K10" s="3">
        <f>AVERAGE('smoothPVC (2)'!K10,'smoothPVC (3)'!K10)</f>
        <v>1333.9112695181793</v>
      </c>
      <c r="L10" s="3">
        <f>AVERAGE('smoothPVC (2)'!L10,'smoothPVC (3)'!L10)</f>
        <v>22189.018094135798</v>
      </c>
      <c r="M10" s="3">
        <f>AVERAGE('smoothPVC (2)'!M10,'smoothPVC (3)'!M10)</f>
        <v>6.9474545287405167</v>
      </c>
      <c r="N10" s="3">
        <f>AVERAGE('smoothPVC (2)'!N10,'smoothPVC (3)'!N10)</f>
        <v>2.7534621705906877E-2</v>
      </c>
      <c r="O10" s="3">
        <f>AVERAGE('smoothPVC (2)'!O10,'smoothPVC (3)'!O10)</f>
        <v>6.8836554264767192E-3</v>
      </c>
      <c r="P10" s="3">
        <f>AVERAGE('smoothPVC (2)'!P10,'smoothPVC (3)'!P10)</f>
        <v>1.0791358625068628E-3</v>
      </c>
      <c r="R10" s="11">
        <v>0.3</v>
      </c>
      <c r="S10" s="10">
        <f t="shared" si="0"/>
        <v>4745.3703703703704</v>
      </c>
      <c r="T10" s="10">
        <f t="shared" si="1"/>
        <v>3.5181578640865456E-2</v>
      </c>
      <c r="U10" s="10">
        <f t="shared" si="2"/>
        <v>9.5303522962070491E-3</v>
      </c>
      <c r="V10" s="17"/>
      <c r="W10" s="9" t="s">
        <v>20</v>
      </c>
      <c r="X10" s="7">
        <v>0.05</v>
      </c>
      <c r="AA10" s="20" t="s">
        <v>73</v>
      </c>
    </row>
    <row r="11" spans="1:28" ht="15.5" x14ac:dyDescent="0.35">
      <c r="A11" s="3" t="s">
        <v>86</v>
      </c>
      <c r="B11" s="3">
        <f>AVERAGE('smoothPVC (2)'!B11,'smoothPVC (3)'!B11)</f>
        <v>2950</v>
      </c>
      <c r="C11" s="3">
        <f>AVERAGE('smoothPVC (2)'!C11,'smoothPVC (3)'!C11)</f>
        <v>49.166764999999998</v>
      </c>
      <c r="D11" s="3">
        <f>AVERAGE('smoothPVC (2)'!D11,'smoothPVC (3)'!D11)</f>
        <v>0.81944510000000004</v>
      </c>
      <c r="E11" s="3">
        <f>AVERAGE('smoothPVC (2)'!E11,'smoothPVC (3)'!E11)</f>
        <v>8.1944510000000006E-4</v>
      </c>
      <c r="F11" s="3">
        <f>AVERAGE('smoothPVC (2)'!F11,'smoothPVC (3)'!F11)</f>
        <v>1.6388902000000001</v>
      </c>
      <c r="G11" s="3">
        <f>AVERAGE('smoothPVC (2)'!G11,'smoothPVC (3)'!G11)</f>
        <v>2.6867326938288802</v>
      </c>
      <c r="H11" s="3">
        <f>AVERAGE('smoothPVC (2)'!H11,'smoothPVC (3)'!H11)</f>
        <v>3.1857403263680002</v>
      </c>
      <c r="I11" s="3">
        <f>AVERAGE('smoothPVC (2)'!I11,'smoothPVC (3)'!I11)</f>
        <v>1.7403205959396444</v>
      </c>
      <c r="J11" s="3">
        <f>AVERAGE('smoothPVC (2)'!J11,'smoothPVC (3)'!J11)</f>
        <v>17.403205959396445</v>
      </c>
      <c r="K11" s="3">
        <f>AVERAGE('smoothPVC (2)'!K11,'smoothPVC (3)'!K11)</f>
        <v>1740.3205959396441</v>
      </c>
      <c r="L11" s="3">
        <f>AVERAGE('smoothPVC (2)'!L11,'smoothPVC (3)'!L11)</f>
        <v>25923.803317901235</v>
      </c>
      <c r="M11" s="3">
        <f>AVERAGE('smoothPVC (2)'!M11,'smoothPVC (3)'!M11)</f>
        <v>9.0641697705189799</v>
      </c>
      <c r="N11" s="3">
        <f>AVERAGE('smoothPVC (2)'!N11,'smoothPVC (3)'!N11)</f>
        <v>2.6339938847953534E-2</v>
      </c>
      <c r="O11" s="3">
        <f>AVERAGE('smoothPVC (2)'!O11,'smoothPVC (3)'!O11)</f>
        <v>6.5849847119883835E-3</v>
      </c>
      <c r="P11" s="3">
        <f>AVERAGE('smoothPVC (2)'!P11,'smoothPVC (3)'!P11)</f>
        <v>8.6511860906602787E-4</v>
      </c>
      <c r="R11" s="11">
        <v>0.4</v>
      </c>
      <c r="S11" s="10">
        <f t="shared" si="0"/>
        <v>6327.1604938271603</v>
      </c>
      <c r="T11" s="10">
        <f t="shared" si="1"/>
        <v>3.2740148034072047E-2</v>
      </c>
      <c r="U11" s="10">
        <f t="shared" si="2"/>
        <v>8.8689921558051353E-3</v>
      </c>
      <c r="V11" s="17"/>
      <c r="W11" s="9" t="s">
        <v>21</v>
      </c>
      <c r="X11" s="7">
        <v>0.01</v>
      </c>
      <c r="AA11" s="21" t="s">
        <v>74</v>
      </c>
      <c r="AB11" s="3" t="s">
        <v>22</v>
      </c>
    </row>
    <row r="12" spans="1:28" ht="15.5" x14ac:dyDescent="0.35">
      <c r="A12" s="3" t="s">
        <v>42</v>
      </c>
      <c r="B12" s="3">
        <f>AVERAGE('smoothPVC (2)'!B12,'smoothPVC (3)'!B12)</f>
        <v>3300</v>
      </c>
      <c r="C12" s="3">
        <f>AVERAGE('smoothPVC (2)'!C12,'smoothPVC (3)'!C12)</f>
        <v>55.000109999999999</v>
      </c>
      <c r="D12" s="3">
        <f>AVERAGE('smoothPVC (2)'!D12,'smoothPVC (3)'!D12)</f>
        <v>0.91666740000000002</v>
      </c>
      <c r="E12" s="3">
        <f>AVERAGE('smoothPVC (2)'!E12,'smoothPVC (3)'!E12)</f>
        <v>9.1666740000000005E-4</v>
      </c>
      <c r="F12" s="3">
        <f>AVERAGE('smoothPVC (2)'!F12,'smoothPVC (3)'!F12)</f>
        <v>1.8333348</v>
      </c>
      <c r="G12" s="3">
        <f>AVERAGE('smoothPVC (2)'!G12,'smoothPVC (3)'!G12)</f>
        <v>3.3618880950638799</v>
      </c>
      <c r="H12" s="3">
        <f>AVERAGE('smoothPVC (2)'!H12,'smoothPVC (3)'!H12)</f>
        <v>3.5637095176320002</v>
      </c>
      <c r="I12" s="3">
        <f>AVERAGE('smoothPVC (2)'!I12,'smoothPVC (3)'!I12)</f>
        <v>2.1704798489847428</v>
      </c>
      <c r="J12" s="3">
        <f>AVERAGE('smoothPVC (2)'!J12,'smoothPVC (3)'!J12)</f>
        <v>21.704798489847427</v>
      </c>
      <c r="K12" s="3">
        <f>AVERAGE('smoothPVC (2)'!K12,'smoothPVC (3)'!K12)</f>
        <v>2170.4798489847426</v>
      </c>
      <c r="L12" s="3">
        <f>AVERAGE('smoothPVC (2)'!L12,'smoothPVC (3)'!L12)</f>
        <v>28999.508796296293</v>
      </c>
      <c r="M12" s="3">
        <f>AVERAGE('smoothPVC (2)'!M12,'smoothPVC (3)'!M12)</f>
        <v>11.304582546795535</v>
      </c>
      <c r="N12" s="3">
        <f>AVERAGE('smoothPVC (2)'!N12,'smoothPVC (3)'!N12)</f>
        <v>2.6245104382628677E-2</v>
      </c>
      <c r="O12" s="3">
        <f>AVERAGE('smoothPVC (2)'!O12,'smoothPVC (3)'!O12)</f>
        <v>6.5612760956571693E-3</v>
      </c>
      <c r="P12" s="3">
        <f>AVERAGE('smoothPVC (2)'!P12,'smoothPVC (3)'!P12)</f>
        <v>1.0555969799137192E-3</v>
      </c>
      <c r="R12" s="11">
        <v>0.5</v>
      </c>
      <c r="S12" s="10">
        <f t="shared" si="0"/>
        <v>7908.9506172839501</v>
      </c>
      <c r="T12" s="10">
        <f t="shared" si="1"/>
        <v>3.0963720280745455E-2</v>
      </c>
      <c r="U12" s="10">
        <f t="shared" si="2"/>
        <v>8.3877749116676916E-3</v>
      </c>
      <c r="V12" s="17"/>
      <c r="W12" s="9" t="s">
        <v>71</v>
      </c>
      <c r="X12" s="4">
        <f>2*(X10*X11)/(X10+X11)</f>
        <v>1.6666666666666666E-2</v>
      </c>
      <c r="Y12" s="9">
        <f>10*X12*100</f>
        <v>16.666666666666664</v>
      </c>
      <c r="AA12" s="20" t="s">
        <v>75</v>
      </c>
      <c r="AB12" s="3" t="s">
        <v>23</v>
      </c>
    </row>
    <row r="13" spans="1:28" ht="15.5" x14ac:dyDescent="0.35">
      <c r="A13" s="3" t="s">
        <v>85</v>
      </c>
      <c r="B13" s="3">
        <f>AVERAGE('smoothPVC (2)'!B13,'smoothPVC (3)'!B13)</f>
        <v>3725</v>
      </c>
      <c r="C13" s="3">
        <f>AVERAGE('smoothPVC (2)'!C13,'smoothPVC (3)'!C13)</f>
        <v>62.083457499999994</v>
      </c>
      <c r="D13" s="3">
        <f>AVERAGE('smoothPVC (2)'!D13,'smoothPVC (3)'!D13)</f>
        <v>1.03472305</v>
      </c>
      <c r="E13" s="3">
        <f>AVERAGE('smoothPVC (2)'!E13,'smoothPVC (3)'!E13)</f>
        <v>1.03472305E-3</v>
      </c>
      <c r="F13" s="3">
        <f>AVERAGE('smoothPVC (2)'!F13,'smoothPVC (3)'!F13)</f>
        <v>2.0694461</v>
      </c>
      <c r="G13" s="3">
        <f>AVERAGE('smoothPVC (2)'!G13,'smoothPVC (3)'!G13)</f>
        <v>4.2828000623484197</v>
      </c>
      <c r="H13" s="3">
        <f>AVERAGE('smoothPVC (2)'!H13,'smoothPVC (3)'!H13)</f>
        <v>4.0226721070240004</v>
      </c>
      <c r="I13" s="3">
        <f>AVERAGE('smoothPVC (2)'!I13,'smoothPVC (3)'!I13)</f>
        <v>2.719313207219594</v>
      </c>
      <c r="J13" s="3">
        <f>AVERAGE('smoothPVC (2)'!J13,'smoothPVC (3)'!J13)</f>
        <v>27.193132072195944</v>
      </c>
      <c r="K13" s="3">
        <f>AVERAGE('smoothPVC (2)'!K13,'smoothPVC (3)'!K13)</f>
        <v>2719.3132072195945</v>
      </c>
      <c r="L13" s="3">
        <f>AVERAGE('smoothPVC (2)'!L13,'smoothPVC (3)'!L13)</f>
        <v>32734.294020061723</v>
      </c>
      <c r="M13" s="3">
        <f>AVERAGE('smoothPVC (2)'!M13,'smoothPVC (3)'!M13)</f>
        <v>14.16308962093539</v>
      </c>
      <c r="N13" s="3">
        <f>AVERAGE('smoothPVC (2)'!N13,'smoothPVC (3)'!N13)</f>
        <v>2.5813573025141041E-2</v>
      </c>
      <c r="O13" s="3">
        <f>AVERAGE('smoothPVC (2)'!O13,'smoothPVC (3)'!O13)</f>
        <v>6.4533932562852604E-3</v>
      </c>
      <c r="P13" s="3">
        <f>AVERAGE('smoothPVC (2)'!P13,'smoothPVC (3)'!P13)</f>
        <v>1.0935533213770453E-3</v>
      </c>
      <c r="R13" s="11">
        <v>0.6</v>
      </c>
      <c r="S13" s="10">
        <f t="shared" si="0"/>
        <v>9490.7407407407409</v>
      </c>
      <c r="T13" s="10">
        <f t="shared" si="1"/>
        <v>2.9584063362070416E-2</v>
      </c>
      <c r="U13" s="10">
        <f t="shared" si="2"/>
        <v>8.0140390819855144E-3</v>
      </c>
      <c r="V13" s="17"/>
      <c r="W13" s="9" t="s">
        <v>72</v>
      </c>
      <c r="X13" s="8">
        <f>X$17/X$16</f>
        <v>1.053658536585366E-6</v>
      </c>
    </row>
    <row r="14" spans="1:28" s="44" customFormat="1" ht="15.5" x14ac:dyDescent="0.35">
      <c r="A14" s="44" t="s">
        <v>43</v>
      </c>
      <c r="B14" s="44">
        <f>AVERAGE('smoothPVC (2)'!B14,'smoothPVC (3)'!B14)</f>
        <v>4125</v>
      </c>
      <c r="C14" s="44">
        <f>AVERAGE('smoothPVC (2)'!C14,'smoothPVC (3)'!C14)</f>
        <v>68.750137499999994</v>
      </c>
      <c r="D14" s="44">
        <f>AVERAGE('smoothPVC (2)'!D14,'smoothPVC (3)'!D14)</f>
        <v>1.1458342500000001</v>
      </c>
      <c r="E14" s="44">
        <f>AVERAGE('smoothPVC (2)'!E14,'smoothPVC (3)'!E14)</f>
        <v>1.1458342500000002E-3</v>
      </c>
      <c r="F14" s="44">
        <f>AVERAGE('smoothPVC (2)'!F14,'smoothPVC (3)'!F14)</f>
        <v>2.2916685000000001</v>
      </c>
      <c r="G14" s="44">
        <f>AVERAGE('smoothPVC (2)'!G14,'smoothPVC (3)'!G14)</f>
        <v>5.2519374154354601</v>
      </c>
      <c r="H14" s="44">
        <f>AVERAGE('smoothPVC (2)'!H14,'smoothPVC (3)'!H14)</f>
        <v>4.4546368970400003</v>
      </c>
      <c r="I14" s="44">
        <f>AVERAGE('smoothPVC (2)'!I14,'smoothPVC (3)'!I14)</f>
        <v>3.2679717876193957</v>
      </c>
      <c r="J14" s="44">
        <f>AVERAGE('smoothPVC (2)'!J14,'smoothPVC (3)'!J14)</f>
        <v>32.679717876193962</v>
      </c>
      <c r="K14" s="44">
        <f>AVERAGE('smoothPVC (2)'!K14,'smoothPVC (3)'!K14)</f>
        <v>3267.9717876193959</v>
      </c>
      <c r="L14" s="44">
        <f>AVERAGE('smoothPVC (2)'!L14,'smoothPVC (3)'!L14)</f>
        <v>36249.385995370365</v>
      </c>
      <c r="M14" s="44">
        <f>AVERAGE('smoothPVC (2)'!M14,'smoothPVC (3)'!M14)</f>
        <v>17.020686393851022</v>
      </c>
      <c r="N14" s="44">
        <f>AVERAGE('smoothPVC (2)'!N14,'smoothPVC (3)'!N14)</f>
        <v>2.5294286181634922E-2</v>
      </c>
      <c r="O14" s="44">
        <f>AVERAGE('smoothPVC (2)'!O14,'smoothPVC (3)'!O14)</f>
        <v>6.3235715454087304E-3</v>
      </c>
      <c r="P14" s="44">
        <f>AVERAGE('smoothPVC (2)'!P14,'smoothPVC (3)'!P14)</f>
        <v>1.0459491259762026E-3</v>
      </c>
      <c r="Q14" s="45"/>
      <c r="R14" s="23">
        <v>0.7</v>
      </c>
      <c r="S14" s="6">
        <f t="shared" si="0"/>
        <v>11072.530864197528</v>
      </c>
      <c r="T14" s="6">
        <f t="shared" si="1"/>
        <v>2.8465651401959793E-2</v>
      </c>
      <c r="U14" s="6">
        <f t="shared" si="2"/>
        <v>7.7110720064897942E-3</v>
      </c>
      <c r="V14" s="17"/>
      <c r="W14" s="46" t="s">
        <v>24</v>
      </c>
      <c r="X14" s="44">
        <v>0.8</v>
      </c>
      <c r="AA14" s="47" t="s">
        <v>76</v>
      </c>
      <c r="AB14" s="46" t="s">
        <v>25</v>
      </c>
    </row>
    <row r="15" spans="1:28" ht="15.5" x14ac:dyDescent="0.35">
      <c r="A15" s="3" t="s">
        <v>84</v>
      </c>
      <c r="B15" s="3">
        <f>AVERAGE('smoothPVC (2)'!B15,'smoothPVC (3)'!B15)</f>
        <v>4500</v>
      </c>
      <c r="C15" s="3">
        <f>AVERAGE('smoothPVC (2)'!C15,'smoothPVC (3)'!C15)</f>
        <v>75.000150000000005</v>
      </c>
      <c r="D15" s="3">
        <f>AVERAGE('smoothPVC (2)'!D15,'smoothPVC (3)'!D15)</f>
        <v>1.2500010000000001</v>
      </c>
      <c r="E15" s="3">
        <f>AVERAGE('smoothPVC (2)'!E15,'smoothPVC (3)'!E15)</f>
        <v>1.2500010000000002E-3</v>
      </c>
      <c r="F15" s="3">
        <f>AVERAGE('smoothPVC (2)'!F15,'smoothPVC (3)'!F15)</f>
        <v>2.5000020000000003</v>
      </c>
      <c r="G15" s="3">
        <f>AVERAGE('smoothPVC (2)'!G15,'smoothPVC (3)'!G15)</f>
        <v>6.2500100000040018</v>
      </c>
      <c r="H15" s="3">
        <f>AVERAGE('smoothPVC (2)'!H15,'smoothPVC (3)'!H15)</f>
        <v>4.8596038876800005</v>
      </c>
      <c r="I15" s="3">
        <f>AVERAGE('smoothPVC (2)'!I15,'smoothPVC (3)'!I15)</f>
        <v>3.9359794848699585</v>
      </c>
      <c r="J15" s="3">
        <f>AVERAGE('smoothPVC (2)'!J15,'smoothPVC (3)'!J15)</f>
        <v>39.359794848699579</v>
      </c>
      <c r="K15" s="3">
        <f>AVERAGE('smoothPVC (2)'!K15,'smoothPVC (3)'!K15)</f>
        <v>3935.9794848699585</v>
      </c>
      <c r="L15" s="3">
        <f>AVERAGE('smoothPVC (2)'!L15,'smoothPVC (3)'!L15)</f>
        <v>39544.784722222219</v>
      </c>
      <c r="M15" s="3">
        <f>AVERAGE('smoothPVC (2)'!M15,'smoothPVC (3)'!M15)</f>
        <v>20.499893150364365</v>
      </c>
      <c r="N15" s="3">
        <f>AVERAGE('smoothPVC (2)'!N15,'smoothPVC (3)'!N15)</f>
        <v>2.5599825608522524E-2</v>
      </c>
      <c r="O15" s="3">
        <f>AVERAGE('smoothPVC (2)'!O15,'smoothPVC (3)'!O15)</f>
        <v>6.3999564021306309E-3</v>
      </c>
      <c r="P15" s="3">
        <f>AVERAGE('smoothPVC (2)'!P15,'smoothPVC (3)'!P15)</f>
        <v>1.3093300677406436E-3</v>
      </c>
      <c r="R15" s="11">
        <v>0.8</v>
      </c>
      <c r="S15" s="10">
        <f t="shared" si="0"/>
        <v>12654.320987654321</v>
      </c>
      <c r="T15" s="10">
        <f t="shared" si="1"/>
        <v>2.7531073116727131E-2</v>
      </c>
      <c r="U15" s="10">
        <f t="shared" si="2"/>
        <v>7.4579037107298501E-3</v>
      </c>
      <c r="V15" s="17"/>
    </row>
    <row r="16" spans="1:28" ht="15.5" x14ac:dyDescent="0.35">
      <c r="A16" s="3" t="s">
        <v>44</v>
      </c>
      <c r="B16" s="3">
        <f>AVERAGE('smoothPVC (2)'!B16,'smoothPVC (3)'!B16)</f>
        <v>4875</v>
      </c>
      <c r="C16" s="3">
        <f>AVERAGE('smoothPVC (2)'!C16,'smoothPVC (3)'!C16)</f>
        <v>81.250162500000002</v>
      </c>
      <c r="D16" s="3">
        <f>AVERAGE('smoothPVC (2)'!D16,'smoothPVC (3)'!D16)</f>
        <v>1.35416775</v>
      </c>
      <c r="E16" s="3">
        <f>AVERAGE('smoothPVC (2)'!E16,'smoothPVC (3)'!E16)</f>
        <v>1.3541677500000001E-3</v>
      </c>
      <c r="F16" s="3">
        <f>AVERAGE('smoothPVC (2)'!F16,'smoothPVC (3)'!F16)</f>
        <v>2.7083355</v>
      </c>
      <c r="G16" s="3">
        <f>AVERAGE('smoothPVC (2)'!G16,'smoothPVC (3)'!G16)</f>
        <v>7.3352740821034601</v>
      </c>
      <c r="H16" s="3">
        <f>AVERAGE('smoothPVC (2)'!H16,'smoothPVC (3)'!H16)</f>
        <v>5.2645708783199998</v>
      </c>
      <c r="I16" s="3">
        <f>AVERAGE('smoothPVC (2)'!I16,'smoothPVC (3)'!I16)</f>
        <v>4.5630676454939092</v>
      </c>
      <c r="J16" s="3">
        <f>AVERAGE('smoothPVC (2)'!J16,'smoothPVC (3)'!J16)</f>
        <v>45.630676454939092</v>
      </c>
      <c r="K16" s="3">
        <f>AVERAGE('smoothPVC (2)'!K16,'smoothPVC (3)'!K16)</f>
        <v>4563.0676454939094</v>
      </c>
      <c r="L16" s="3">
        <f>AVERAGE('smoothPVC (2)'!L16,'smoothPVC (3)'!L16)</f>
        <v>42840.183449074073</v>
      </c>
      <c r="M16" s="3">
        <f>AVERAGE('smoothPVC (2)'!M16,'smoothPVC (3)'!M16)</f>
        <v>23.765977320280783</v>
      </c>
      <c r="N16" s="3">
        <f>AVERAGE('smoothPVC (2)'!N16,'smoothPVC (3)'!N16)</f>
        <v>2.528879938212255E-2</v>
      </c>
      <c r="O16" s="3">
        <f>AVERAGE('smoothPVC (2)'!O16,'smoothPVC (3)'!O16)</f>
        <v>6.3221998455306374E-3</v>
      </c>
      <c r="P16" s="3">
        <f>AVERAGE('smoothPVC (2)'!P16,'smoothPVC (3)'!P16)</f>
        <v>1.2918379803372915E-3</v>
      </c>
      <c r="Q16" s="16"/>
      <c r="R16" s="11">
        <v>0.9</v>
      </c>
      <c r="S16" s="10">
        <f t="shared" si="0"/>
        <v>14236.111111111109</v>
      </c>
      <c r="T16" s="10">
        <f t="shared" si="1"/>
        <v>2.6732218928887431E-2</v>
      </c>
      <c r="U16" s="10">
        <f t="shared" si="2"/>
        <v>7.2415017714897124E-3</v>
      </c>
      <c r="V16" s="17"/>
      <c r="W16" s="3" t="s">
        <v>26</v>
      </c>
      <c r="X16" s="3">
        <f>VLOOKUP(X18, Seawater!A4:F34, 3, FALSE)</f>
        <v>1025</v>
      </c>
    </row>
    <row r="17" spans="1:30" ht="15.5" x14ac:dyDescent="0.35">
      <c r="A17" s="3" t="s">
        <v>83</v>
      </c>
      <c r="B17" s="3">
        <f>AVERAGE('smoothPVC (2)'!B17,'smoothPVC (3)'!B17)</f>
        <v>5300</v>
      </c>
      <c r="C17" s="3">
        <f>AVERAGE('smoothPVC (2)'!C17,'smoothPVC (3)'!C17)</f>
        <v>88.333510000000004</v>
      </c>
      <c r="D17" s="3">
        <f>AVERAGE('smoothPVC (2)'!D17,'smoothPVC (3)'!D17)</f>
        <v>1.4722234000000001</v>
      </c>
      <c r="E17" s="3">
        <f>AVERAGE('smoothPVC (2)'!E17,'smoothPVC (3)'!E17)</f>
        <v>1.4722234000000001E-3</v>
      </c>
      <c r="F17" s="3">
        <f>AVERAGE('smoothPVC (2)'!F17,'smoothPVC (3)'!F17)</f>
        <v>2.9444468000000001</v>
      </c>
      <c r="G17" s="3">
        <f>AVERAGE('smoothPVC (2)'!G17,'smoothPVC (3)'!G17)</f>
        <v>8.669766958030241</v>
      </c>
      <c r="H17" s="3">
        <f>AVERAGE('smoothPVC (2)'!H17,'smoothPVC (3)'!H17)</f>
        <v>5.7235334677120004</v>
      </c>
      <c r="I17" s="3">
        <f>AVERAGE('smoothPVC (2)'!I17,'smoothPVC (3)'!I17)</f>
        <v>5.3168063419000351</v>
      </c>
      <c r="J17" s="3">
        <f>AVERAGE('smoothPVC (2)'!J17,'smoothPVC (3)'!J17)</f>
        <v>53.168063419000354</v>
      </c>
      <c r="K17" s="3">
        <f>AVERAGE('smoothPVC (2)'!K17,'smoothPVC (3)'!K17)</f>
        <v>5316.8063419000355</v>
      </c>
      <c r="L17" s="3">
        <f>AVERAGE('smoothPVC (2)'!L17,'smoothPVC (3)'!L17)</f>
        <v>46574.968672839503</v>
      </c>
      <c r="M17" s="3">
        <f>AVERAGE('smoothPVC (2)'!M17,'smoothPVC (3)'!M17)</f>
        <v>27.691699697396018</v>
      </c>
      <c r="N17" s="3">
        <f>AVERAGE('smoothPVC (2)'!N17,'smoothPVC (3)'!N17)</f>
        <v>2.4929198229652526E-2</v>
      </c>
      <c r="O17" s="3">
        <f>AVERAGE('smoothPVC (2)'!O17,'smoothPVC (3)'!O17)</f>
        <v>6.2322995574131314E-3</v>
      </c>
      <c r="P17" s="3">
        <f>AVERAGE('smoothPVC (2)'!P17,'smoothPVC (3)'!P17)</f>
        <v>1.2578715201327945E-3</v>
      </c>
      <c r="R17" s="11">
        <v>1</v>
      </c>
      <c r="S17" s="10">
        <f t="shared" si="0"/>
        <v>15817.9012345679</v>
      </c>
      <c r="T17" s="10">
        <f t="shared" si="1"/>
        <v>2.6037281386997589E-2</v>
      </c>
      <c r="U17" s="10">
        <f t="shared" si="2"/>
        <v>7.0532498551764029E-3</v>
      </c>
      <c r="V17" s="17"/>
      <c r="W17" s="3" t="s">
        <v>27</v>
      </c>
      <c r="X17" s="3">
        <f>VLOOKUP(X18, Seawater!A4:F34, 5, FALSE)</f>
        <v>1.08E-3</v>
      </c>
      <c r="AA17" s="12"/>
      <c r="AB17" s="12"/>
      <c r="AC17" s="12"/>
      <c r="AD17" s="12"/>
    </row>
    <row r="18" spans="1:30" ht="15.5" x14ac:dyDescent="0.35">
      <c r="A18" s="3" t="s">
        <v>50</v>
      </c>
      <c r="B18" s="3">
        <f>AVERAGE('smoothPVC (2)'!B18,'smoothPVC (3)'!B18)</f>
        <v>5700</v>
      </c>
      <c r="C18" s="3">
        <f>AVERAGE('smoothPVC (2)'!C18,'smoothPVC (3)'!C18)</f>
        <v>95.000190000000003</v>
      </c>
      <c r="D18" s="3">
        <f>AVERAGE('smoothPVC (2)'!D18,'smoothPVC (3)'!D18)</f>
        <v>1.5833346000000001</v>
      </c>
      <c r="E18" s="3">
        <f>AVERAGE('smoothPVC (2)'!E18,'smoothPVC (3)'!E18)</f>
        <v>1.5833346000000002E-3</v>
      </c>
      <c r="F18" s="3">
        <f>AVERAGE('smoothPVC (2)'!F18,'smoothPVC (3)'!F18)</f>
        <v>3.1666692000000003</v>
      </c>
      <c r="G18" s="3">
        <f>AVERAGE('smoothPVC (2)'!G18,'smoothPVC (3)'!G18)</f>
        <v>10.030880246919999</v>
      </c>
      <c r="H18" s="3">
        <f>AVERAGE('smoothPVC (2)'!H18,'smoothPVC (3)'!H18)</f>
        <v>6.1554982577280004</v>
      </c>
      <c r="I18" s="3">
        <f>AVERAGE('smoothPVC (2)'!I18,'smoothPVC (3)'!I18)</f>
        <v>5.9951504847931512</v>
      </c>
      <c r="J18" s="3">
        <f>AVERAGE('smoothPVC (2)'!J18,'smoothPVC (3)'!J18)</f>
        <v>59.95150484793151</v>
      </c>
      <c r="K18" s="3">
        <f>AVERAGE('smoothPVC (2)'!K18,'smoothPVC (3)'!K18)</f>
        <v>5995.150484793151</v>
      </c>
      <c r="L18" s="3">
        <f>AVERAGE('smoothPVC (2)'!L18,'smoothPVC (3)'!L18)</f>
        <v>50090.060648148145</v>
      </c>
      <c r="M18" s="3">
        <f>AVERAGE('smoothPVC (2)'!M18,'smoothPVC (3)'!M18)</f>
        <v>31.224742108297658</v>
      </c>
      <c r="N18" s="3">
        <f>AVERAGE('smoothPVC (2)'!N18,'smoothPVC (3)'!N18)</f>
        <v>2.4313602040583634E-2</v>
      </c>
      <c r="O18" s="3">
        <f>AVERAGE('smoothPVC (2)'!O18,'smoothPVC (3)'!O18)</f>
        <v>6.0784005101459085E-3</v>
      </c>
      <c r="P18" s="3">
        <f>AVERAGE('smoothPVC (2)'!P18,'smoothPVC (3)'!P18)</f>
        <v>1.1141050606184775E-3</v>
      </c>
      <c r="Q18" s="11"/>
      <c r="R18" s="11">
        <v>1.1000000000000001</v>
      </c>
      <c r="S18" s="10">
        <f t="shared" si="0"/>
        <v>17399.691358024691</v>
      </c>
      <c r="T18" s="10">
        <f t="shared" si="1"/>
        <v>2.5424209894386686E-2</v>
      </c>
      <c r="U18" s="10">
        <f t="shared" si="2"/>
        <v>6.8871746665958456E-3</v>
      </c>
      <c r="V18" s="17"/>
      <c r="W18" s="3" t="s">
        <v>70</v>
      </c>
      <c r="X18" s="3">
        <v>20</v>
      </c>
      <c r="AA18" s="12"/>
      <c r="AB18" s="12"/>
      <c r="AC18" s="12"/>
      <c r="AD18" s="12"/>
    </row>
    <row r="19" spans="1:30" ht="15.5" x14ac:dyDescent="0.35">
      <c r="A19" s="3" t="s">
        <v>82</v>
      </c>
      <c r="B19" s="3">
        <f>AVERAGE('smoothPVC (2)'!B19,'smoothPVC (3)'!B19)</f>
        <v>5225</v>
      </c>
      <c r="C19" s="3">
        <f>AVERAGE('smoothPVC (2)'!C19,'smoothPVC (3)'!C19)</f>
        <v>87.083507499999996</v>
      </c>
      <c r="D19" s="3">
        <f>AVERAGE('smoothPVC (2)'!D19,'smoothPVC (3)'!D19)</f>
        <v>1.4513900500000001</v>
      </c>
      <c r="E19" s="3">
        <f>AVERAGE('smoothPVC (2)'!E19,'smoothPVC (3)'!E19)</f>
        <v>1.4513900500000001E-3</v>
      </c>
      <c r="F19" s="3">
        <f>AVERAGE('smoothPVC (2)'!F19,'smoothPVC (3)'!F19)</f>
        <v>2.9027801000000002</v>
      </c>
      <c r="G19" s="3">
        <f>AVERAGE('smoothPVC (2)'!G19,'smoothPVC (3)'!G19)</f>
        <v>8.4278684228449023</v>
      </c>
      <c r="H19" s="3">
        <f>AVERAGE('smoothPVC (2)'!H19,'smoothPVC (3)'!H19)</f>
        <v>5.6425400695840011</v>
      </c>
      <c r="I19" s="3">
        <f>AVERAGE('smoothPVC (2)'!I19,'smoothPVC (3)'!I19)</f>
        <v>5.2080089474270981</v>
      </c>
      <c r="J19" s="3">
        <f>AVERAGE('smoothPVC (2)'!J19,'smoothPVC (3)'!J19)</f>
        <v>52.080089474270977</v>
      </c>
      <c r="K19" s="3">
        <f>AVERAGE('smoothPVC (2)'!K19,'smoothPVC (3)'!K19)</f>
        <v>5208.0089474270981</v>
      </c>
      <c r="L19" s="3">
        <f>AVERAGE('smoothPVC (2)'!L19,'smoothPVC (3)'!L19)</f>
        <v>45915.888927469132</v>
      </c>
      <c r="M19" s="3">
        <f>AVERAGE('smoothPVC (2)'!M19,'smoothPVC (3)'!M19)</f>
        <v>27.125046601182802</v>
      </c>
      <c r="N19" s="3">
        <f>AVERAGE('smoothPVC (2)'!N19,'smoothPVC (3)'!N19)</f>
        <v>2.512835728796553E-2</v>
      </c>
      <c r="O19" s="3">
        <f>AVERAGE('smoothPVC (2)'!O19,'smoothPVC (3)'!O19)</f>
        <v>6.2820893219913826E-3</v>
      </c>
      <c r="P19" s="3">
        <f>AVERAGE('smoothPVC (2)'!P19,'smoothPVC (3)'!P19)</f>
        <v>1.319445553862436E-3</v>
      </c>
      <c r="R19" s="11">
        <v>1.2</v>
      </c>
      <c r="S19" s="10">
        <f t="shared" si="0"/>
        <v>18981.481481481482</v>
      </c>
      <c r="T19" s="10">
        <f t="shared" si="1"/>
        <v>2.4877132829803777E-2</v>
      </c>
      <c r="U19" s="10">
        <f t="shared" si="2"/>
        <v>6.7389767357447913E-3</v>
      </c>
      <c r="V19" s="17"/>
      <c r="W19" s="9"/>
      <c r="X19" s="9"/>
      <c r="AA19" s="14" t="s">
        <v>28</v>
      </c>
      <c r="AB19" s="14"/>
      <c r="AC19" s="14"/>
      <c r="AD19" s="14"/>
    </row>
    <row r="20" spans="1:30" ht="15.5" x14ac:dyDescent="0.35">
      <c r="A20" s="18" t="s">
        <v>45</v>
      </c>
      <c r="B20" s="3">
        <f>AVERAGE('smoothPVC (2)'!B20,'smoothPVC (3)'!B20)</f>
        <v>4800</v>
      </c>
      <c r="C20" s="3">
        <f>AVERAGE('smoothPVC (2)'!C20,'smoothPVC (3)'!C20)</f>
        <v>80.000159999999994</v>
      </c>
      <c r="D20" s="3">
        <f>AVERAGE('smoothPVC (2)'!D20,'smoothPVC (3)'!D20)</f>
        <v>1.3333344</v>
      </c>
      <c r="E20" s="3">
        <f>AVERAGE('smoothPVC (2)'!E20,'smoothPVC (3)'!E20)</f>
        <v>1.3333344E-3</v>
      </c>
      <c r="F20" s="3">
        <f>AVERAGE('smoothPVC (2)'!F20,'smoothPVC (3)'!F20)</f>
        <v>2.6666688000000001</v>
      </c>
      <c r="G20" s="3">
        <f>AVERAGE('smoothPVC (2)'!G20,'smoothPVC (3)'!G20)</f>
        <v>7.1111224888934403</v>
      </c>
      <c r="H20" s="3">
        <f>AVERAGE('smoothPVC (2)'!H20,'smoothPVC (3)'!H20)</f>
        <v>5.1835774801920005</v>
      </c>
      <c r="I20" s="3">
        <f>AVERAGE('smoothPVC (2)'!I20,'smoothPVC (3)'!I20)</f>
        <v>4.3914040932968383</v>
      </c>
      <c r="J20" s="3">
        <f>AVERAGE('smoothPVC (2)'!J20,'smoothPVC (3)'!J20)</f>
        <v>43.914040932968391</v>
      </c>
      <c r="K20" s="3">
        <f>AVERAGE('smoothPVC (2)'!K20,'smoothPVC (3)'!K20)</f>
        <v>4391.4040932968383</v>
      </c>
      <c r="L20" s="3">
        <f>AVERAGE('smoothPVC (2)'!L20,'smoothPVC (3)'!L20)</f>
        <v>42181.103703703702</v>
      </c>
      <c r="M20" s="3">
        <f>AVERAGE('smoothPVC (2)'!M20,'smoothPVC (3)'!M20)</f>
        <v>22.871896319254368</v>
      </c>
      <c r="N20" s="3">
        <f>AVERAGE('smoothPVC (2)'!N20,'smoothPVC (3)'!N20)</f>
        <v>2.5103260672972867E-2</v>
      </c>
      <c r="O20" s="3">
        <f>AVERAGE('smoothPVC (2)'!O20,'smoothPVC (3)'!O20)</f>
        <v>6.2758151682432168E-3</v>
      </c>
      <c r="P20" s="3">
        <f>AVERAGE('smoothPVC (2)'!P20,'smoothPVC (3)'!P20)</f>
        <v>1.1952787185819612E-3</v>
      </c>
      <c r="R20" s="11">
        <v>1.3</v>
      </c>
      <c r="S20" s="10">
        <f t="shared" si="0"/>
        <v>20563.271604938269</v>
      </c>
      <c r="T20" s="10">
        <f t="shared" si="1"/>
        <v>2.4384272245175108E-2</v>
      </c>
      <c r="U20" s="10">
        <f t="shared" si="2"/>
        <v>6.6054655294292847E-3</v>
      </c>
      <c r="V20" s="17"/>
      <c r="AA20" s="19" t="s">
        <v>29</v>
      </c>
      <c r="AB20" s="14" t="s">
        <v>30</v>
      </c>
      <c r="AC20" s="14" t="s">
        <v>31</v>
      </c>
      <c r="AD20" s="14" t="s">
        <v>32</v>
      </c>
    </row>
    <row r="21" spans="1:30" ht="15.5" x14ac:dyDescent="0.35">
      <c r="A21" s="18" t="s">
        <v>81</v>
      </c>
      <c r="B21" s="3">
        <f>AVERAGE('smoothPVC (2)'!B21,'smoothPVC (3)'!B21)</f>
        <v>4400</v>
      </c>
      <c r="C21" s="3">
        <f>AVERAGE('smoothPVC (2)'!C21,'smoothPVC (3)'!C21)</f>
        <v>73.333479999999994</v>
      </c>
      <c r="D21" s="3">
        <f>AVERAGE('smoothPVC (2)'!D21,'smoothPVC (3)'!D21)</f>
        <v>1.2222232</v>
      </c>
      <c r="E21" s="3">
        <f>AVERAGE('smoothPVC (2)'!E21,'smoothPVC (3)'!E21)</f>
        <v>1.2222232E-3</v>
      </c>
      <c r="F21" s="3">
        <f>AVERAGE('smoothPVC (2)'!F21,'smoothPVC (3)'!F21)</f>
        <v>2.4444463999999999</v>
      </c>
      <c r="G21" s="3">
        <f>AVERAGE('smoothPVC (2)'!G21,'smoothPVC (3)'!G21)</f>
        <v>5.9753182024729599</v>
      </c>
      <c r="H21" s="3">
        <f>AVERAGE('smoothPVC (2)'!H21,'smoothPVC (3)'!H21)</f>
        <v>4.7516126901759996</v>
      </c>
      <c r="I21" s="3">
        <f>AVERAGE('smoothPVC (2)'!I21,'smoothPVC (3)'!I21)</f>
        <v>3.708217248287391</v>
      </c>
      <c r="J21" s="3">
        <f>AVERAGE('smoothPVC (2)'!J21,'smoothPVC (3)'!J21)</f>
        <v>37.082172482873915</v>
      </c>
      <c r="K21" s="3">
        <f>AVERAGE('smoothPVC (2)'!K21,'smoothPVC (3)'!K21)</f>
        <v>3708.2172482873912</v>
      </c>
      <c r="L21" s="3">
        <f>AVERAGE('smoothPVC (2)'!L21,'smoothPVC (3)'!L21)</f>
        <v>38666.01172839506</v>
      </c>
      <c r="M21" s="3">
        <f>AVERAGE('smoothPVC (2)'!M21,'smoothPVC (3)'!M21)</f>
        <v>19.313631501496832</v>
      </c>
      <c r="N21" s="3">
        <f>AVERAGE('smoothPVC (2)'!N21,'smoothPVC (3)'!N21)</f>
        <v>2.5227198525742463E-2</v>
      </c>
      <c r="O21" s="3">
        <f>AVERAGE('smoothPVC (2)'!O21,'smoothPVC (3)'!O21)</f>
        <v>6.3067996314356157E-3</v>
      </c>
      <c r="P21" s="3">
        <f>AVERAGE('smoothPVC (2)'!P21,'smoothPVC (3)'!P21)</f>
        <v>1.1193334071664864E-3</v>
      </c>
      <c r="R21" s="11">
        <v>1.4</v>
      </c>
      <c r="S21" s="10">
        <f t="shared" si="0"/>
        <v>22145.061728395056</v>
      </c>
      <c r="T21" s="10">
        <f t="shared" si="1"/>
        <v>2.3936664221769863E-2</v>
      </c>
      <c r="U21" s="10">
        <f t="shared" si="2"/>
        <v>6.4842128080205355E-3</v>
      </c>
      <c r="V21" s="17"/>
      <c r="W21" s="9" t="s">
        <v>33</v>
      </c>
      <c r="X21" s="9">
        <f>4*10^(-6)</f>
        <v>3.9999999999999998E-6</v>
      </c>
      <c r="AA21" s="19" t="s">
        <v>34</v>
      </c>
      <c r="AB21" s="14" t="s">
        <v>35</v>
      </c>
      <c r="AC21" s="14" t="s">
        <v>36</v>
      </c>
      <c r="AD21" s="14" t="s">
        <v>37</v>
      </c>
    </row>
    <row r="22" spans="1:30" ht="15.5" x14ac:dyDescent="0.35">
      <c r="A22" s="18" t="s">
        <v>46</v>
      </c>
      <c r="B22" s="3">
        <f>AVERAGE('smoothPVC (2)'!B22,'smoothPVC (3)'!B22)</f>
        <v>4000</v>
      </c>
      <c r="C22" s="3">
        <f>AVERAGE('smoothPVC (2)'!C22,'smoothPVC (3)'!C22)</f>
        <v>66.666799999999995</v>
      </c>
      <c r="D22" s="3">
        <f>AVERAGE('smoothPVC (2)'!D22,'smoothPVC (3)'!D22)</f>
        <v>1.1111120000000001</v>
      </c>
      <c r="E22" s="3">
        <f>AVERAGE('smoothPVC (2)'!E22,'smoothPVC (3)'!E22)</f>
        <v>1.111112E-3</v>
      </c>
      <c r="F22" s="3">
        <f>AVERAGE('smoothPVC (2)'!F22,'smoothPVC (3)'!F22)</f>
        <v>2.2222240000000002</v>
      </c>
      <c r="G22" s="3">
        <f>AVERAGE('smoothPVC (2)'!G22,'smoothPVC (3)'!G22)</f>
        <v>4.9382795061760012</v>
      </c>
      <c r="H22" s="3">
        <f>AVERAGE('smoothPVC (2)'!H22,'smoothPVC (3)'!H22)</f>
        <v>4.3196479001600006</v>
      </c>
      <c r="I22" s="3">
        <f>AVERAGE('smoothPVC (2)'!I22,'smoothPVC (3)'!I22)</f>
        <v>3.0508761298257996</v>
      </c>
      <c r="J22" s="3">
        <f>AVERAGE('smoothPVC (2)'!J22,'smoothPVC (3)'!J22)</f>
        <v>30.508761298257998</v>
      </c>
      <c r="K22" s="3">
        <f>AVERAGE('smoothPVC (2)'!K22,'smoothPVC (3)'!K22)</f>
        <v>3050.8761298257996</v>
      </c>
      <c r="L22" s="3">
        <f>AVERAGE('smoothPVC (2)'!L22,'smoothPVC (3)'!L22)</f>
        <v>35150.919753086418</v>
      </c>
      <c r="M22" s="3">
        <f>AVERAGE('smoothPVC (2)'!M22,'smoothPVC (3)'!M22)</f>
        <v>15.889979842842706</v>
      </c>
      <c r="N22" s="3">
        <f>AVERAGE('smoothPVC (2)'!N22,'smoothPVC (3)'!N22)</f>
        <v>2.5113879179148146E-2</v>
      </c>
      <c r="O22" s="3">
        <f>AVERAGE('smoothPVC (2)'!O22,'smoothPVC (3)'!O22)</f>
        <v>6.2784697947870366E-3</v>
      </c>
      <c r="P22" s="3">
        <f>AVERAGE('smoothPVC (2)'!P22,'smoothPVC (3)'!P22)</f>
        <v>9.2227008478964546E-4</v>
      </c>
      <c r="R22" s="11">
        <v>1.5</v>
      </c>
      <c r="S22" s="10">
        <f t="shared" si="0"/>
        <v>23726.85185185185</v>
      </c>
      <c r="T22" s="10">
        <f t="shared" si="1"/>
        <v>2.3527339629844345E-2</v>
      </c>
      <c r="U22" s="10">
        <f t="shared" si="2"/>
        <v>6.3733307010982463E-3</v>
      </c>
      <c r="V22" s="17"/>
      <c r="W22" s="9" t="s">
        <v>38</v>
      </c>
      <c r="X22" s="3">
        <f>X21/X12</f>
        <v>2.3999999999999998E-4</v>
      </c>
      <c r="AA22" s="14">
        <v>0</v>
      </c>
      <c r="AB22" s="14">
        <v>1.792E-3</v>
      </c>
      <c r="AC22" s="14">
        <v>999.87</v>
      </c>
      <c r="AD22" s="13">
        <v>1.7922329902887374E-6</v>
      </c>
    </row>
    <row r="23" spans="1:30" ht="15.5" x14ac:dyDescent="0.35">
      <c r="A23" s="18" t="s">
        <v>80</v>
      </c>
      <c r="B23" s="3">
        <f>AVERAGE('smoothPVC (2)'!B23,'smoothPVC (3)'!B23)</f>
        <v>3625</v>
      </c>
      <c r="C23" s="3">
        <f>AVERAGE('smoothPVC (2)'!C23,'smoothPVC (3)'!C23)</f>
        <v>60.416787499999998</v>
      </c>
      <c r="D23" s="3">
        <f>AVERAGE('smoothPVC (2)'!D23,'smoothPVC (3)'!D23)</f>
        <v>1.00694525</v>
      </c>
      <c r="E23" s="3">
        <f>AVERAGE('smoothPVC (2)'!E23,'smoothPVC (3)'!E23)</f>
        <v>1.0069452500000001E-3</v>
      </c>
      <c r="F23" s="3">
        <f>AVERAGE('smoothPVC (2)'!F23,'smoothPVC (3)'!F23)</f>
        <v>2.0138905</v>
      </c>
      <c r="G23" s="3">
        <f>AVERAGE('smoothPVC (2)'!G23,'smoothPVC (3)'!G23)</f>
        <v>4.05594784753346</v>
      </c>
      <c r="H23" s="3">
        <f>AVERAGE('smoothPVC (2)'!H23,'smoothPVC (3)'!H23)</f>
        <v>3.9146809095200004</v>
      </c>
      <c r="I23" s="3">
        <f>AVERAGE('smoothPVC (2)'!I23,'smoothPVC (3)'!I23)</f>
        <v>2.4698883854066205</v>
      </c>
      <c r="J23" s="3">
        <f>AVERAGE('smoothPVC (2)'!J23,'smoothPVC (3)'!J23)</f>
        <v>24.698883854066203</v>
      </c>
      <c r="K23" s="3">
        <f>AVERAGE('smoothPVC (2)'!K23,'smoothPVC (3)'!K23)</f>
        <v>2469.8883854066203</v>
      </c>
      <c r="L23" s="3">
        <f>AVERAGE('smoothPVC (2)'!L23,'smoothPVC (3)'!L23)</f>
        <v>31855.521026234564</v>
      </c>
      <c r="M23" s="3">
        <f>AVERAGE('smoothPVC (2)'!M23,'smoothPVC (3)'!M23)</f>
        <v>12.864002007326146</v>
      </c>
      <c r="N23" s="3">
        <f>AVERAGE('smoothPVC (2)'!N23,'smoothPVC (3)'!N23)</f>
        <v>2.4762180626223422E-2</v>
      </c>
      <c r="O23" s="3">
        <f>AVERAGE('smoothPVC (2)'!O23,'smoothPVC (3)'!O23)</f>
        <v>6.1905451565558555E-3</v>
      </c>
      <c r="P23" s="3">
        <f>AVERAGE('smoothPVC (2)'!P23,'smoothPVC (3)'!P23)</f>
        <v>6.1134311549496665E-4</v>
      </c>
      <c r="R23" s="11">
        <v>1.6</v>
      </c>
      <c r="S23" s="10">
        <f t="shared" si="0"/>
        <v>25308.641975308641</v>
      </c>
      <c r="T23" s="10">
        <f t="shared" si="1"/>
        <v>2.3150780691943755E-2</v>
      </c>
      <c r="U23" s="10">
        <f t="shared" si="2"/>
        <v>6.2713244956601067E-3</v>
      </c>
      <c r="V23" s="17"/>
      <c r="AA23" s="14">
        <v>5</v>
      </c>
      <c r="AB23" s="14">
        <v>1.519E-3</v>
      </c>
      <c r="AC23" s="14">
        <v>999.99</v>
      </c>
      <c r="AD23" s="13">
        <v>1.5190151901519014E-6</v>
      </c>
    </row>
    <row r="24" spans="1:30" ht="15.5" x14ac:dyDescent="0.35">
      <c r="A24" s="3" t="s">
        <v>47</v>
      </c>
      <c r="B24" s="3">
        <f>AVERAGE('smoothPVC (2)'!B24,'smoothPVC (3)'!B24)</f>
        <v>3250</v>
      </c>
      <c r="C24" s="3">
        <f>AVERAGE('smoothPVC (2)'!C24,'smoothPVC (3)'!C24)</f>
        <v>54.166775000000001</v>
      </c>
      <c r="D24" s="3">
        <f>AVERAGE('smoothPVC (2)'!D24,'smoothPVC (3)'!D24)</f>
        <v>0.90277850000000004</v>
      </c>
      <c r="E24" s="3">
        <f>AVERAGE('smoothPVC (2)'!E24,'smoothPVC (3)'!E24)</f>
        <v>9.0277850000000008E-4</v>
      </c>
      <c r="F24" s="3">
        <f>AVERAGE('smoothPVC (2)'!F24,'smoothPVC (3)'!F24)</f>
        <v>1.8055570000000001</v>
      </c>
      <c r="G24" s="3">
        <f>AVERAGE('smoothPVC (2)'!G24,'smoothPVC (3)'!G24)</f>
        <v>3.26080768642184</v>
      </c>
      <c r="H24" s="3">
        <f>AVERAGE('smoothPVC (2)'!H24,'smoothPVC (3)'!H24)</f>
        <v>3.5097139188800002</v>
      </c>
      <c r="I24" s="3">
        <f>AVERAGE('smoothPVC (2)'!I24,'smoothPVC (3)'!I24)</f>
        <v>2.0048895251280183</v>
      </c>
      <c r="J24" s="3">
        <f>AVERAGE('smoothPVC (2)'!J24,'smoothPVC (3)'!J24)</f>
        <v>20.048895251280182</v>
      </c>
      <c r="K24" s="3">
        <f>AVERAGE('smoothPVC (2)'!K24,'smoothPVC (3)'!K24)</f>
        <v>2004.8895251280182</v>
      </c>
      <c r="L24" s="3">
        <f>AVERAGE('smoothPVC (2)'!L24,'smoothPVC (3)'!L24)</f>
        <v>28560.122299382714</v>
      </c>
      <c r="M24" s="3">
        <f>AVERAGE('smoothPVC (2)'!M24,'smoothPVC (3)'!M24)</f>
        <v>10.442132943375096</v>
      </c>
      <c r="N24" s="3">
        <f>AVERAGE('smoothPVC (2)'!N24,'smoothPVC (3)'!N24)</f>
        <v>2.5011773618960356E-2</v>
      </c>
      <c r="O24" s="3">
        <f>AVERAGE('smoothPVC (2)'!O24,'smoothPVC (3)'!O24)</f>
        <v>6.2529434047400891E-3</v>
      </c>
      <c r="P24" s="3">
        <f>AVERAGE('smoothPVC (2)'!P24,'smoothPVC (3)'!P24)</f>
        <v>4.9961155511799981E-4</v>
      </c>
      <c r="R24" s="11">
        <v>1.7</v>
      </c>
      <c r="S24" s="10">
        <f t="shared" si="0"/>
        <v>26890.432098765428</v>
      </c>
      <c r="T24" s="10">
        <f t="shared" si="1"/>
        <v>2.280254945027245E-2</v>
      </c>
      <c r="U24" s="10">
        <f t="shared" si="2"/>
        <v>6.1769919914950368E-3</v>
      </c>
      <c r="V24" s="17"/>
      <c r="W24" s="8"/>
      <c r="AA24" s="14">
        <f>AA23+5</f>
        <v>10</v>
      </c>
      <c r="AB24" s="14">
        <v>1.3079999999999999E-3</v>
      </c>
      <c r="AC24" s="14">
        <v>999.73</v>
      </c>
      <c r="AD24" s="13">
        <v>1.3083532553789522E-6</v>
      </c>
    </row>
    <row r="25" spans="1:30" ht="15.5" x14ac:dyDescent="0.35">
      <c r="A25" s="3" t="s">
        <v>79</v>
      </c>
      <c r="B25" s="3">
        <f>AVERAGE('smoothPVC (2)'!B25,'smoothPVC (3)'!B25)</f>
        <v>2825</v>
      </c>
      <c r="C25" s="3">
        <f>AVERAGE('smoothPVC (2)'!C25,'smoothPVC (3)'!C25)</f>
        <v>47.083427499999999</v>
      </c>
      <c r="D25" s="3">
        <f>AVERAGE('smoothPVC (2)'!D25,'smoothPVC (3)'!D25)</f>
        <v>0.78472285000000008</v>
      </c>
      <c r="E25" s="3">
        <f>AVERAGE('smoothPVC (2)'!E25,'smoothPVC (3)'!E25)</f>
        <v>7.8472285000000003E-4</v>
      </c>
      <c r="F25" s="3">
        <f>AVERAGE('smoothPVC (2)'!F25,'smoothPVC (3)'!F25)</f>
        <v>1.5694457000000002</v>
      </c>
      <c r="G25" s="3">
        <f>AVERAGE('smoothPVC (2)'!G25,'smoothPVC (3)'!G25)</f>
        <v>2.4648959191373798</v>
      </c>
      <c r="H25" s="3">
        <f>AVERAGE('smoothPVC (2)'!H25,'smoothPVC (3)'!H25)</f>
        <v>3.0507513294880004</v>
      </c>
      <c r="I25" s="3">
        <f>AVERAGE('smoothPVC (2)'!I25,'smoothPVC (3)'!I25)</f>
        <v>1.5250463033203929</v>
      </c>
      <c r="J25" s="3">
        <f>AVERAGE('smoothPVC (2)'!J25,'smoothPVC (3)'!J25)</f>
        <v>15.25046303320393</v>
      </c>
      <c r="K25" s="3">
        <f>AVERAGE('smoothPVC (2)'!K25,'smoothPVC (3)'!K25)</f>
        <v>1525.046303320393</v>
      </c>
      <c r="L25" s="3">
        <f>AVERAGE('smoothPVC (2)'!L25,'smoothPVC (3)'!L25)</f>
        <v>24825.337075617281</v>
      </c>
      <c r="M25" s="3">
        <f>AVERAGE('smoothPVC (2)'!M25,'smoothPVC (3)'!M25)</f>
        <v>7.94294949646038</v>
      </c>
      <c r="N25" s="3">
        <f>AVERAGE('smoothPVC (2)'!N25,'smoothPVC (3)'!N25)</f>
        <v>2.5193328412027143E-2</v>
      </c>
      <c r="O25" s="3">
        <f>AVERAGE('smoothPVC (2)'!O25,'smoothPVC (3)'!O25)</f>
        <v>6.2983321030067856E-3</v>
      </c>
      <c r="P25" s="3">
        <f>AVERAGE('smoothPVC (2)'!P25,'smoothPVC (3)'!P25)</f>
        <v>2.7051397161034307E-4</v>
      </c>
      <c r="R25" s="11">
        <v>1.8</v>
      </c>
      <c r="S25" s="10">
        <f t="shared" si="0"/>
        <v>28472.222222222219</v>
      </c>
      <c r="T25" s="10">
        <f t="shared" si="1"/>
        <v>2.2479027069078936E-2</v>
      </c>
      <c r="U25" s="10">
        <f t="shared" si="2"/>
        <v>6.0893528806991231E-3</v>
      </c>
      <c r="V25" s="4"/>
      <c r="W25" s="8"/>
      <c r="AA25" s="14" t="e">
        <f>#REF!+5</f>
        <v>#REF!</v>
      </c>
      <c r="AB25" s="14">
        <v>1.005E-3</v>
      </c>
      <c r="AC25" s="14">
        <v>998.23</v>
      </c>
      <c r="AD25" s="13">
        <v>1.0067820041473407E-6</v>
      </c>
    </row>
    <row r="26" spans="1:30" ht="15.5" x14ac:dyDescent="0.35">
      <c r="A26" s="3" t="s">
        <v>48</v>
      </c>
      <c r="B26" s="3">
        <f>AVERAGE('smoothPVC (2)'!B26,'smoothPVC (3)'!B26)</f>
        <v>2475</v>
      </c>
      <c r="C26" s="3">
        <f>AVERAGE('smoothPVC (2)'!C26,'smoothPVC (3)'!C26)</f>
        <v>41.250082500000005</v>
      </c>
      <c r="D26" s="3">
        <f>AVERAGE('smoothPVC (2)'!D26,'smoothPVC (3)'!D26)</f>
        <v>0.68750054999999999</v>
      </c>
      <c r="E26" s="3">
        <f>AVERAGE('smoothPVC (2)'!E26,'smoothPVC (3)'!E26)</f>
        <v>6.8750055000000004E-4</v>
      </c>
      <c r="F26" s="3">
        <f>AVERAGE('smoothPVC (2)'!F26,'smoothPVC (3)'!F26)</f>
        <v>1.3750011</v>
      </c>
      <c r="G26" s="3">
        <f>AVERAGE('smoothPVC (2)'!G26,'smoothPVC (3)'!G26)</f>
        <v>1.89082092654442</v>
      </c>
      <c r="H26" s="3">
        <f>AVERAGE('smoothPVC (2)'!H26,'smoothPVC (3)'!H26)</f>
        <v>2.672782138224</v>
      </c>
      <c r="I26" s="3">
        <f>AVERAGE('smoothPVC (2)'!I26,'smoothPVC (3)'!I26)</f>
        <v>1.0897501776960956</v>
      </c>
      <c r="J26" s="3">
        <f>AVERAGE('smoothPVC (2)'!J26,'smoothPVC (3)'!J26)</f>
        <v>10.897501776960958</v>
      </c>
      <c r="K26" s="3">
        <f>AVERAGE('smoothPVC (2)'!K26,'smoothPVC (3)'!K26)</f>
        <v>1089.7501776960958</v>
      </c>
      <c r="L26" s="3">
        <f>AVERAGE('smoothPVC (2)'!L26,'smoothPVC (3)'!L26)</f>
        <v>21749.631597222218</v>
      </c>
      <c r="M26" s="3">
        <f>AVERAGE('smoothPVC (2)'!M26,'smoothPVC (3)'!M26)</f>
        <v>5.6757821755004985</v>
      </c>
      <c r="N26" s="3">
        <f>AVERAGE('smoothPVC (2)'!N26,'smoothPVC (3)'!N26)</f>
        <v>2.3439906514325277E-2</v>
      </c>
      <c r="O26" s="3">
        <f>AVERAGE('smoothPVC (2)'!O26,'smoothPVC (3)'!O26)</f>
        <v>5.8599766285813192E-3</v>
      </c>
      <c r="P26" s="3">
        <f>AVERAGE('smoothPVC (2)'!P26,'smoothPVC (3)'!P26)</f>
        <v>-7.7821612290832867E-4</v>
      </c>
      <c r="R26" s="11">
        <v>1.9</v>
      </c>
      <c r="S26" s="10">
        <f t="shared" si="0"/>
        <v>30054.012345679006</v>
      </c>
      <c r="T26" s="10">
        <f t="shared" si="1"/>
        <v>2.2177226719738818E-2</v>
      </c>
      <c r="U26" s="10">
        <f t="shared" si="2"/>
        <v>6.0075980600388388E-3</v>
      </c>
      <c r="V26" s="4"/>
      <c r="W26" s="8"/>
      <c r="AA26" s="14">
        <v>25</v>
      </c>
      <c r="AB26" s="14">
        <v>8.9400000000000005E-4</v>
      </c>
      <c r="AC26" s="14">
        <v>997.07</v>
      </c>
      <c r="AD26" s="13">
        <v>8.9662711745414066E-7</v>
      </c>
    </row>
    <row r="27" spans="1:30" ht="15.5" x14ac:dyDescent="0.35">
      <c r="A27" s="3" t="s">
        <v>78</v>
      </c>
      <c r="B27" s="3">
        <f>AVERAGE('smoothPVC (2)'!B27,'smoothPVC (3)'!B27)</f>
        <v>2050</v>
      </c>
      <c r="C27" s="3">
        <f>AVERAGE('smoothPVC (2)'!C27,'smoothPVC (3)'!C27)</f>
        <v>34.166735000000003</v>
      </c>
      <c r="D27" s="3">
        <f>AVERAGE('smoothPVC (2)'!D27,'smoothPVC (3)'!D27)</f>
        <v>0.56944490000000003</v>
      </c>
      <c r="E27" s="3">
        <f>AVERAGE('smoothPVC (2)'!E27,'smoothPVC (3)'!E27)</f>
        <v>5.6944489999999999E-4</v>
      </c>
      <c r="F27" s="3">
        <f>AVERAGE('smoothPVC (2)'!F27,'smoothPVC (3)'!F27)</f>
        <v>1.1388898000000001</v>
      </c>
      <c r="G27" s="3">
        <f>AVERAGE('smoothPVC (2)'!G27,'smoothPVC (3)'!G27)</f>
        <v>1.2978415827168801</v>
      </c>
      <c r="H27" s="3">
        <f>AVERAGE('smoothPVC (2)'!H27,'smoothPVC (3)'!H27)</f>
        <v>2.2138195488320003</v>
      </c>
      <c r="I27" s="3">
        <f>AVERAGE('smoothPVC (2)'!I27,'smoothPVC (3)'!I27)</f>
        <v>0.71467915234565405</v>
      </c>
      <c r="J27" s="3">
        <f>AVERAGE('smoothPVC (2)'!J27,'smoothPVC (3)'!J27)</f>
        <v>7.1467915234565407</v>
      </c>
      <c r="K27" s="3">
        <f>AVERAGE('smoothPVC (2)'!K27,'smoothPVC (3)'!K27)</f>
        <v>714.67915234565407</v>
      </c>
      <c r="L27" s="3">
        <f>AVERAGE('smoothPVC (2)'!L27,'smoothPVC (3)'!L27)</f>
        <v>18014.846373456789</v>
      </c>
      <c r="M27" s="3">
        <f>AVERAGE('smoothPVC (2)'!M27,'smoothPVC (3)'!M27)</f>
        <v>3.7222872518002816</v>
      </c>
      <c r="N27" s="3">
        <f>AVERAGE('smoothPVC (2)'!N27,'smoothPVC (3)'!N27)</f>
        <v>2.2464069481013808E-2</v>
      </c>
      <c r="O27" s="3">
        <f>AVERAGE('smoothPVC (2)'!O27,'smoothPVC (3)'!O27)</f>
        <v>5.6160173702534521E-3</v>
      </c>
      <c r="P27" s="3">
        <f>AVERAGE('smoothPVC (2)'!P27,'smoothPVC (3)'!P27)</f>
        <v>-1.6983424549867946E-3</v>
      </c>
      <c r="R27" s="11">
        <v>2</v>
      </c>
      <c r="S27" s="10">
        <f t="shared" si="0"/>
        <v>31635.8024691358</v>
      </c>
      <c r="T27" s="10">
        <f t="shared" si="1"/>
        <v>2.1894656581278538E-2</v>
      </c>
      <c r="U27" s="10">
        <f t="shared" si="2"/>
        <v>5.931052519106618E-3</v>
      </c>
      <c r="V27" s="4"/>
      <c r="W27" s="8"/>
      <c r="AA27" s="12"/>
      <c r="AB27" s="12"/>
      <c r="AC27" s="12"/>
      <c r="AD27" s="12"/>
    </row>
    <row r="28" spans="1:30" ht="15.5" x14ac:dyDescent="0.35">
      <c r="A28" s="3" t="s">
        <v>49</v>
      </c>
      <c r="B28" s="3">
        <f>AVERAGE('smoothPVC (2)'!B28,'smoothPVC (3)'!B28)</f>
        <v>1700</v>
      </c>
      <c r="C28" s="3">
        <f>AVERAGE('smoothPVC (2)'!C28,'smoothPVC (3)'!C28)</f>
        <v>28.333390000000001</v>
      </c>
      <c r="D28" s="3">
        <f>AVERAGE('smoothPVC (2)'!D28,'smoothPVC (3)'!D28)</f>
        <v>0.47222260000000005</v>
      </c>
      <c r="E28" s="3">
        <f>AVERAGE('smoothPVC (2)'!E28,'smoothPVC (3)'!E28)</f>
        <v>4.7222259999999999E-4</v>
      </c>
      <c r="F28" s="3">
        <f>AVERAGE('smoothPVC (2)'!F28,'smoothPVC (3)'!F28)</f>
        <v>0.9444452000000001</v>
      </c>
      <c r="G28" s="3">
        <f>AVERAGE('smoothPVC (2)'!G28,'smoothPVC (3)'!G28)</f>
        <v>0.89274834197588004</v>
      </c>
      <c r="H28" s="3">
        <f>AVERAGE('smoothPVC (2)'!H28,'smoothPVC (3)'!H28)</f>
        <v>1.8358503575680001</v>
      </c>
      <c r="I28" s="3">
        <f>AVERAGE('smoothPVC (2)'!I28,'smoothPVC (3)'!I28)</f>
        <v>0.37196761264004019</v>
      </c>
      <c r="J28" s="3">
        <f>AVERAGE('smoothPVC (2)'!J28,'smoothPVC (3)'!J28)</f>
        <v>3.7196761264004019</v>
      </c>
      <c r="K28" s="3">
        <f>AVERAGE('smoothPVC (2)'!K28,'smoothPVC (3)'!K28)</f>
        <v>371.96761264004022</v>
      </c>
      <c r="L28" s="3">
        <f>AVERAGE('smoothPVC (2)'!L28,'smoothPVC (3)'!L28)</f>
        <v>14939.140895061726</v>
      </c>
      <c r="M28" s="3">
        <f>AVERAGE('smoothPVC (2)'!M28,'smoothPVC (3)'!M28)</f>
        <v>1.9373313158335426</v>
      </c>
      <c r="N28" s="3">
        <f>AVERAGE('smoothPVC (2)'!N28,'smoothPVC (3)'!N28)</f>
        <v>1.6989637839248901E-2</v>
      </c>
      <c r="O28" s="3">
        <f>AVERAGE('smoothPVC (2)'!O28,'smoothPVC (3)'!O28)</f>
        <v>4.2474094598122254E-3</v>
      </c>
      <c r="P28" s="3">
        <f>AVERAGE('smoothPVC (2)'!P28,'smoothPVC (3)'!P28)</f>
        <v>-4.2253612350847455E-3</v>
      </c>
      <c r="R28" s="11">
        <v>2.1</v>
      </c>
      <c r="S28" s="10">
        <f t="shared" si="0"/>
        <v>33217.592592592591</v>
      </c>
      <c r="T28" s="10">
        <f t="shared" si="1"/>
        <v>2.1629217750527337E-2</v>
      </c>
      <c r="U28" s="10">
        <f t="shared" si="2"/>
        <v>5.8591476851599751E-3</v>
      </c>
      <c r="V28" s="4"/>
      <c r="W28" s="8"/>
    </row>
    <row r="29" spans="1:30" ht="15.5" x14ac:dyDescent="0.35">
      <c r="G29" s="7"/>
      <c r="V29" s="4"/>
      <c r="W29" s="8"/>
      <c r="X29" s="9" t="s">
        <v>39</v>
      </c>
    </row>
    <row r="30" spans="1:30" x14ac:dyDescent="0.35">
      <c r="G30" s="7"/>
      <c r="V30" s="4"/>
      <c r="W30" s="8"/>
    </row>
    <row r="31" spans="1:30" x14ac:dyDescent="0.35">
      <c r="G31" s="7"/>
      <c r="V31" s="4"/>
      <c r="W31" s="8"/>
    </row>
    <row r="32" spans="1:30" x14ac:dyDescent="0.35">
      <c r="G32" s="7"/>
      <c r="V32" s="4"/>
    </row>
    <row r="33" spans="7:22" x14ac:dyDescent="0.35">
      <c r="G33" s="7"/>
      <c r="V33" s="4"/>
    </row>
    <row r="34" spans="7:22" x14ac:dyDescent="0.35">
      <c r="V34" s="4"/>
    </row>
    <row r="35" spans="7:22" ht="15.5" x14ac:dyDescent="0.35">
      <c r="R35" s="4"/>
      <c r="S35" s="6"/>
      <c r="T35" s="6"/>
      <c r="U35" s="4"/>
      <c r="V35" s="4"/>
    </row>
    <row r="36" spans="7:22" ht="15.5" x14ac:dyDescent="0.35">
      <c r="R36" s="4"/>
      <c r="S36" s="6"/>
      <c r="T36" s="6"/>
      <c r="U36" s="4"/>
      <c r="V36" s="4"/>
    </row>
    <row r="37" spans="7:22" ht="15.5" x14ac:dyDescent="0.35">
      <c r="R37" s="4"/>
      <c r="S37" s="6"/>
      <c r="T37" s="6"/>
      <c r="U37" s="4"/>
      <c r="V37" s="4"/>
    </row>
    <row r="38" spans="7:22" ht="15.5" x14ac:dyDescent="0.35">
      <c r="R38" s="4"/>
      <c r="S38" s="6"/>
      <c r="T38" s="6"/>
      <c r="U38" s="4"/>
      <c r="V38" s="4"/>
    </row>
    <row r="39" spans="7:22" ht="15.5" x14ac:dyDescent="0.35">
      <c r="R39" s="4"/>
      <c r="S39" s="6"/>
      <c r="T39" s="6"/>
      <c r="U39" s="4"/>
      <c r="V39" s="4"/>
    </row>
    <row r="40" spans="7:22" ht="15.5" x14ac:dyDescent="0.35">
      <c r="R40" s="4"/>
      <c r="S40" s="6"/>
      <c r="T40" s="6"/>
    </row>
    <row r="41" spans="7:22" ht="15.5" x14ac:dyDescent="0.35">
      <c r="R41" s="4"/>
      <c r="S41" s="6"/>
      <c r="T41" s="6"/>
    </row>
    <row r="42" spans="7:22" ht="15.5" x14ac:dyDescent="0.35">
      <c r="R42" s="4"/>
      <c r="S42" s="6"/>
      <c r="T42" s="6"/>
    </row>
    <row r="43" spans="7:22" ht="15.5" x14ac:dyDescent="0.35">
      <c r="R43" s="4"/>
      <c r="S43" s="6"/>
      <c r="T43" s="6"/>
    </row>
    <row r="44" spans="7:22" ht="15.5" x14ac:dyDescent="0.35">
      <c r="R44" s="4"/>
      <c r="S44" s="6"/>
      <c r="T44" s="6"/>
    </row>
    <row r="45" spans="7:22" ht="15.5" x14ac:dyDescent="0.35">
      <c r="R45" s="4"/>
      <c r="S45" s="6"/>
      <c r="T45" s="6"/>
    </row>
    <row r="46" spans="7:22" ht="15.5" x14ac:dyDescent="0.35">
      <c r="R46" s="4"/>
      <c r="S46" s="6"/>
      <c r="T46" s="6"/>
    </row>
    <row r="47" spans="7:22" ht="15.5" x14ac:dyDescent="0.35">
      <c r="R47" s="4"/>
      <c r="S47" s="6"/>
      <c r="T47" s="6"/>
    </row>
    <row r="48" spans="7:22" ht="15.5" x14ac:dyDescent="0.35">
      <c r="R48" s="4"/>
      <c r="S48" s="6"/>
      <c r="T48" s="6"/>
    </row>
    <row r="49" spans="2:20" ht="15.5" x14ac:dyDescent="0.35">
      <c r="R49" s="4"/>
      <c r="S49" s="6"/>
      <c r="T49" s="6"/>
    </row>
    <row r="50" spans="2:20" x14ac:dyDescent="0.35">
      <c r="R50" s="4"/>
    </row>
    <row r="60" spans="2:20" x14ac:dyDescent="0.35">
      <c r="B60" s="3">
        <v>0</v>
      </c>
    </row>
  </sheetData>
  <mergeCells count="2">
    <mergeCell ref="A4:N4"/>
    <mergeCell ref="W6:X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1D8B0-CF85-4A99-8A14-F9571687B493}">
  <dimension ref="A1:J34"/>
  <sheetViews>
    <sheetView zoomScale="70" zoomScaleNormal="70" workbookViewId="0">
      <selection activeCell="K28" sqref="K28"/>
    </sheetView>
  </sheetViews>
  <sheetFormatPr defaultRowHeight="15.5" x14ac:dyDescent="0.35"/>
  <cols>
    <col min="1" max="1" width="10.84375" bestFit="1" customWidth="1"/>
    <col min="3" max="3" width="6.84375" bestFit="1" customWidth="1"/>
    <col min="4" max="4" width="11.4609375" bestFit="1" customWidth="1"/>
    <col min="5" max="5" width="23.84375" bestFit="1" customWidth="1"/>
    <col min="6" max="6" width="15.84375" bestFit="1" customWidth="1"/>
  </cols>
  <sheetData>
    <row r="1" spans="1:10" x14ac:dyDescent="0.35">
      <c r="A1" t="s">
        <v>52</v>
      </c>
      <c r="B1" t="s">
        <v>53</v>
      </c>
      <c r="C1" t="s">
        <v>31</v>
      </c>
      <c r="D1" t="s">
        <v>54</v>
      </c>
      <c r="E1" t="s">
        <v>55</v>
      </c>
      <c r="F1" t="s">
        <v>56</v>
      </c>
    </row>
    <row r="2" spans="1:10" x14ac:dyDescent="0.35">
      <c r="A2" t="s">
        <v>57</v>
      </c>
      <c r="B2" t="s">
        <v>58</v>
      </c>
      <c r="C2" t="s">
        <v>59</v>
      </c>
      <c r="D2" t="s">
        <v>60</v>
      </c>
      <c r="E2" t="s">
        <v>61</v>
      </c>
      <c r="F2" t="s">
        <v>62</v>
      </c>
    </row>
    <row r="3" spans="1:10" x14ac:dyDescent="0.35">
      <c r="C3" t="s">
        <v>36</v>
      </c>
      <c r="D3" t="s">
        <v>63</v>
      </c>
      <c r="E3" t="s">
        <v>64</v>
      </c>
      <c r="F3" t="s">
        <v>37</v>
      </c>
    </row>
    <row r="4" spans="1:10" x14ac:dyDescent="0.35">
      <c r="A4">
        <v>0</v>
      </c>
      <c r="B4">
        <v>5.9899999999999997E-3</v>
      </c>
      <c r="C4">
        <v>1028</v>
      </c>
      <c r="D4">
        <v>4</v>
      </c>
      <c r="E4">
        <v>1.8799999999999999E-3</v>
      </c>
      <c r="F4">
        <f>E4/C4</f>
        <v>1.8287937743190661E-6</v>
      </c>
      <c r="J4" t="s">
        <v>77</v>
      </c>
    </row>
    <row r="5" spans="1:10" x14ac:dyDescent="0.35">
      <c r="A5">
        <v>1</v>
      </c>
      <c r="B5">
        <v>6.4400000000000004E-3</v>
      </c>
      <c r="C5">
        <v>1028</v>
      </c>
      <c r="D5">
        <v>4</v>
      </c>
      <c r="E5">
        <v>1.83E-3</v>
      </c>
      <c r="F5">
        <f t="shared" ref="F5:F34" si="0">E5/C5</f>
        <v>1.7801556420233463E-6</v>
      </c>
    </row>
    <row r="6" spans="1:10" x14ac:dyDescent="0.35">
      <c r="A6">
        <v>2</v>
      </c>
      <c r="B6">
        <v>6.9199999999999999E-3</v>
      </c>
      <c r="C6">
        <v>1028</v>
      </c>
      <c r="D6">
        <v>4</v>
      </c>
      <c r="E6">
        <v>1.7700000000000001E-3</v>
      </c>
      <c r="F6">
        <f t="shared" si="0"/>
        <v>1.7217898832684826E-6</v>
      </c>
    </row>
    <row r="7" spans="1:10" x14ac:dyDescent="0.35">
      <c r="A7">
        <v>3</v>
      </c>
      <c r="B7">
        <v>7.43E-3</v>
      </c>
      <c r="C7">
        <v>1028</v>
      </c>
      <c r="D7">
        <v>4</v>
      </c>
      <c r="E7">
        <v>1.72E-3</v>
      </c>
      <c r="F7">
        <f>E7/C7</f>
        <v>1.6731517509727625E-6</v>
      </c>
    </row>
    <row r="8" spans="1:10" x14ac:dyDescent="0.35">
      <c r="A8">
        <v>4</v>
      </c>
      <c r="B8">
        <v>7.9699999999999997E-3</v>
      </c>
      <c r="C8">
        <v>1028</v>
      </c>
      <c r="D8">
        <v>4.0010000000000003</v>
      </c>
      <c r="E8">
        <v>1.67E-3</v>
      </c>
      <c r="F8">
        <f t="shared" si="0"/>
        <v>1.6245136186770429E-6</v>
      </c>
      <c r="J8" t="s">
        <v>65</v>
      </c>
    </row>
    <row r="9" spans="1:10" x14ac:dyDescent="0.35">
      <c r="A9">
        <v>5</v>
      </c>
      <c r="B9">
        <v>8.5500000000000003E-3</v>
      </c>
      <c r="C9">
        <v>1028</v>
      </c>
      <c r="D9">
        <v>4.0010000000000003</v>
      </c>
      <c r="E9">
        <v>1.6199999999999999E-3</v>
      </c>
      <c r="F9">
        <f t="shared" si="0"/>
        <v>1.5758754863813228E-6</v>
      </c>
    </row>
    <row r="10" spans="1:10" x14ac:dyDescent="0.35">
      <c r="A10">
        <v>6</v>
      </c>
      <c r="B10">
        <v>9.1599999999999997E-3</v>
      </c>
      <c r="C10">
        <v>1028</v>
      </c>
      <c r="D10">
        <v>4.0010000000000003</v>
      </c>
      <c r="E10">
        <v>1.57E-3</v>
      </c>
      <c r="F10">
        <f t="shared" si="0"/>
        <v>1.5272373540856032E-6</v>
      </c>
      <c r="J10" t="s">
        <v>66</v>
      </c>
    </row>
    <row r="11" spans="1:10" x14ac:dyDescent="0.35">
      <c r="A11">
        <v>7</v>
      </c>
      <c r="B11">
        <v>9.8200000000000006E-3</v>
      </c>
      <c r="C11">
        <v>1027</v>
      </c>
      <c r="D11">
        <v>4.0019999999999998</v>
      </c>
      <c r="E11">
        <v>1.5299999999999999E-3</v>
      </c>
      <c r="F11">
        <f t="shared" si="0"/>
        <v>1.4897760467380719E-6</v>
      </c>
    </row>
    <row r="12" spans="1:10" x14ac:dyDescent="0.35">
      <c r="A12">
        <v>8</v>
      </c>
      <c r="B12">
        <v>1.051E-2</v>
      </c>
      <c r="C12">
        <v>1027</v>
      </c>
      <c r="D12">
        <v>4.0019999999999998</v>
      </c>
      <c r="E12">
        <v>1.49E-3</v>
      </c>
      <c r="F12">
        <f t="shared" si="0"/>
        <v>1.4508276533592989E-6</v>
      </c>
      <c r="J12" t="s">
        <v>67</v>
      </c>
    </row>
    <row r="13" spans="1:10" x14ac:dyDescent="0.35">
      <c r="A13">
        <v>9</v>
      </c>
      <c r="B13">
        <v>1.125E-2</v>
      </c>
      <c r="C13">
        <v>1027</v>
      </c>
      <c r="D13">
        <v>4.0019999999999998</v>
      </c>
      <c r="E13">
        <v>1.4499999999999999E-3</v>
      </c>
      <c r="F13">
        <f t="shared" si="0"/>
        <v>1.4118792599805258E-6</v>
      </c>
    </row>
    <row r="14" spans="1:10" x14ac:dyDescent="0.35">
      <c r="A14">
        <v>10</v>
      </c>
      <c r="B14">
        <v>1.2030000000000001E-2</v>
      </c>
      <c r="C14">
        <v>1027</v>
      </c>
      <c r="D14">
        <v>4.0030000000000001</v>
      </c>
      <c r="E14">
        <v>1.41E-3</v>
      </c>
      <c r="F14">
        <f t="shared" si="0"/>
        <v>1.3729308666017527E-6</v>
      </c>
      <c r="J14" t="s">
        <v>68</v>
      </c>
    </row>
    <row r="15" spans="1:10" x14ac:dyDescent="0.35">
      <c r="A15">
        <v>11</v>
      </c>
      <c r="B15">
        <v>1.286E-2</v>
      </c>
      <c r="C15">
        <v>1027</v>
      </c>
      <c r="D15">
        <v>4.0030000000000001</v>
      </c>
      <c r="E15">
        <v>1.3699999999999999E-3</v>
      </c>
      <c r="F15">
        <f t="shared" si="0"/>
        <v>1.3339824732229794E-6</v>
      </c>
    </row>
    <row r="16" spans="1:10" x14ac:dyDescent="0.35">
      <c r="A16">
        <v>12</v>
      </c>
      <c r="B16">
        <v>1.374E-2</v>
      </c>
      <c r="C16">
        <v>1027</v>
      </c>
      <c r="D16">
        <v>4.0030000000000001</v>
      </c>
      <c r="E16">
        <v>1.33E-3</v>
      </c>
      <c r="F16">
        <f t="shared" si="0"/>
        <v>1.2950340798442063E-6</v>
      </c>
      <c r="J16" t="s">
        <v>69</v>
      </c>
    </row>
    <row r="17" spans="1:6" x14ac:dyDescent="0.35">
      <c r="A17">
        <v>13</v>
      </c>
      <c r="B17">
        <v>1.4670000000000001E-2</v>
      </c>
      <c r="C17">
        <v>1026</v>
      </c>
      <c r="D17">
        <v>4.0039999999999996</v>
      </c>
      <c r="E17">
        <v>1.2899999999999999E-3</v>
      </c>
      <c r="F17">
        <f t="shared" si="0"/>
        <v>1.2573099415204678E-6</v>
      </c>
    </row>
    <row r="18" spans="1:6" x14ac:dyDescent="0.35">
      <c r="A18">
        <v>14</v>
      </c>
      <c r="B18">
        <v>1.566E-2</v>
      </c>
      <c r="C18">
        <v>1026</v>
      </c>
      <c r="D18">
        <v>4.0039999999999996</v>
      </c>
      <c r="E18">
        <v>1.2600000000000001E-3</v>
      </c>
      <c r="F18">
        <f t="shared" si="0"/>
        <v>1.2280701754385965E-6</v>
      </c>
    </row>
    <row r="19" spans="1:6" x14ac:dyDescent="0.35">
      <c r="A19">
        <v>15</v>
      </c>
      <c r="B19">
        <v>1.6709999999999999E-2</v>
      </c>
      <c r="C19">
        <v>1026</v>
      </c>
      <c r="D19">
        <v>4.0049999999999999</v>
      </c>
      <c r="E19">
        <v>1.23E-3</v>
      </c>
      <c r="F19">
        <f t="shared" si="0"/>
        <v>1.1988304093567251E-6</v>
      </c>
    </row>
    <row r="20" spans="1:6" x14ac:dyDescent="0.35">
      <c r="A20">
        <v>16</v>
      </c>
      <c r="B20">
        <v>1.7809999999999999E-2</v>
      </c>
      <c r="C20">
        <v>1026</v>
      </c>
      <c r="D20">
        <v>4.0049999999999999</v>
      </c>
      <c r="E20">
        <v>1.1999999999999999E-3</v>
      </c>
      <c r="F20">
        <f t="shared" si="0"/>
        <v>1.1695906432748538E-6</v>
      </c>
    </row>
    <row r="21" spans="1:6" x14ac:dyDescent="0.35">
      <c r="A21">
        <v>17</v>
      </c>
      <c r="B21">
        <v>1.898E-2</v>
      </c>
      <c r="C21">
        <v>1026</v>
      </c>
      <c r="D21">
        <v>4.0060000000000002</v>
      </c>
      <c r="E21">
        <v>1.17E-3</v>
      </c>
      <c r="F21">
        <f t="shared" si="0"/>
        <v>1.1403508771929824E-6</v>
      </c>
    </row>
    <row r="22" spans="1:6" x14ac:dyDescent="0.35">
      <c r="A22">
        <v>18</v>
      </c>
      <c r="B22">
        <v>2.0219999999999998E-2</v>
      </c>
      <c r="C22">
        <v>1025</v>
      </c>
      <c r="D22">
        <v>4.0060000000000002</v>
      </c>
      <c r="E22">
        <v>1.14E-3</v>
      </c>
      <c r="F22">
        <f t="shared" si="0"/>
        <v>1.1121951219512194E-6</v>
      </c>
    </row>
    <row r="23" spans="1:6" x14ac:dyDescent="0.35">
      <c r="A23">
        <v>19</v>
      </c>
      <c r="B23">
        <v>2.1530000000000001E-2</v>
      </c>
      <c r="C23">
        <v>1025</v>
      </c>
      <c r="D23">
        <v>4.0069999999999997</v>
      </c>
      <c r="E23">
        <v>1.1100000000000001E-3</v>
      </c>
      <c r="F23">
        <f t="shared" si="0"/>
        <v>1.0829268292682929E-6</v>
      </c>
    </row>
    <row r="24" spans="1:6" x14ac:dyDescent="0.35">
      <c r="A24">
        <v>20</v>
      </c>
      <c r="B24">
        <v>2.291E-2</v>
      </c>
      <c r="C24">
        <v>1025</v>
      </c>
      <c r="D24">
        <v>4.0069999999999997</v>
      </c>
      <c r="E24">
        <v>1.08E-3</v>
      </c>
      <c r="F24">
        <f t="shared" si="0"/>
        <v>1.053658536585366E-6</v>
      </c>
    </row>
    <row r="25" spans="1:6" x14ac:dyDescent="0.35">
      <c r="A25">
        <v>21</v>
      </c>
      <c r="B25">
        <v>2.4369999999999999E-2</v>
      </c>
      <c r="C25">
        <v>1025</v>
      </c>
      <c r="D25">
        <v>4.0069999999999997</v>
      </c>
      <c r="E25">
        <v>1.0499999999999999E-3</v>
      </c>
      <c r="F25">
        <f t="shared" si="0"/>
        <v>1.024390243902439E-6</v>
      </c>
    </row>
    <row r="26" spans="1:6" x14ac:dyDescent="0.35">
      <c r="A26">
        <v>22</v>
      </c>
      <c r="B26">
        <v>2.5909999999999999E-2</v>
      </c>
      <c r="C26">
        <v>1024</v>
      </c>
      <c r="D26">
        <v>4.008</v>
      </c>
      <c r="E26">
        <v>1.0300000000000001E-3</v>
      </c>
      <c r="F26">
        <f t="shared" si="0"/>
        <v>1.0058593750000001E-6</v>
      </c>
    </row>
    <row r="27" spans="1:6" x14ac:dyDescent="0.35">
      <c r="A27">
        <v>23</v>
      </c>
      <c r="B27">
        <v>2.7529999999999999E-2</v>
      </c>
      <c r="C27">
        <v>1024</v>
      </c>
      <c r="D27">
        <v>4.008</v>
      </c>
      <c r="E27">
        <v>1.01E-3</v>
      </c>
      <c r="F27">
        <f t="shared" si="0"/>
        <v>9.8632812500000005E-7</v>
      </c>
    </row>
    <row r="28" spans="1:6" x14ac:dyDescent="0.35">
      <c r="A28">
        <v>24</v>
      </c>
      <c r="B28">
        <v>2.9239999999999999E-2</v>
      </c>
      <c r="C28">
        <v>1024</v>
      </c>
      <c r="D28">
        <v>4.0090000000000003</v>
      </c>
      <c r="E28">
        <v>9.7999999999999997E-4</v>
      </c>
      <c r="F28">
        <f t="shared" si="0"/>
        <v>9.5703124999999997E-7</v>
      </c>
    </row>
    <row r="29" spans="1:6" x14ac:dyDescent="0.35">
      <c r="A29">
        <v>25</v>
      </c>
      <c r="B29">
        <v>3.1040000000000002E-2</v>
      </c>
      <c r="C29">
        <v>1023</v>
      </c>
      <c r="D29">
        <v>4.0090000000000003</v>
      </c>
      <c r="E29">
        <v>9.6000000000000002E-4</v>
      </c>
      <c r="F29">
        <f t="shared" si="0"/>
        <v>9.3841642228739007E-7</v>
      </c>
    </row>
    <row r="30" spans="1:6" x14ac:dyDescent="0.35">
      <c r="A30">
        <v>26</v>
      </c>
      <c r="B30">
        <v>3.2939999999999997E-2</v>
      </c>
      <c r="C30">
        <v>1023</v>
      </c>
      <c r="D30">
        <v>4.0090000000000003</v>
      </c>
      <c r="E30">
        <v>9.3999999999999997E-4</v>
      </c>
      <c r="F30">
        <f t="shared" si="0"/>
        <v>9.1886608015640272E-7</v>
      </c>
    </row>
    <row r="31" spans="1:6" x14ac:dyDescent="0.35">
      <c r="A31">
        <v>27</v>
      </c>
      <c r="B31">
        <v>3.4939999999999999E-2</v>
      </c>
      <c r="C31">
        <v>1023</v>
      </c>
      <c r="D31">
        <v>4.01</v>
      </c>
      <c r="E31">
        <v>9.2000000000000003E-4</v>
      </c>
      <c r="F31">
        <f t="shared" si="0"/>
        <v>8.9931573802541547E-7</v>
      </c>
    </row>
    <row r="32" spans="1:6" x14ac:dyDescent="0.35">
      <c r="A32">
        <v>28</v>
      </c>
      <c r="B32">
        <v>3.705E-2</v>
      </c>
      <c r="C32">
        <v>1022</v>
      </c>
      <c r="D32">
        <v>4.01</v>
      </c>
      <c r="E32">
        <v>8.9999999999999998E-4</v>
      </c>
      <c r="F32">
        <f t="shared" si="0"/>
        <v>8.8062622309197648E-7</v>
      </c>
    </row>
    <row r="33" spans="1:6" x14ac:dyDescent="0.35">
      <c r="A33">
        <v>29</v>
      </c>
      <c r="B33">
        <v>3.9260000000000003E-2</v>
      </c>
      <c r="C33">
        <v>1022</v>
      </c>
      <c r="D33">
        <v>4.0110000000000001</v>
      </c>
      <c r="E33">
        <v>8.8000000000000003E-4</v>
      </c>
      <c r="F33">
        <f t="shared" si="0"/>
        <v>8.6105675146771045E-7</v>
      </c>
    </row>
    <row r="34" spans="1:6" x14ac:dyDescent="0.35">
      <c r="A34">
        <v>30</v>
      </c>
      <c r="B34">
        <v>4.1590000000000002E-2</v>
      </c>
      <c r="C34">
        <v>1022</v>
      </c>
      <c r="D34">
        <v>4.0110000000000001</v>
      </c>
      <c r="E34">
        <v>8.5999999999999998E-4</v>
      </c>
      <c r="F34">
        <f t="shared" si="0"/>
        <v>8.414872798434442E-7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AA686-8B29-49BB-B4C3-8EFAB315B86B}">
  <dimension ref="C148"/>
  <sheetViews>
    <sheetView zoomScale="57" zoomScaleNormal="57" workbookViewId="0">
      <selection activeCell="X43" sqref="X43"/>
    </sheetView>
  </sheetViews>
  <sheetFormatPr defaultRowHeight="15.5" x14ac:dyDescent="0.35"/>
  <sheetData>
    <row r="148" spans="3:3" x14ac:dyDescent="0.35">
      <c r="C148" t="s">
        <v>51</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EF82D-917E-4E24-944E-D8AF87FD7A7A}">
  <dimension ref="A1:AF60"/>
  <sheetViews>
    <sheetView zoomScale="57" zoomScaleNormal="57" workbookViewId="0">
      <selection activeCell="I6" sqref="I6"/>
    </sheetView>
  </sheetViews>
  <sheetFormatPr defaultColWidth="8.69140625" defaultRowHeight="14.5" x14ac:dyDescent="0.35"/>
  <cols>
    <col min="1" max="1" width="8.69140625" style="3"/>
    <col min="2" max="2" width="11" style="3" customWidth="1"/>
    <col min="3" max="4" width="8.69140625" style="3"/>
    <col min="5" max="5" width="10.07421875" style="3" customWidth="1"/>
    <col min="6" max="6" width="7.765625" style="3" customWidth="1"/>
    <col min="7" max="7" width="8.53515625" style="3" customWidth="1"/>
    <col min="8" max="8" width="8.69140625" style="3"/>
    <col min="9" max="9" width="10.84375" style="3" customWidth="1"/>
    <col min="10" max="10" width="9.15234375" style="3" customWidth="1"/>
    <col min="11" max="11" width="8.3828125" style="3" customWidth="1"/>
    <col min="12" max="12" width="8.53515625" style="5" customWidth="1"/>
    <col min="13" max="13" width="6.765625" style="4" customWidth="1"/>
    <col min="14" max="14" width="8.4609375" style="4" customWidth="1"/>
    <col min="15" max="15" width="9.07421875" style="4" customWidth="1"/>
    <col min="16" max="16" width="27.23046875" style="4" customWidth="1"/>
    <col min="17" max="17" width="36.61328125" style="4" customWidth="1"/>
    <col min="18" max="19" width="8.4609375" style="4" customWidth="1"/>
    <col min="20" max="20" width="10.23046875" style="3" customWidth="1"/>
    <col min="21" max="21" width="13.84375" style="3" customWidth="1"/>
    <col min="22" max="24" width="10" style="3" customWidth="1"/>
    <col min="25" max="25" width="24.69140625" style="3" customWidth="1"/>
    <col min="26" max="27" width="8.69140625" style="3"/>
    <col min="28" max="28" width="22" style="3" customWidth="1"/>
    <col min="29" max="29" width="35.84375" style="3" customWidth="1"/>
    <col min="30" max="30" width="16.84375" style="3" customWidth="1"/>
    <col min="31" max="16384" width="8.69140625" style="3"/>
  </cols>
  <sheetData>
    <row r="1" spans="1:30" x14ac:dyDescent="0.35">
      <c r="A1" s="48" t="s">
        <v>108</v>
      </c>
    </row>
    <row r="2" spans="1:30" ht="15.5" x14ac:dyDescent="0.35">
      <c r="A2" s="9"/>
      <c r="I2" s="9"/>
      <c r="J2" s="9"/>
    </row>
    <row r="3" spans="1:30" ht="15.5" x14ac:dyDescent="0.35">
      <c r="A3" s="9"/>
      <c r="I3" s="9"/>
      <c r="J3" s="9"/>
    </row>
    <row r="4" spans="1:30" x14ac:dyDescent="0.35">
      <c r="A4" s="51" t="s">
        <v>3</v>
      </c>
      <c r="B4" s="51"/>
      <c r="C4" s="51"/>
      <c r="D4" s="51"/>
      <c r="E4" s="51"/>
      <c r="F4" s="51"/>
      <c r="G4" s="51"/>
      <c r="H4" s="51"/>
      <c r="I4" s="51"/>
      <c r="J4" s="51"/>
      <c r="K4" s="51"/>
      <c r="L4" s="51"/>
      <c r="M4" s="51"/>
      <c r="N4" s="51"/>
      <c r="O4" s="30"/>
      <c r="P4" s="30"/>
      <c r="Q4" s="39"/>
      <c r="R4" s="31"/>
      <c r="S4" s="40"/>
    </row>
    <row r="6" spans="1:30" ht="15.5" x14ac:dyDescent="0.35">
      <c r="A6" s="29"/>
      <c r="B6" s="27" t="s">
        <v>4</v>
      </c>
      <c r="C6" s="27" t="s">
        <v>5</v>
      </c>
      <c r="D6" s="28" t="s">
        <v>6</v>
      </c>
      <c r="E6" s="28" t="s">
        <v>93</v>
      </c>
      <c r="F6" s="28" t="s">
        <v>7</v>
      </c>
      <c r="G6" s="28" t="s">
        <v>92</v>
      </c>
      <c r="H6" s="28" t="s">
        <v>8</v>
      </c>
      <c r="I6" s="27" t="s">
        <v>91</v>
      </c>
      <c r="J6" s="27" t="s">
        <v>90</v>
      </c>
      <c r="K6" s="27" t="s">
        <v>9</v>
      </c>
      <c r="L6" s="26" t="s">
        <v>10</v>
      </c>
      <c r="M6" s="25" t="s">
        <v>89</v>
      </c>
      <c r="N6" s="24" t="s">
        <v>11</v>
      </c>
      <c r="O6" s="11" t="s">
        <v>88</v>
      </c>
      <c r="P6" s="11" t="s">
        <v>12</v>
      </c>
      <c r="Q6" s="11" t="s">
        <v>98</v>
      </c>
      <c r="R6" s="11" t="s">
        <v>97</v>
      </c>
      <c r="S6" s="11"/>
      <c r="T6" s="23" t="s">
        <v>13</v>
      </c>
      <c r="U6" s="6" t="s">
        <v>10</v>
      </c>
      <c r="V6" s="23" t="s">
        <v>14</v>
      </c>
      <c r="W6" s="6" t="s">
        <v>15</v>
      </c>
      <c r="X6" s="9"/>
      <c r="Y6" s="52" t="s">
        <v>16</v>
      </c>
      <c r="Z6" s="52"/>
    </row>
    <row r="7" spans="1:30" ht="15.5" x14ac:dyDescent="0.35">
      <c r="A7" s="22" t="s">
        <v>17</v>
      </c>
      <c r="B7" s="3">
        <v>0</v>
      </c>
      <c r="C7" s="7">
        <f t="shared" ref="C7:C28" si="0">B7*0.0166667</f>
        <v>0</v>
      </c>
      <c r="D7" s="7">
        <f t="shared" ref="D7:D28" si="1">B7*0.000277778</f>
        <v>0</v>
      </c>
      <c r="E7" s="5">
        <f t="shared" ref="E7:E28" si="2">0.001*D7</f>
        <v>0</v>
      </c>
      <c r="F7" s="7">
        <f t="shared" ref="F7:F28" si="3">E7/Z$8</f>
        <v>0</v>
      </c>
      <c r="G7" s="7">
        <f t="shared" ref="G7:G28" si="4">F7^(2)</f>
        <v>0</v>
      </c>
      <c r="H7" s="7">
        <f t="shared" ref="H7:H28" si="5">F7*1.94384</f>
        <v>0</v>
      </c>
      <c r="I7" s="16"/>
      <c r="J7" s="16">
        <f t="shared" ref="J7:J28" si="6">I7 * 10</f>
        <v>0</v>
      </c>
      <c r="K7" s="15">
        <f t="shared" ref="K7:K28" si="7">J7*100</f>
        <v>0</v>
      </c>
      <c r="L7" s="5">
        <f>(F7*Z$12)/Z$13</f>
        <v>0</v>
      </c>
      <c r="T7" s="11">
        <v>0</v>
      </c>
      <c r="U7" s="10">
        <f t="shared" ref="U7:U28" si="8">(T7*Z$12)/Z$13</f>
        <v>0</v>
      </c>
      <c r="V7" s="10"/>
      <c r="W7" s="10"/>
    </row>
    <row r="8" spans="1:30" ht="15.5" x14ac:dyDescent="0.35">
      <c r="A8" s="3" t="s">
        <v>40</v>
      </c>
      <c r="B8" s="3">
        <v>1700</v>
      </c>
      <c r="C8" s="7">
        <f t="shared" si="0"/>
        <v>28.333389999999998</v>
      </c>
      <c r="D8" s="7">
        <f t="shared" si="1"/>
        <v>0.47222259999999999</v>
      </c>
      <c r="E8" s="5">
        <f t="shared" si="2"/>
        <v>4.7222259999999999E-4</v>
      </c>
      <c r="F8" s="7">
        <f t="shared" si="3"/>
        <v>0.94444519999999998</v>
      </c>
      <c r="G8" s="7">
        <f>F8^(2)</f>
        <v>0.89197673580303993</v>
      </c>
      <c r="H8" s="7">
        <f t="shared" si="5"/>
        <v>1.8358503575680001</v>
      </c>
      <c r="I8" s="3">
        <v>1.1658008512544793</v>
      </c>
      <c r="J8" s="16">
        <f t="shared" si="6"/>
        <v>11.658008512544793</v>
      </c>
      <c r="K8" s="15">
        <f t="shared" si="7"/>
        <v>1165.8008512544793</v>
      </c>
      <c r="L8" s="5">
        <f>(F8*R8)/Z$13</f>
        <v>15086.426160303949</v>
      </c>
      <c r="M8" s="4">
        <f>(Z$16*G8*N8)/8</f>
        <v>5.9614160324332888</v>
      </c>
      <c r="N8" s="4">
        <f>(K8*2*R8)/(Z$14*Z$16*G8)</f>
        <v>5.2162935717485641E-2</v>
      </c>
      <c r="O8" s="4">
        <f>N8/4</f>
        <v>1.304073392937141E-2</v>
      </c>
      <c r="P8" s="4">
        <f t="shared" ref="P8:P28" si="9">3.7*(10^(-1/(2*SQRT(N8)))-2.51/(L8*SQRT(N8)))</f>
        <v>2.1236959933993455E-2</v>
      </c>
      <c r="Q8" s="4">
        <f>$Z$11-([2]LF3!C7/1000)</f>
        <v>9.7824799999999996E-3</v>
      </c>
      <c r="R8" s="4">
        <f>2*(Q8*$Z$10)/(Q8+$Z$10)</f>
        <v>1.636345631696778E-2</v>
      </c>
      <c r="T8" s="11">
        <v>0.1</v>
      </c>
      <c r="U8" s="10">
        <f t="shared" si="8"/>
        <v>1626.984126984127</v>
      </c>
      <c r="V8" s="10">
        <f t="shared" ref="V8:V28" si="10">0.292/(U8^(0.25))</f>
        <v>4.5976618071962377E-2</v>
      </c>
      <c r="W8" s="10">
        <f t="shared" ref="W8:W28" si="11">0.0791/(U8^0.25)</f>
        <v>1.2454624964014468E-2</v>
      </c>
      <c r="X8" s="17"/>
      <c r="Y8" s="9" t="s">
        <v>18</v>
      </c>
      <c r="Z8" s="3">
        <f>Z$10*Z$11</f>
        <v>5.0000000000000001E-4</v>
      </c>
    </row>
    <row r="9" spans="1:30" ht="15.5" x14ac:dyDescent="0.35">
      <c r="A9" s="3" t="s">
        <v>87</v>
      </c>
      <c r="B9" s="3">
        <v>2100</v>
      </c>
      <c r="C9" s="7">
        <f t="shared" si="0"/>
        <v>35.000070000000001</v>
      </c>
      <c r="D9" s="7">
        <f t="shared" si="1"/>
        <v>0.58333380000000001</v>
      </c>
      <c r="E9" s="5">
        <f t="shared" si="2"/>
        <v>5.8333380000000006E-4</v>
      </c>
      <c r="F9" s="7">
        <f t="shared" si="3"/>
        <v>1.1666676</v>
      </c>
      <c r="G9" s="7">
        <f t="shared" si="4"/>
        <v>1.3611132888897601</v>
      </c>
      <c r="H9" s="7">
        <f t="shared" si="5"/>
        <v>2.2678151475840003</v>
      </c>
      <c r="I9" s="3">
        <v>1.7935440972222212</v>
      </c>
      <c r="J9" s="16">
        <f t="shared" si="6"/>
        <v>17.93544097222221</v>
      </c>
      <c r="K9" s="15">
        <f t="shared" si="7"/>
        <v>1793.5440972222209</v>
      </c>
      <c r="L9" s="5">
        <f t="shared" ref="L9:L28" si="12">(F9*R9)/Z$13</f>
        <v>18557.509953635461</v>
      </c>
      <c r="M9" s="4">
        <f t="shared" ref="M9:M28" si="13">(Z$16*G9*N9)/8</f>
        <v>9.1327186672509626</v>
      </c>
      <c r="N9" s="4">
        <f t="shared" ref="N9:N28" si="14">(K9*2*R9)/(Z$14*Z$16*G9)</f>
        <v>5.2368716133729523E-2</v>
      </c>
      <c r="O9" s="4">
        <f t="shared" ref="O9:O28" si="15">N9/4</f>
        <v>1.3092179033432381E-2</v>
      </c>
      <c r="P9" s="4">
        <f t="shared" si="9"/>
        <v>2.1983848183955199E-2</v>
      </c>
      <c r="Q9" s="4">
        <f>$Z$11-([2]LF3!C8/1000)</f>
        <v>9.7331499999999994E-3</v>
      </c>
      <c r="R9" s="4">
        <f t="shared" ref="R9:R28" si="16">2*(Q9*$Z$10)/(Q9+$Z$10)</f>
        <v>1.6294385948171158E-2</v>
      </c>
      <c r="T9" s="11">
        <v>0.2</v>
      </c>
      <c r="U9" s="10">
        <f t="shared" si="8"/>
        <v>3253.968253968254</v>
      </c>
      <c r="V9" s="10">
        <f t="shared" si="10"/>
        <v>3.8661573322202318E-2</v>
      </c>
      <c r="W9" s="10">
        <f t="shared" si="11"/>
        <v>1.0473049485569191E-2</v>
      </c>
      <c r="X9" s="17"/>
      <c r="Y9" s="3" t="s">
        <v>19</v>
      </c>
    </row>
    <row r="10" spans="1:30" ht="15.5" x14ac:dyDescent="0.35">
      <c r="A10" s="3" t="s">
        <v>41</v>
      </c>
      <c r="B10" s="3">
        <v>2600</v>
      </c>
      <c r="C10" s="7">
        <f t="shared" si="0"/>
        <v>43.333419999999997</v>
      </c>
      <c r="D10" s="7">
        <f t="shared" si="1"/>
        <v>0.72222280000000005</v>
      </c>
      <c r="E10" s="5">
        <f t="shared" si="2"/>
        <v>7.2222280000000007E-4</v>
      </c>
      <c r="F10" s="7">
        <f t="shared" si="3"/>
        <v>1.4444456000000001</v>
      </c>
      <c r="G10" s="7">
        <f t="shared" si="4"/>
        <v>2.0864230913593604</v>
      </c>
      <c r="H10" s="7">
        <f t="shared" si="5"/>
        <v>2.8077711351040002</v>
      </c>
      <c r="I10" s="3">
        <v>2.7476395609318991</v>
      </c>
      <c r="J10" s="16">
        <f t="shared" si="6"/>
        <v>27.476395609318992</v>
      </c>
      <c r="K10" s="15">
        <f t="shared" si="7"/>
        <v>2747.6395609318993</v>
      </c>
      <c r="L10" s="5">
        <f t="shared" si="12"/>
        <v>23060.553536426025</v>
      </c>
      <c r="M10" s="4">
        <f t="shared" si="13"/>
        <v>14.042478045572018</v>
      </c>
      <c r="N10" s="4">
        <f t="shared" si="14"/>
        <v>5.2530011339627071E-2</v>
      </c>
      <c r="O10" s="4">
        <f t="shared" si="15"/>
        <v>1.3132502834906768E-2</v>
      </c>
      <c r="P10" s="4">
        <f t="shared" si="9"/>
        <v>2.260113822729215E-2</v>
      </c>
      <c r="Q10" s="4">
        <f>$Z$11-([2]LF3!C9/1000)</f>
        <v>9.77599E-3</v>
      </c>
      <c r="R10" s="4">
        <f t="shared" si="16"/>
        <v>1.635437572844883E-2</v>
      </c>
      <c r="T10" s="11">
        <v>0.3</v>
      </c>
      <c r="U10" s="10">
        <f t="shared" si="8"/>
        <v>4880.9523809523807</v>
      </c>
      <c r="V10" s="10">
        <f t="shared" si="10"/>
        <v>3.493467511665093E-2</v>
      </c>
      <c r="W10" s="10">
        <f t="shared" si="11"/>
        <v>9.4634684990653733E-3</v>
      </c>
      <c r="X10" s="17"/>
      <c r="Y10" s="9" t="s">
        <v>20</v>
      </c>
      <c r="Z10" s="7">
        <v>0.05</v>
      </c>
      <c r="AC10" s="20" t="s">
        <v>73</v>
      </c>
    </row>
    <row r="11" spans="1:30" ht="15.5" x14ac:dyDescent="0.35">
      <c r="A11" s="3" t="s">
        <v>86</v>
      </c>
      <c r="B11" s="3">
        <v>3000</v>
      </c>
      <c r="C11" s="7">
        <f t="shared" si="0"/>
        <v>50.000099999999996</v>
      </c>
      <c r="D11" s="7">
        <f t="shared" si="1"/>
        <v>0.83333400000000002</v>
      </c>
      <c r="E11" s="5">
        <f t="shared" si="2"/>
        <v>8.3333400000000003E-4</v>
      </c>
      <c r="F11" s="7">
        <f t="shared" si="3"/>
        <v>1.666668</v>
      </c>
      <c r="G11" s="7">
        <f t="shared" si="4"/>
        <v>2.7777822222240003</v>
      </c>
      <c r="H11" s="7">
        <f t="shared" si="5"/>
        <v>3.2397359251200002</v>
      </c>
      <c r="I11" s="3">
        <v>3.6331169802867356</v>
      </c>
      <c r="J11" s="16">
        <f t="shared" si="6"/>
        <v>36.331169802867358</v>
      </c>
      <c r="K11" s="15">
        <f t="shared" si="7"/>
        <v>3633.1169802867357</v>
      </c>
      <c r="L11" s="5">
        <f t="shared" si="12"/>
        <v>26502.360622555469</v>
      </c>
      <c r="M11" s="4">
        <f t="shared" si="13"/>
        <v>18.493976402732887</v>
      </c>
      <c r="N11" s="4">
        <f t="shared" si="14"/>
        <v>5.1963479824126552E-2</v>
      </c>
      <c r="O11" s="4">
        <f t="shared" si="15"/>
        <v>1.2990869956031638E-2</v>
      </c>
      <c r="P11" s="4">
        <f t="shared" si="9"/>
        <v>2.2164831522142273E-2</v>
      </c>
      <c r="Q11" s="4">
        <f>$Z$11-([2]LF3!C10/1000)</f>
        <v>9.7294800000000004E-3</v>
      </c>
      <c r="R11" s="4">
        <f t="shared" si="16"/>
        <v>1.6289242765883782E-2</v>
      </c>
      <c r="T11" s="11">
        <v>0.4</v>
      </c>
      <c r="U11" s="10">
        <f t="shared" si="8"/>
        <v>6507.936507936508</v>
      </c>
      <c r="V11" s="10">
        <f t="shared" si="10"/>
        <v>3.2510378414708573E-2</v>
      </c>
      <c r="W11" s="10">
        <f t="shared" si="11"/>
        <v>8.8067497691898915E-3</v>
      </c>
      <c r="X11" s="17"/>
      <c r="Y11" s="9" t="s">
        <v>21</v>
      </c>
      <c r="Z11" s="7">
        <v>0.01</v>
      </c>
      <c r="AC11" s="21" t="s">
        <v>74</v>
      </c>
      <c r="AD11" s="3" t="s">
        <v>22</v>
      </c>
    </row>
    <row r="12" spans="1:30" ht="15.5" x14ac:dyDescent="0.35">
      <c r="A12" s="3" t="s">
        <v>42</v>
      </c>
      <c r="B12" s="3">
        <v>3350</v>
      </c>
      <c r="C12" s="7">
        <f t="shared" si="0"/>
        <v>55.833444999999998</v>
      </c>
      <c r="D12" s="7">
        <f t="shared" si="1"/>
        <v>0.9305563</v>
      </c>
      <c r="E12" s="5">
        <f t="shared" si="2"/>
        <v>9.3055630000000002E-4</v>
      </c>
      <c r="F12" s="7">
        <f t="shared" si="3"/>
        <v>1.8611126</v>
      </c>
      <c r="G12" s="7">
        <f t="shared" si="4"/>
        <v>3.4637401098787599</v>
      </c>
      <c r="H12" s="7">
        <f t="shared" si="5"/>
        <v>3.6177051163840002</v>
      </c>
      <c r="I12" s="3">
        <v>4.629997625448028</v>
      </c>
      <c r="J12" s="16">
        <f t="shared" si="6"/>
        <v>46.299976254480278</v>
      </c>
      <c r="K12" s="15">
        <f t="shared" si="7"/>
        <v>4629.997625448028</v>
      </c>
      <c r="L12" s="5">
        <f t="shared" si="12"/>
        <v>29410.854076769891</v>
      </c>
      <c r="M12" s="4">
        <f t="shared" si="13"/>
        <v>23.422390142368499</v>
      </c>
      <c r="N12" s="4">
        <f t="shared" si="14"/>
        <v>5.2777891202277057E-2</v>
      </c>
      <c r="O12" s="4">
        <f t="shared" si="15"/>
        <v>1.3194472800569264E-2</v>
      </c>
      <c r="P12" s="4">
        <f t="shared" si="9"/>
        <v>2.3273147656483539E-2</v>
      </c>
      <c r="Q12" s="4">
        <f>$Z$11-([2]LF3!C11/1000)</f>
        <v>9.657520000000001E-3</v>
      </c>
      <c r="R12" s="4">
        <f t="shared" si="16"/>
        <v>1.6188269307876025E-2</v>
      </c>
      <c r="T12" s="11">
        <v>0.5</v>
      </c>
      <c r="U12" s="10">
        <f t="shared" si="8"/>
        <v>8134.9206349206352</v>
      </c>
      <c r="V12" s="10">
        <f t="shared" si="10"/>
        <v>3.0746417591228595E-2</v>
      </c>
      <c r="W12" s="10">
        <f t="shared" si="11"/>
        <v>8.3289096968019935E-3</v>
      </c>
      <c r="X12" s="17"/>
      <c r="Y12" s="9" t="s">
        <v>71</v>
      </c>
      <c r="Z12" s="4">
        <f>2*(Z10*Z11)/(Z10+Z11)</f>
        <v>1.6666666666666666E-2</v>
      </c>
      <c r="AA12" s="9">
        <f>10*Z12*100</f>
        <v>16.666666666666664</v>
      </c>
      <c r="AC12" s="20" t="s">
        <v>75</v>
      </c>
      <c r="AD12" s="3" t="s">
        <v>23</v>
      </c>
    </row>
    <row r="13" spans="1:30" ht="15.5" x14ac:dyDescent="0.35">
      <c r="A13" s="3" t="s">
        <v>85</v>
      </c>
      <c r="B13" s="3">
        <v>3800</v>
      </c>
      <c r="C13" s="7">
        <f t="shared" si="0"/>
        <v>63.333459999999995</v>
      </c>
      <c r="D13" s="7">
        <f t="shared" si="1"/>
        <v>1.0555564</v>
      </c>
      <c r="E13" s="5">
        <f t="shared" si="2"/>
        <v>1.0555563999999999E-3</v>
      </c>
      <c r="F13" s="7">
        <f t="shared" si="3"/>
        <v>2.1111127999999999</v>
      </c>
      <c r="G13" s="7">
        <f t="shared" si="4"/>
        <v>4.4567972543238392</v>
      </c>
      <c r="H13" s="7">
        <f t="shared" si="5"/>
        <v>4.1036655051519997</v>
      </c>
      <c r="I13" s="3">
        <v>5.7232524641577047</v>
      </c>
      <c r="J13" s="16">
        <f t="shared" si="6"/>
        <v>57.232524641577044</v>
      </c>
      <c r="K13" s="15">
        <f t="shared" si="7"/>
        <v>5723.2524641577047</v>
      </c>
      <c r="L13" s="5">
        <f t="shared" si="12"/>
        <v>33375.548729294744</v>
      </c>
      <c r="M13" s="4">
        <f t="shared" si="13"/>
        <v>28.965120196747925</v>
      </c>
      <c r="N13" s="4">
        <f t="shared" si="14"/>
        <v>5.0724593896336941E-2</v>
      </c>
      <c r="O13" s="4">
        <f t="shared" si="15"/>
        <v>1.2681148474084235E-2</v>
      </c>
      <c r="P13" s="4">
        <f t="shared" si="9"/>
        <v>2.1057187790948062E-2</v>
      </c>
      <c r="Q13" s="4">
        <f>$Z$11-([2]LF3!C12/1000)</f>
        <v>9.6623500000000001E-3</v>
      </c>
      <c r="R13" s="4">
        <f t="shared" si="16"/>
        <v>1.6195054334936523E-2</v>
      </c>
      <c r="T13" s="11">
        <v>0.6</v>
      </c>
      <c r="U13" s="10">
        <f t="shared" si="8"/>
        <v>9761.9047619047615</v>
      </c>
      <c r="V13" s="10">
        <f t="shared" si="10"/>
        <v>2.9376443073644908E-2</v>
      </c>
      <c r="W13" s="10">
        <f t="shared" si="11"/>
        <v>7.9577967367305217E-3</v>
      </c>
      <c r="X13" s="17"/>
      <c r="Y13" s="9" t="s">
        <v>72</v>
      </c>
      <c r="Z13" s="8">
        <f>Z$17/Z$16</f>
        <v>1.024390243902439E-6</v>
      </c>
    </row>
    <row r="14" spans="1:30" ht="15.5" x14ac:dyDescent="0.35">
      <c r="A14" s="3" t="s">
        <v>43</v>
      </c>
      <c r="B14" s="3">
        <v>4200</v>
      </c>
      <c r="C14" s="7">
        <f t="shared" si="0"/>
        <v>70.000140000000002</v>
      </c>
      <c r="D14" s="7">
        <f t="shared" si="1"/>
        <v>1.1666676</v>
      </c>
      <c r="E14" s="5">
        <f t="shared" si="2"/>
        <v>1.1666676000000001E-3</v>
      </c>
      <c r="F14" s="7">
        <f t="shared" si="3"/>
        <v>2.3333352000000001</v>
      </c>
      <c r="G14" s="7">
        <f t="shared" si="4"/>
        <v>5.4444531555590405</v>
      </c>
      <c r="H14" s="7">
        <f t="shared" si="5"/>
        <v>4.5356302951680005</v>
      </c>
      <c r="I14" s="3">
        <v>6.9207492383512541</v>
      </c>
      <c r="J14" s="16">
        <f t="shared" si="6"/>
        <v>69.207492383512545</v>
      </c>
      <c r="K14" s="15">
        <f t="shared" si="7"/>
        <v>6920.7492383512545</v>
      </c>
      <c r="L14" s="5">
        <f t="shared" si="12"/>
        <v>37354.431473417128</v>
      </c>
      <c r="M14" s="4">
        <f t="shared" si="13"/>
        <v>35.467744164192794</v>
      </c>
      <c r="N14" s="4">
        <f t="shared" si="14"/>
        <v>5.0844668868942886E-2</v>
      </c>
      <c r="O14" s="4">
        <f>N14/4</f>
        <v>1.2711167217235721E-2</v>
      </c>
      <c r="P14" s="4">
        <f t="shared" si="9"/>
        <v>2.1325139131115986E-2</v>
      </c>
      <c r="Q14" s="4">
        <f>$Z$11-([2]LF3!C13/1000)</f>
        <v>9.808250000000001E-3</v>
      </c>
      <c r="R14" s="4">
        <f t="shared" si="16"/>
        <v>1.6399493380929886E-2</v>
      </c>
      <c r="T14" s="11">
        <v>0.7</v>
      </c>
      <c r="U14" s="10">
        <f t="shared" si="8"/>
        <v>11388.888888888887</v>
      </c>
      <c r="V14" s="10">
        <f t="shared" si="10"/>
        <v>2.8265880103407474E-2</v>
      </c>
      <c r="W14" s="10">
        <f t="shared" si="11"/>
        <v>7.6569558773271623E-3</v>
      </c>
      <c r="X14" s="17"/>
      <c r="Y14" s="9" t="s">
        <v>24</v>
      </c>
      <c r="Z14" s="3">
        <v>0.8</v>
      </c>
      <c r="AC14" s="20" t="s">
        <v>76</v>
      </c>
      <c r="AD14" s="9" t="s">
        <v>25</v>
      </c>
    </row>
    <row r="15" spans="1:30" ht="15.5" x14ac:dyDescent="0.35">
      <c r="A15" s="3" t="s">
        <v>84</v>
      </c>
      <c r="B15" s="3">
        <v>4550</v>
      </c>
      <c r="C15" s="7">
        <f t="shared" si="0"/>
        <v>75.833484999999996</v>
      </c>
      <c r="D15" s="7">
        <f t="shared" si="1"/>
        <v>1.2638899000000001</v>
      </c>
      <c r="E15" s="5">
        <f t="shared" si="2"/>
        <v>1.2638899000000001E-3</v>
      </c>
      <c r="F15" s="7">
        <f t="shared" si="3"/>
        <v>2.5277798000000002</v>
      </c>
      <c r="G15" s="7">
        <f t="shared" si="4"/>
        <v>6.3896707172880411</v>
      </c>
      <c r="H15" s="7">
        <f t="shared" si="5"/>
        <v>4.9135994864320001</v>
      </c>
      <c r="I15" s="3">
        <v>8.0258008512544805</v>
      </c>
      <c r="J15" s="16">
        <f t="shared" si="6"/>
        <v>80.258008512544805</v>
      </c>
      <c r="K15" s="15">
        <f t="shared" si="7"/>
        <v>8025.8008512544802</v>
      </c>
      <c r="L15" s="5">
        <f t="shared" si="12"/>
        <v>40297.735531614446</v>
      </c>
      <c r="M15" s="4">
        <f t="shared" si="13"/>
        <v>40.958612653363133</v>
      </c>
      <c r="N15" s="4">
        <f t="shared" si="14"/>
        <v>5.0030274007987804E-2</v>
      </c>
      <c r="O15" s="4">
        <f t="shared" si="15"/>
        <v>1.2507568501996951E-2</v>
      </c>
      <c r="P15" s="4">
        <f t="shared" si="9"/>
        <v>2.0488085552348267E-2</v>
      </c>
      <c r="Q15" s="4">
        <f>$Z$11-([2]LF3!C14/1000)</f>
        <v>9.7591299999999995E-3</v>
      </c>
      <c r="R15" s="4">
        <f t="shared" si="16"/>
        <v>1.6330776569203734E-2</v>
      </c>
      <c r="T15" s="11">
        <v>0.8</v>
      </c>
      <c r="U15" s="10">
        <f t="shared" si="8"/>
        <v>13015.873015873016</v>
      </c>
      <c r="V15" s="10">
        <f t="shared" si="10"/>
        <v>2.7337860667470175E-2</v>
      </c>
      <c r="W15" s="10">
        <f t="shared" si="11"/>
        <v>7.4055643109482575E-3</v>
      </c>
      <c r="X15" s="17"/>
    </row>
    <row r="16" spans="1:30" ht="15.5" x14ac:dyDescent="0.35">
      <c r="A16" s="3" t="s">
        <v>44</v>
      </c>
      <c r="B16" s="3">
        <v>4950</v>
      </c>
      <c r="C16" s="7">
        <f t="shared" si="0"/>
        <v>82.500164999999996</v>
      </c>
      <c r="D16" s="7">
        <f t="shared" si="1"/>
        <v>1.3750011</v>
      </c>
      <c r="E16" s="5">
        <f t="shared" si="2"/>
        <v>1.3750011000000001E-3</v>
      </c>
      <c r="F16" s="7">
        <f t="shared" si="3"/>
        <v>2.7500022</v>
      </c>
      <c r="G16" s="7">
        <f t="shared" si="4"/>
        <v>7.5625121000048399</v>
      </c>
      <c r="H16" s="7">
        <f t="shared" si="5"/>
        <v>5.345564276448</v>
      </c>
      <c r="I16" s="3">
        <v>8.735216429539296</v>
      </c>
      <c r="J16" s="16">
        <f t="shared" si="6"/>
        <v>87.352164295392953</v>
      </c>
      <c r="K16" s="15">
        <f t="shared" si="7"/>
        <v>8735.2164295392959</v>
      </c>
      <c r="L16" s="5">
        <f t="shared" si="12"/>
        <v>43781.931758187238</v>
      </c>
      <c r="M16" s="4">
        <f t="shared" si="13"/>
        <v>44.51957437232717</v>
      </c>
      <c r="N16" s="4">
        <f t="shared" si="14"/>
        <v>4.5946352768070853E-2</v>
      </c>
      <c r="O16" s="4">
        <f t="shared" si="15"/>
        <v>1.1486588192017713E-2</v>
      </c>
      <c r="P16" s="4">
        <f t="shared" si="9"/>
        <v>1.6212416988581061E-2</v>
      </c>
      <c r="Q16" s="4">
        <f>$Z$11-([2]LF3!C15/1000)</f>
        <v>9.7435799999999999E-3</v>
      </c>
      <c r="R16" s="4">
        <f t="shared" si="16"/>
        <v>1.630899922636039E-2</v>
      </c>
      <c r="S16" s="16"/>
      <c r="T16" s="11">
        <v>0.9</v>
      </c>
      <c r="U16" s="10">
        <f t="shared" si="8"/>
        <v>14642.857142857143</v>
      </c>
      <c r="V16" s="10">
        <f t="shared" si="10"/>
        <v>2.6544612820276092E-2</v>
      </c>
      <c r="W16" s="10">
        <f t="shared" si="11"/>
        <v>7.1906810756295868E-3</v>
      </c>
      <c r="X16" s="17"/>
      <c r="Y16" s="3" t="s">
        <v>26</v>
      </c>
      <c r="Z16" s="3">
        <f>VLOOKUP(Z18, Seawater!A4:F34, 3, FALSE)</f>
        <v>1025</v>
      </c>
    </row>
    <row r="17" spans="1:32" ht="15.5" x14ac:dyDescent="0.35">
      <c r="A17" s="3" t="s">
        <v>83</v>
      </c>
      <c r="B17" s="3">
        <v>5300</v>
      </c>
      <c r="C17" s="7">
        <f t="shared" si="0"/>
        <v>88.333510000000004</v>
      </c>
      <c r="D17" s="7">
        <f t="shared" si="1"/>
        <v>1.4722234000000001</v>
      </c>
      <c r="E17" s="5">
        <f t="shared" si="2"/>
        <v>1.4722234000000001E-3</v>
      </c>
      <c r="F17" s="7">
        <f t="shared" si="3"/>
        <v>2.9444468000000001</v>
      </c>
      <c r="G17" s="7">
        <f t="shared" si="4"/>
        <v>8.669766958030241</v>
      </c>
      <c r="H17" s="7">
        <f t="shared" si="5"/>
        <v>5.7235334677120004</v>
      </c>
      <c r="I17" s="3">
        <v>8.9276702060931896</v>
      </c>
      <c r="J17" s="16">
        <f t="shared" si="6"/>
        <v>89.276702060931896</v>
      </c>
      <c r="K17" s="15">
        <f t="shared" si="7"/>
        <v>8927.6702060931893</v>
      </c>
      <c r="L17" s="5">
        <f t="shared" si="12"/>
        <v>46688.956144955337</v>
      </c>
      <c r="M17" s="4">
        <f t="shared" si="13"/>
        <v>45.31730205481221</v>
      </c>
      <c r="N17" s="4">
        <f t="shared" si="14"/>
        <v>4.0796484813234009E-2</v>
      </c>
      <c r="O17" s="4">
        <f t="shared" si="15"/>
        <v>1.0199121203308502E-2</v>
      </c>
      <c r="P17" s="4">
        <f t="shared" si="9"/>
        <v>1.1395354838373234E-2</v>
      </c>
      <c r="Q17" s="4">
        <f>$Z$11-([2]LF3!C16/1000)</f>
        <v>9.6967600000000004E-3</v>
      </c>
      <c r="R17" s="4">
        <f t="shared" si="16"/>
        <v>1.6243360611195651E-2</v>
      </c>
      <c r="T17" s="11">
        <v>1</v>
      </c>
      <c r="U17" s="10">
        <f t="shared" si="8"/>
        <v>16269.84126984127</v>
      </c>
      <c r="V17" s="10">
        <f t="shared" si="10"/>
        <v>2.5854552334357874E-2</v>
      </c>
      <c r="W17" s="10">
        <f t="shared" si="11"/>
        <v>7.0037503070126987E-3</v>
      </c>
      <c r="X17" s="17"/>
      <c r="Y17" s="3" t="s">
        <v>27</v>
      </c>
      <c r="Z17" s="3">
        <f>VLOOKUP(Z18, Seawater!A4:F34, 5, FALSE)</f>
        <v>1.0499999999999999E-3</v>
      </c>
      <c r="AC17" s="12"/>
      <c r="AD17" s="12"/>
      <c r="AE17" s="12"/>
      <c r="AF17" s="12"/>
    </row>
    <row r="18" spans="1:32" ht="15.5" x14ac:dyDescent="0.35">
      <c r="A18" s="3" t="s">
        <v>50</v>
      </c>
      <c r="B18" s="3">
        <v>5600</v>
      </c>
      <c r="C18" s="7">
        <f t="shared" si="0"/>
        <v>93.333519999999993</v>
      </c>
      <c r="D18" s="7">
        <f t="shared" si="1"/>
        <v>1.5555568</v>
      </c>
      <c r="E18" s="5">
        <f t="shared" si="2"/>
        <v>1.5555568000000001E-3</v>
      </c>
      <c r="F18" s="7">
        <f t="shared" si="3"/>
        <v>3.1111135999999999</v>
      </c>
      <c r="G18" s="7">
        <f t="shared" si="4"/>
        <v>9.6790278321049588</v>
      </c>
      <c r="H18" s="7">
        <f t="shared" si="5"/>
        <v>6.0475070602239995</v>
      </c>
      <c r="I18" s="3">
        <v>8.9686709967320191</v>
      </c>
      <c r="J18" s="16">
        <f t="shared" si="6"/>
        <v>89.686709967320184</v>
      </c>
      <c r="K18" s="15">
        <f t="shared" si="7"/>
        <v>8968.6709967320185</v>
      </c>
      <c r="L18" s="5">
        <f t="shared" si="12"/>
        <v>49806.545409764061</v>
      </c>
      <c r="M18" s="4">
        <f t="shared" si="13"/>
        <v>45.963606598501585</v>
      </c>
      <c r="N18" s="4">
        <f t="shared" si="14"/>
        <v>3.7063675237455074E-2</v>
      </c>
      <c r="O18" s="4">
        <f t="shared" si="15"/>
        <v>9.2659188093637684E-3</v>
      </c>
      <c r="P18" s="4">
        <f t="shared" si="9"/>
        <v>8.386800643759254E-3</v>
      </c>
      <c r="Q18" s="4">
        <f>$Z$11-([2]LF3!C17/1000)</f>
        <v>9.8084000000000001E-3</v>
      </c>
      <c r="R18" s="4">
        <f t="shared" si="16"/>
        <v>1.6399703051745238E-2</v>
      </c>
      <c r="S18" s="11"/>
      <c r="T18" s="11">
        <v>1.1000000000000001</v>
      </c>
      <c r="U18" s="10">
        <f t="shared" si="8"/>
        <v>17896.825396825396</v>
      </c>
      <c r="V18" s="10">
        <f t="shared" si="10"/>
        <v>2.5245783363633954E-2</v>
      </c>
      <c r="W18" s="10">
        <f t="shared" si="11"/>
        <v>6.8388406303542667E-3</v>
      </c>
      <c r="X18" s="17"/>
      <c r="Y18" s="3" t="s">
        <v>70</v>
      </c>
      <c r="Z18" s="3">
        <v>21</v>
      </c>
      <c r="AC18" s="12"/>
      <c r="AD18" s="12"/>
      <c r="AE18" s="12"/>
      <c r="AF18" s="12"/>
    </row>
    <row r="19" spans="1:32" ht="15.5" x14ac:dyDescent="0.35">
      <c r="A19" s="3" t="s">
        <v>82</v>
      </c>
      <c r="B19" s="3">
        <v>5250</v>
      </c>
      <c r="C19" s="7">
        <f t="shared" si="0"/>
        <v>87.500174999999999</v>
      </c>
      <c r="D19" s="7">
        <f t="shared" si="1"/>
        <v>1.4583345000000001</v>
      </c>
      <c r="E19" s="5">
        <f t="shared" si="2"/>
        <v>1.4583345000000001E-3</v>
      </c>
      <c r="F19" s="7">
        <f t="shared" si="3"/>
        <v>2.9166690000000002</v>
      </c>
      <c r="G19" s="7">
        <f t="shared" si="4"/>
        <v>8.5069580555610003</v>
      </c>
      <c r="H19" s="7">
        <f t="shared" si="5"/>
        <v>5.66953786896</v>
      </c>
      <c r="I19" s="3">
        <v>8.9293331093189963</v>
      </c>
      <c r="J19" s="16">
        <f t="shared" si="6"/>
        <v>89.293331093189963</v>
      </c>
      <c r="K19" s="15">
        <f t="shared" si="7"/>
        <v>8929.3331093189954</v>
      </c>
      <c r="L19" s="5">
        <f t="shared" si="12"/>
        <v>46663.186529224142</v>
      </c>
      <c r="M19" s="4">
        <f t="shared" si="13"/>
        <v>45.732161318607083</v>
      </c>
      <c r="N19" s="4">
        <f t="shared" si="14"/>
        <v>4.1957881967639041E-2</v>
      </c>
      <c r="O19" s="4">
        <f t="shared" si="15"/>
        <v>1.048947049190976E-2</v>
      </c>
      <c r="P19" s="4">
        <f t="shared" si="9"/>
        <v>1.2432165676872844E-2</v>
      </c>
      <c r="Q19" s="4">
        <f>$Z$11-([2]LF3!C18/1000)</f>
        <v>9.8007500000000004E-3</v>
      </c>
      <c r="R19" s="4">
        <f t="shared" si="16"/>
        <v>1.6389008499057289E-2</v>
      </c>
      <c r="T19" s="11">
        <v>1.2</v>
      </c>
      <c r="U19" s="10">
        <f t="shared" si="8"/>
        <v>19523.809523809523</v>
      </c>
      <c r="V19" s="10">
        <f t="shared" si="10"/>
        <v>2.4702545673532816E-2</v>
      </c>
      <c r="W19" s="10">
        <f t="shared" si="11"/>
        <v>6.6916827492344037E-3</v>
      </c>
      <c r="X19" s="17"/>
      <c r="Y19" s="9"/>
      <c r="Z19" s="9"/>
      <c r="AC19" s="14" t="s">
        <v>28</v>
      </c>
      <c r="AD19" s="14"/>
      <c r="AE19" s="14"/>
      <c r="AF19" s="14"/>
    </row>
    <row r="20" spans="1:32" ht="15.5" x14ac:dyDescent="0.35">
      <c r="A20" s="18" t="s">
        <v>45</v>
      </c>
      <c r="B20" s="3">
        <v>4900</v>
      </c>
      <c r="C20" s="7">
        <f t="shared" si="0"/>
        <v>81.666830000000004</v>
      </c>
      <c r="D20" s="7">
        <f t="shared" si="1"/>
        <v>1.3611122</v>
      </c>
      <c r="E20" s="5">
        <f t="shared" si="2"/>
        <v>1.3611122000000001E-3</v>
      </c>
      <c r="F20" s="7">
        <f t="shared" si="3"/>
        <v>2.7222244</v>
      </c>
      <c r="G20" s="7">
        <f t="shared" si="4"/>
        <v>7.4105056839553596</v>
      </c>
      <c r="H20" s="7">
        <f t="shared" si="5"/>
        <v>5.2915686776959996</v>
      </c>
      <c r="I20" s="16">
        <v>8.6609460125448017</v>
      </c>
      <c r="J20" s="16">
        <f t="shared" si="6"/>
        <v>86.60946012544801</v>
      </c>
      <c r="K20" s="15">
        <f t="shared" si="7"/>
        <v>8660.9460125448004</v>
      </c>
      <c r="L20" s="5">
        <f t="shared" si="12"/>
        <v>43618.274806792528</v>
      </c>
      <c r="M20" s="4">
        <f t="shared" si="13"/>
        <v>44.424786446552694</v>
      </c>
      <c r="N20" s="4">
        <f t="shared" si="14"/>
        <v>4.6788985171305177E-2</v>
      </c>
      <c r="O20" s="4">
        <f t="shared" si="15"/>
        <v>1.1697246292826294E-2</v>
      </c>
      <c r="P20" s="4">
        <f t="shared" si="9"/>
        <v>1.70740660968829E-2</v>
      </c>
      <c r="Q20" s="4">
        <f>$Z$11-([2]LF3!C19/1000)</f>
        <v>9.8185100000000008E-3</v>
      </c>
      <c r="R20" s="4">
        <f t="shared" si="16"/>
        <v>1.6413832440828099E-2</v>
      </c>
      <c r="T20" s="11">
        <v>1.3</v>
      </c>
      <c r="U20" s="10">
        <f t="shared" si="8"/>
        <v>21150.79365079365</v>
      </c>
      <c r="V20" s="10">
        <f t="shared" si="10"/>
        <v>2.4213143973354254E-2</v>
      </c>
      <c r="W20" s="10">
        <f t="shared" si="11"/>
        <v>6.5591085215490471E-3</v>
      </c>
      <c r="X20" s="17"/>
      <c r="AC20" s="19" t="s">
        <v>29</v>
      </c>
      <c r="AD20" s="14" t="s">
        <v>30</v>
      </c>
      <c r="AE20" s="14" t="s">
        <v>31</v>
      </c>
      <c r="AF20" s="14" t="s">
        <v>32</v>
      </c>
    </row>
    <row r="21" spans="1:32" ht="15.5" x14ac:dyDescent="0.35">
      <c r="A21" s="18" t="s">
        <v>81</v>
      </c>
      <c r="B21" s="3">
        <v>4500</v>
      </c>
      <c r="C21" s="7">
        <f t="shared" si="0"/>
        <v>75.000150000000005</v>
      </c>
      <c r="D21" s="7">
        <f t="shared" si="1"/>
        <v>1.2500010000000001</v>
      </c>
      <c r="E21" s="5">
        <f t="shared" si="2"/>
        <v>1.2500010000000002E-3</v>
      </c>
      <c r="F21" s="7">
        <f t="shared" si="3"/>
        <v>2.5000020000000003</v>
      </c>
      <c r="G21" s="7">
        <f t="shared" si="4"/>
        <v>6.2500100000040018</v>
      </c>
      <c r="H21" s="7">
        <f t="shared" si="5"/>
        <v>4.8596038876800005</v>
      </c>
      <c r="I21" s="16">
        <v>7.711913754480288</v>
      </c>
      <c r="J21" s="16">
        <f t="shared" si="6"/>
        <v>77.119137544802882</v>
      </c>
      <c r="K21" s="15">
        <f t="shared" si="7"/>
        <v>7711.9137544802879</v>
      </c>
      <c r="L21" s="5">
        <f t="shared" si="12"/>
        <v>40152.084942600886</v>
      </c>
      <c r="M21" s="4">
        <f t="shared" si="13"/>
        <v>39.65019839531687</v>
      </c>
      <c r="N21" s="4">
        <f t="shared" si="14"/>
        <v>4.95143148707285E-2</v>
      </c>
      <c r="O21" s="4">
        <f t="shared" si="15"/>
        <v>1.2378578717682125E-2</v>
      </c>
      <c r="P21" s="4">
        <f t="shared" si="9"/>
        <v>1.9911022046449366E-2</v>
      </c>
      <c r="Q21" s="4">
        <f>$Z$11-([2]LF3!C20/1000)</f>
        <v>9.846230000000001E-3</v>
      </c>
      <c r="R21" s="4">
        <f t="shared" si="16"/>
        <v>1.6452548472978168E-2</v>
      </c>
      <c r="T21" s="11">
        <v>1.4</v>
      </c>
      <c r="U21" s="10">
        <f t="shared" si="8"/>
        <v>22777.777777777774</v>
      </c>
      <c r="V21" s="10">
        <f t="shared" si="10"/>
        <v>2.3768677252946641E-2</v>
      </c>
      <c r="W21" s="10">
        <f t="shared" si="11"/>
        <v>6.4387067490002722E-3</v>
      </c>
      <c r="X21" s="17"/>
      <c r="Y21" s="9" t="s">
        <v>33</v>
      </c>
      <c r="Z21" s="9">
        <f>4*10^(-6)</f>
        <v>3.9999999999999998E-6</v>
      </c>
      <c r="AC21" s="19" t="s">
        <v>34</v>
      </c>
      <c r="AD21" s="14" t="s">
        <v>35</v>
      </c>
      <c r="AE21" s="14" t="s">
        <v>36</v>
      </c>
      <c r="AF21" s="14" t="s">
        <v>37</v>
      </c>
    </row>
    <row r="22" spans="1:32" ht="15.5" x14ac:dyDescent="0.35">
      <c r="A22" s="18" t="s">
        <v>46</v>
      </c>
      <c r="B22" s="3">
        <v>4050</v>
      </c>
      <c r="C22" s="7">
        <f t="shared" si="0"/>
        <v>67.500135</v>
      </c>
      <c r="D22" s="7">
        <f t="shared" si="1"/>
        <v>1.1250009000000001</v>
      </c>
      <c r="E22" s="3">
        <f t="shared" si="2"/>
        <v>1.1250009E-3</v>
      </c>
      <c r="F22" s="7">
        <f t="shared" si="3"/>
        <v>2.2500018000000002</v>
      </c>
      <c r="G22" s="7">
        <f t="shared" si="4"/>
        <v>5.0625081000032406</v>
      </c>
      <c r="H22" s="7">
        <f t="shared" si="5"/>
        <v>4.3736434989120001</v>
      </c>
      <c r="I22" s="16">
        <v>6.3542222222222211</v>
      </c>
      <c r="J22" s="16">
        <f t="shared" si="6"/>
        <v>63.542222222222208</v>
      </c>
      <c r="K22" s="15">
        <f t="shared" si="7"/>
        <v>6354.2222222222208</v>
      </c>
      <c r="L22" s="5">
        <f t="shared" si="12"/>
        <v>36062.181789654795</v>
      </c>
      <c r="M22" s="4">
        <f t="shared" si="13"/>
        <v>32.60220599887532</v>
      </c>
      <c r="N22" s="4">
        <f t="shared" si="14"/>
        <v>5.0262880950704775E-2</v>
      </c>
      <c r="O22" s="4">
        <f t="shared" si="15"/>
        <v>1.2565720237676194E-2</v>
      </c>
      <c r="P22" s="4">
        <f t="shared" si="9"/>
        <v>2.0627857554400615E-2</v>
      </c>
      <c r="Q22" s="4">
        <f>$Z$11-([2]LF3!C21/1000)</f>
        <v>9.8218799999999998E-3</v>
      </c>
      <c r="R22" s="4">
        <f t="shared" si="16"/>
        <v>1.6418541175904199E-2</v>
      </c>
      <c r="T22" s="11">
        <v>1.5</v>
      </c>
      <c r="U22" s="10">
        <f t="shared" si="8"/>
        <v>24404.761904761905</v>
      </c>
      <c r="V22" s="10">
        <f t="shared" si="10"/>
        <v>2.3362225291761372E-2</v>
      </c>
      <c r="W22" s="10">
        <f t="shared" si="11"/>
        <v>6.3286028101997415E-3</v>
      </c>
      <c r="X22" s="17"/>
      <c r="Y22" s="9" t="s">
        <v>38</v>
      </c>
      <c r="Z22" s="3">
        <f>Z21/Z12</f>
        <v>2.3999999999999998E-4</v>
      </c>
      <c r="AC22" s="14">
        <v>0</v>
      </c>
      <c r="AD22" s="14">
        <v>1.792E-3</v>
      </c>
      <c r="AE22" s="14">
        <v>999.87</v>
      </c>
      <c r="AF22" s="13">
        <v>1.7922329902887374E-6</v>
      </c>
    </row>
    <row r="23" spans="1:32" ht="15.5" x14ac:dyDescent="0.35">
      <c r="A23" s="18" t="s">
        <v>80</v>
      </c>
      <c r="B23" s="3">
        <v>3750</v>
      </c>
      <c r="C23" s="7">
        <f t="shared" si="0"/>
        <v>62.500124999999997</v>
      </c>
      <c r="D23" s="7">
        <f t="shared" si="1"/>
        <v>1.0416675</v>
      </c>
      <c r="E23" s="5">
        <f t="shared" si="2"/>
        <v>1.0416675E-3</v>
      </c>
      <c r="F23" s="7">
        <f t="shared" si="3"/>
        <v>2.0833349999999999</v>
      </c>
      <c r="G23" s="7">
        <f t="shared" si="4"/>
        <v>4.3402847222249994</v>
      </c>
      <c r="H23" s="7">
        <f t="shared" si="5"/>
        <v>4.0496699064000001</v>
      </c>
      <c r="I23" s="16">
        <v>5.3480427867383495</v>
      </c>
      <c r="J23" s="16">
        <f t="shared" si="6"/>
        <v>53.480427867383497</v>
      </c>
      <c r="K23" s="15">
        <f t="shared" si="7"/>
        <v>5348.0427867383496</v>
      </c>
      <c r="L23" s="5">
        <f t="shared" si="12"/>
        <v>33119.998149553045</v>
      </c>
      <c r="M23" s="4">
        <f t="shared" si="13"/>
        <v>27.217079527877342</v>
      </c>
      <c r="N23" s="4">
        <f t="shared" si="14"/>
        <v>4.8942868994581723E-2</v>
      </c>
      <c r="O23" s="4">
        <f t="shared" si="15"/>
        <v>1.2235717248645431E-2</v>
      </c>
      <c r="P23" s="3">
        <f t="shared" si="9"/>
        <v>1.9061428597043115E-2</v>
      </c>
      <c r="Q23" s="4">
        <f>$Z$11-([2]LF3!C22/1000)</f>
        <v>9.7266899999999996E-3</v>
      </c>
      <c r="R23" s="4">
        <f t="shared" si="16"/>
        <v>1.6285332403319187E-2</v>
      </c>
      <c r="T23" s="11">
        <v>1.6</v>
      </c>
      <c r="U23" s="10">
        <f t="shared" si="8"/>
        <v>26031.746031746032</v>
      </c>
      <c r="V23" s="10">
        <f t="shared" si="10"/>
        <v>2.2988309035981189E-2</v>
      </c>
      <c r="W23" s="10">
        <f t="shared" si="11"/>
        <v>6.2273124820072341E-3</v>
      </c>
      <c r="X23" s="17"/>
      <c r="AC23" s="14">
        <v>5</v>
      </c>
      <c r="AD23" s="14">
        <v>1.519E-3</v>
      </c>
      <c r="AE23" s="14">
        <v>999.99</v>
      </c>
      <c r="AF23" s="13">
        <v>1.5190151901519014E-6</v>
      </c>
    </row>
    <row r="24" spans="1:32" ht="15.5" x14ac:dyDescent="0.35">
      <c r="A24" s="3" t="s">
        <v>47</v>
      </c>
      <c r="B24" s="3">
        <v>3400</v>
      </c>
      <c r="C24" s="7">
        <f t="shared" si="0"/>
        <v>56.666779999999996</v>
      </c>
      <c r="D24" s="7">
        <f t="shared" si="1"/>
        <v>0.94444519999999998</v>
      </c>
      <c r="E24" s="5">
        <f t="shared" si="2"/>
        <v>9.4444519999999999E-4</v>
      </c>
      <c r="F24" s="5">
        <f t="shared" si="3"/>
        <v>1.8888904</v>
      </c>
      <c r="G24" s="7">
        <f t="shared" si="4"/>
        <v>3.5679069432121597</v>
      </c>
      <c r="H24" s="7">
        <f t="shared" si="5"/>
        <v>3.6717007151360002</v>
      </c>
      <c r="I24" s="7">
        <v>4.3196556899641569</v>
      </c>
      <c r="J24" s="16">
        <f t="shared" si="6"/>
        <v>43.196556899641571</v>
      </c>
      <c r="K24" s="15">
        <f t="shared" si="7"/>
        <v>4319.6556899641573</v>
      </c>
      <c r="L24" s="5">
        <f t="shared" si="12"/>
        <v>30184.563114795539</v>
      </c>
      <c r="M24" s="4">
        <f t="shared" si="13"/>
        <v>22.09747859505762</v>
      </c>
      <c r="N24" s="4">
        <f t="shared" si="14"/>
        <v>4.8338739873268713E-2</v>
      </c>
      <c r="O24" s="4">
        <f t="shared" si="15"/>
        <v>1.2084684968317178E-2</v>
      </c>
      <c r="P24" s="4">
        <f t="shared" si="9"/>
        <v>1.8281035785775664E-2</v>
      </c>
      <c r="Q24" s="4">
        <f>$Z$11-([2]LF3!C23/1000)</f>
        <v>9.7870200000000004E-3</v>
      </c>
      <c r="R24" s="4">
        <f t="shared" si="16"/>
        <v>1.6369807359523859E-2</v>
      </c>
      <c r="T24" s="11">
        <v>1.7</v>
      </c>
      <c r="U24" s="10">
        <f t="shared" si="8"/>
        <v>27658.730158730159</v>
      </c>
      <c r="V24" s="10">
        <f t="shared" si="10"/>
        <v>2.2642521673298031E-2</v>
      </c>
      <c r="W24" s="10">
        <f t="shared" si="11"/>
        <v>6.1336420012255977E-3</v>
      </c>
      <c r="X24" s="17"/>
      <c r="Y24" s="8"/>
      <c r="AC24" s="14">
        <f>AC23+5</f>
        <v>10</v>
      </c>
      <c r="AD24" s="14">
        <v>1.3079999999999999E-3</v>
      </c>
      <c r="AE24" s="14">
        <v>999.73</v>
      </c>
      <c r="AF24" s="13">
        <v>1.3083532553789522E-6</v>
      </c>
    </row>
    <row r="25" spans="1:32" ht="15.5" x14ac:dyDescent="0.35">
      <c r="A25" s="3" t="s">
        <v>79</v>
      </c>
      <c r="B25" s="3">
        <v>2950</v>
      </c>
      <c r="C25" s="7">
        <f t="shared" si="0"/>
        <v>49.166764999999998</v>
      </c>
      <c r="D25" s="7">
        <f t="shared" si="1"/>
        <v>0.81944510000000004</v>
      </c>
      <c r="E25" s="5">
        <f t="shared" si="2"/>
        <v>8.1944510000000006E-4</v>
      </c>
      <c r="F25" s="5">
        <f t="shared" si="3"/>
        <v>1.6388902000000001</v>
      </c>
      <c r="G25" s="7">
        <f t="shared" si="4"/>
        <v>2.68596108765604</v>
      </c>
      <c r="H25" s="7">
        <f t="shared" si="5"/>
        <v>3.1857403263680002</v>
      </c>
      <c r="I25" s="7">
        <v>3.3461073028673827</v>
      </c>
      <c r="J25" s="16">
        <f t="shared" si="6"/>
        <v>33.461073028673823</v>
      </c>
      <c r="K25" s="15">
        <f t="shared" si="7"/>
        <v>3346.1073028673823</v>
      </c>
      <c r="L25" s="5">
        <f t="shared" si="12"/>
        <v>26234.782441492276</v>
      </c>
      <c r="M25" s="4">
        <f t="shared" si="13"/>
        <v>17.146793904557533</v>
      </c>
      <c r="N25" s="4">
        <f t="shared" si="14"/>
        <v>4.9825232378713474E-2</v>
      </c>
      <c r="O25" s="4">
        <f t="shared" si="15"/>
        <v>1.2456308094678369E-2</v>
      </c>
      <c r="P25" s="4">
        <f t="shared" si="9"/>
        <v>1.97060645482783E-2</v>
      </c>
      <c r="Q25" s="4">
        <f>$Z$11-([2]LF3!C24/1000)</f>
        <v>9.8072400000000001E-3</v>
      </c>
      <c r="R25" s="4">
        <f t="shared" si="16"/>
        <v>1.6398081570057406E-2</v>
      </c>
      <c r="T25" s="11">
        <v>1.8</v>
      </c>
      <c r="U25" s="10">
        <f t="shared" si="8"/>
        <v>29285.714285714286</v>
      </c>
      <c r="V25" s="10">
        <f t="shared" si="10"/>
        <v>2.2321269764867958E-2</v>
      </c>
      <c r="W25" s="10">
        <f t="shared" si="11"/>
        <v>6.0466179397296429E-3</v>
      </c>
      <c r="X25" s="4"/>
      <c r="Y25" s="8"/>
      <c r="AC25" s="14" t="e">
        <f>#REF!+5</f>
        <v>#REF!</v>
      </c>
      <c r="AD25" s="14">
        <v>1.005E-3</v>
      </c>
      <c r="AE25" s="14">
        <v>998.23</v>
      </c>
      <c r="AF25" s="13">
        <v>1.0067820041473407E-6</v>
      </c>
    </row>
    <row r="26" spans="1:32" ht="15.5" x14ac:dyDescent="0.35">
      <c r="A26" s="3" t="s">
        <v>48</v>
      </c>
      <c r="B26" s="3">
        <v>2550</v>
      </c>
      <c r="C26" s="7">
        <f t="shared" si="0"/>
        <v>42.500084999999999</v>
      </c>
      <c r="D26" s="7">
        <f t="shared" si="1"/>
        <v>0.70833390000000007</v>
      </c>
      <c r="E26" s="5">
        <f t="shared" si="2"/>
        <v>7.083339000000001E-4</v>
      </c>
      <c r="F26" s="5">
        <f t="shared" si="3"/>
        <v>1.4166678000000001</v>
      </c>
      <c r="G26" s="7">
        <f t="shared" si="4"/>
        <v>2.0069476555568406</v>
      </c>
      <c r="H26" s="7">
        <f t="shared" si="5"/>
        <v>2.7537755363520002</v>
      </c>
      <c r="I26" s="7">
        <v>2.5404722222222205</v>
      </c>
      <c r="J26" s="16">
        <f t="shared" si="6"/>
        <v>25.404722222222205</v>
      </c>
      <c r="K26" s="15">
        <f t="shared" si="7"/>
        <v>2540.4722222222204</v>
      </c>
      <c r="L26" s="5">
        <f t="shared" si="12"/>
        <v>22702.610619888826</v>
      </c>
      <c r="M26" s="4">
        <f t="shared" si="13"/>
        <v>13.032798591194945</v>
      </c>
      <c r="N26" s="4">
        <f t="shared" si="14"/>
        <v>5.0683635598045527E-2</v>
      </c>
      <c r="O26" s="4">
        <f t="shared" si="15"/>
        <v>1.2670908899511382E-2</v>
      </c>
      <c r="P26" s="4">
        <f t="shared" si="9"/>
        <v>2.0429639974060599E-2</v>
      </c>
      <c r="Q26" s="4">
        <f>$Z$11-([2]LF3!C25/1000)</f>
        <v>9.820220000000001E-3</v>
      </c>
      <c r="R26" s="4">
        <f t="shared" si="16"/>
        <v>1.641622180593786E-2</v>
      </c>
      <c r="T26" s="11">
        <v>1.9</v>
      </c>
      <c r="U26" s="10">
        <f t="shared" si="8"/>
        <v>30912.69841269841</v>
      </c>
      <c r="V26" s="10">
        <f t="shared" si="10"/>
        <v>2.202158744356239E-2</v>
      </c>
      <c r="W26" s="10">
        <f t="shared" si="11"/>
        <v>5.9654368725540596E-3</v>
      </c>
      <c r="X26" s="4"/>
      <c r="Y26" s="8"/>
      <c r="AC26" s="14">
        <v>25</v>
      </c>
      <c r="AD26" s="14">
        <v>8.9400000000000005E-4</v>
      </c>
      <c r="AE26" s="14">
        <v>997.07</v>
      </c>
      <c r="AF26" s="13">
        <v>8.9662711745414066E-7</v>
      </c>
    </row>
    <row r="27" spans="1:32" ht="15.5" x14ac:dyDescent="0.35">
      <c r="A27" s="3" t="s">
        <v>78</v>
      </c>
      <c r="B27" s="3">
        <v>2150</v>
      </c>
      <c r="C27" s="3">
        <f t="shared" si="0"/>
        <v>35.833404999999999</v>
      </c>
      <c r="D27" s="3">
        <f t="shared" si="1"/>
        <v>0.5972227</v>
      </c>
      <c r="E27" s="3">
        <f t="shared" si="2"/>
        <v>5.9722270000000003E-4</v>
      </c>
      <c r="F27" s="3">
        <f t="shared" si="3"/>
        <v>1.1944454</v>
      </c>
      <c r="G27" s="3">
        <f t="shared" si="4"/>
        <v>1.4266998135811599</v>
      </c>
      <c r="H27" s="3">
        <f t="shared" si="5"/>
        <v>2.3218107463359998</v>
      </c>
      <c r="I27" s="3">
        <v>1.8319137544802855</v>
      </c>
      <c r="J27" s="3">
        <f t="shared" si="6"/>
        <v>18.319137544802857</v>
      </c>
      <c r="K27" s="3">
        <f t="shared" si="7"/>
        <v>1831.9137544802857</v>
      </c>
      <c r="L27" s="5">
        <f t="shared" si="12"/>
        <v>18786.166202138123</v>
      </c>
      <c r="M27" s="4">
        <f t="shared" si="13"/>
        <v>9.2234274667965348</v>
      </c>
      <c r="N27" s="4">
        <f t="shared" si="14"/>
        <v>5.0457514527476433E-2</v>
      </c>
      <c r="O27" s="4">
        <f t="shared" si="15"/>
        <v>1.2614378631869108E-2</v>
      </c>
      <c r="P27" s="4">
        <f t="shared" si="9"/>
        <v>1.9792734452972693E-2</v>
      </c>
      <c r="Q27" s="4">
        <f>$Z$11-([2]LF3!C26/1000)</f>
        <v>9.6029600000000007E-3</v>
      </c>
      <c r="R27" s="4">
        <f t="shared" si="16"/>
        <v>1.6111548822407479E-2</v>
      </c>
      <c r="T27" s="11">
        <v>2</v>
      </c>
      <c r="U27" s="10">
        <f t="shared" si="8"/>
        <v>32539.682539682541</v>
      </c>
      <c r="V27" s="10">
        <f t="shared" si="10"/>
        <v>2.1741000375951093E-2</v>
      </c>
      <c r="W27" s="10">
        <f t="shared" si="11"/>
        <v>5.8894285264990808E-3</v>
      </c>
      <c r="X27" s="4"/>
      <c r="Y27" s="8"/>
      <c r="AC27" s="12"/>
      <c r="AD27" s="12"/>
      <c r="AE27" s="12"/>
      <c r="AF27" s="12"/>
    </row>
    <row r="28" spans="1:32" ht="15.5" x14ac:dyDescent="0.35">
      <c r="A28" s="3" t="s">
        <v>49</v>
      </c>
      <c r="B28" s="3">
        <v>1750</v>
      </c>
      <c r="C28" s="3">
        <f t="shared" si="0"/>
        <v>29.166725</v>
      </c>
      <c r="D28" s="3">
        <f t="shared" si="1"/>
        <v>0.48611150000000003</v>
      </c>
      <c r="E28" s="3">
        <f t="shared" si="2"/>
        <v>4.8611150000000002E-4</v>
      </c>
      <c r="F28" s="3">
        <f t="shared" si="3"/>
        <v>0.97222300000000006</v>
      </c>
      <c r="G28" s="3">
        <f t="shared" si="4"/>
        <v>0.94521756172900007</v>
      </c>
      <c r="H28" s="3">
        <f t="shared" si="5"/>
        <v>1.8898459563200001</v>
      </c>
      <c r="I28" s="3">
        <v>1.1222363351254474</v>
      </c>
      <c r="J28" s="3">
        <f t="shared" si="6"/>
        <v>11.222363351254474</v>
      </c>
      <c r="K28" s="9">
        <f t="shared" si="7"/>
        <v>1122.2363351254473</v>
      </c>
      <c r="L28" s="5">
        <f t="shared" si="12"/>
        <v>15473.089183886137</v>
      </c>
      <c r="M28" s="4">
        <f t="shared" si="13"/>
        <v>5.7175624779918053</v>
      </c>
      <c r="N28" s="4">
        <f t="shared" si="14"/>
        <v>4.7211223832300579E-2</v>
      </c>
      <c r="O28" s="4">
        <f t="shared" si="15"/>
        <v>1.1802805958075145E-2</v>
      </c>
      <c r="P28" s="4">
        <f t="shared" si="9"/>
        <v>1.5732005397995266E-2</v>
      </c>
      <c r="Q28" s="4">
        <f>$Z$11-([2]LF3!C27/1000)</f>
        <v>9.7395399999999997E-3</v>
      </c>
      <c r="R28" s="4">
        <f t="shared" si="16"/>
        <v>1.630333946327675E-2</v>
      </c>
      <c r="T28" s="11">
        <v>2.1</v>
      </c>
      <c r="U28" s="10">
        <f t="shared" si="8"/>
        <v>34166.666666666672</v>
      </c>
      <c r="V28" s="10">
        <f t="shared" si="10"/>
        <v>2.147742438891832E-2</v>
      </c>
      <c r="W28" s="10">
        <f t="shared" si="11"/>
        <v>5.8180283190528738E-3</v>
      </c>
      <c r="X28" s="4"/>
      <c r="Y28" s="8"/>
    </row>
    <row r="29" spans="1:32" ht="15.5" x14ac:dyDescent="0.35">
      <c r="G29" s="7"/>
      <c r="X29" s="4"/>
      <c r="Y29" s="8"/>
      <c r="Z29" s="9" t="s">
        <v>39</v>
      </c>
    </row>
    <row r="30" spans="1:32" x14ac:dyDescent="0.35">
      <c r="G30" s="7"/>
      <c r="X30" s="4"/>
      <c r="Y30" s="8"/>
    </row>
    <row r="31" spans="1:32" x14ac:dyDescent="0.35">
      <c r="G31" s="7"/>
      <c r="X31" s="4"/>
      <c r="Y31" s="8"/>
    </row>
    <row r="32" spans="1:32" x14ac:dyDescent="0.35">
      <c r="G32" s="7"/>
      <c r="X32" s="4"/>
    </row>
    <row r="33" spans="7:24" x14ac:dyDescent="0.35">
      <c r="G33" s="7"/>
      <c r="X33" s="4"/>
    </row>
    <row r="34" spans="7:24" x14ac:dyDescent="0.35">
      <c r="X34" s="4"/>
    </row>
    <row r="35" spans="7:24" ht="15.5" x14ac:dyDescent="0.35">
      <c r="T35" s="4"/>
      <c r="U35" s="6"/>
      <c r="V35" s="6"/>
      <c r="W35" s="4"/>
      <c r="X35" s="4"/>
    </row>
    <row r="36" spans="7:24" ht="15.5" x14ac:dyDescent="0.35">
      <c r="T36" s="4"/>
      <c r="U36" s="6"/>
      <c r="V36" s="6"/>
      <c r="W36" s="4"/>
      <c r="X36" s="4"/>
    </row>
    <row r="37" spans="7:24" ht="15.5" x14ac:dyDescent="0.35">
      <c r="T37" s="4"/>
      <c r="U37" s="6"/>
      <c r="V37" s="6"/>
      <c r="W37" s="4"/>
      <c r="X37" s="4"/>
    </row>
    <row r="38" spans="7:24" ht="15.5" x14ac:dyDescent="0.35">
      <c r="T38" s="4"/>
      <c r="U38" s="6"/>
      <c r="V38" s="6"/>
      <c r="W38" s="4"/>
      <c r="X38" s="4"/>
    </row>
    <row r="39" spans="7:24" ht="15.5" x14ac:dyDescent="0.35">
      <c r="T39" s="4"/>
      <c r="U39" s="6"/>
      <c r="V39" s="6"/>
      <c r="W39" s="4"/>
      <c r="X39" s="4"/>
    </row>
    <row r="40" spans="7:24" ht="15.5" x14ac:dyDescent="0.35">
      <c r="T40" s="4"/>
      <c r="U40" s="6"/>
      <c r="V40" s="6"/>
    </row>
    <row r="41" spans="7:24" ht="15.5" x14ac:dyDescent="0.35">
      <c r="T41" s="4"/>
      <c r="U41" s="6"/>
      <c r="V41" s="6"/>
    </row>
    <row r="42" spans="7:24" ht="15.5" x14ac:dyDescent="0.35">
      <c r="T42" s="4"/>
      <c r="U42" s="6"/>
      <c r="V42" s="6"/>
    </row>
    <row r="43" spans="7:24" ht="15.5" x14ac:dyDescent="0.35">
      <c r="T43" s="4"/>
      <c r="U43" s="6"/>
      <c r="V43" s="6"/>
    </row>
    <row r="44" spans="7:24" ht="15.5" x14ac:dyDescent="0.35">
      <c r="T44" s="4"/>
      <c r="U44" s="6"/>
      <c r="V44" s="6"/>
    </row>
    <row r="45" spans="7:24" ht="15.5" x14ac:dyDescent="0.35">
      <c r="T45" s="4"/>
      <c r="U45" s="6"/>
      <c r="V45" s="6"/>
    </row>
    <row r="46" spans="7:24" ht="15.5" x14ac:dyDescent="0.35">
      <c r="T46" s="4"/>
      <c r="U46" s="6"/>
      <c r="V46" s="6"/>
    </row>
    <row r="47" spans="7:24" ht="15.5" x14ac:dyDescent="0.35">
      <c r="T47" s="4"/>
      <c r="U47" s="6"/>
      <c r="V47" s="6"/>
    </row>
    <row r="48" spans="7:24" ht="15.5" x14ac:dyDescent="0.35">
      <c r="T48" s="4"/>
      <c r="U48" s="6"/>
      <c r="V48" s="6"/>
    </row>
    <row r="49" spans="2:22" ht="15.5" x14ac:dyDescent="0.35">
      <c r="T49" s="4"/>
      <c r="U49" s="6"/>
      <c r="V49" s="6"/>
    </row>
    <row r="50" spans="2:22" x14ac:dyDescent="0.35">
      <c r="T50" s="4"/>
    </row>
    <row r="60" spans="2:22" x14ac:dyDescent="0.35">
      <c r="B60" s="3">
        <v>0</v>
      </c>
    </row>
  </sheetData>
  <mergeCells count="2">
    <mergeCell ref="A4:N4"/>
    <mergeCell ref="Y6:Z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3F545-3124-4956-B9F4-376780241B3A}">
  <dimension ref="A1:AF60"/>
  <sheetViews>
    <sheetView zoomScale="62" zoomScaleNormal="62" workbookViewId="0">
      <selection activeCell="P63" sqref="P63"/>
    </sheetView>
  </sheetViews>
  <sheetFormatPr defaultColWidth="8.69140625" defaultRowHeight="14.5" x14ac:dyDescent="0.35"/>
  <cols>
    <col min="1" max="1" width="8.69140625" style="3"/>
    <col min="2" max="2" width="11" style="3" customWidth="1"/>
    <col min="3" max="4" width="8.69140625" style="3"/>
    <col min="5" max="5" width="12.3046875" style="3" customWidth="1"/>
    <col min="6" max="6" width="15.69140625" style="3" bestFit="1" customWidth="1"/>
    <col min="7" max="7" width="8.53515625" style="3" customWidth="1"/>
    <col min="8" max="8" width="8.69140625" style="3"/>
    <col min="9" max="9" width="15.69140625" style="3" bestFit="1" customWidth="1"/>
    <col min="10" max="10" width="12.23046875" style="3" customWidth="1"/>
    <col min="11" max="11" width="10.4609375" style="3" customWidth="1"/>
    <col min="12" max="12" width="8.53515625" style="5" customWidth="1"/>
    <col min="13" max="13" width="6.765625" style="4" customWidth="1"/>
    <col min="14" max="14" width="8.4609375" style="4" customWidth="1"/>
    <col min="15" max="15" width="9.07421875" style="4" customWidth="1"/>
    <col min="16" max="16" width="27.23046875" style="4" customWidth="1"/>
    <col min="17" max="17" width="29.23046875" style="4" customWidth="1"/>
    <col min="18" max="19" width="8.4609375" style="4" customWidth="1"/>
    <col min="20" max="20" width="10.23046875" style="3" customWidth="1"/>
    <col min="21" max="21" width="13.84375" style="3" customWidth="1"/>
    <col min="22" max="24" width="10" style="3" customWidth="1"/>
    <col min="25" max="25" width="24.69140625" style="3" customWidth="1"/>
    <col min="26" max="27" width="8.69140625" style="3"/>
    <col min="28" max="28" width="22" style="3" customWidth="1"/>
    <col min="29" max="29" width="35.84375" style="3" customWidth="1"/>
    <col min="30" max="30" width="16.84375" style="3" customWidth="1"/>
    <col min="31" max="16384" width="8.69140625" style="3"/>
  </cols>
  <sheetData>
    <row r="1" spans="1:30" x14ac:dyDescent="0.35">
      <c r="A1" s="48" t="s">
        <v>107</v>
      </c>
    </row>
    <row r="2" spans="1:30" ht="15.5" x14ac:dyDescent="0.35">
      <c r="A2" s="9" t="s">
        <v>0</v>
      </c>
      <c r="I2" s="9" t="s">
        <v>1</v>
      </c>
      <c r="J2" s="9" t="s">
        <v>2</v>
      </c>
    </row>
    <row r="3" spans="1:30" ht="15.5" x14ac:dyDescent="0.35">
      <c r="A3" s="9"/>
      <c r="I3" s="9"/>
      <c r="J3" s="9"/>
    </row>
    <row r="4" spans="1:30" x14ac:dyDescent="0.35">
      <c r="A4" s="51" t="s">
        <v>3</v>
      </c>
      <c r="B4" s="51"/>
      <c r="C4" s="51"/>
      <c r="D4" s="51"/>
      <c r="E4" s="51"/>
      <c r="F4" s="51"/>
      <c r="G4" s="51"/>
      <c r="H4" s="51"/>
      <c r="I4" s="51"/>
      <c r="J4" s="51"/>
      <c r="K4" s="51"/>
      <c r="L4" s="51"/>
      <c r="M4" s="51"/>
      <c r="N4" s="51"/>
      <c r="O4" s="32"/>
      <c r="P4" s="32"/>
      <c r="Q4" s="33"/>
      <c r="R4" s="38"/>
      <c r="S4" s="40"/>
    </row>
    <row r="6" spans="1:30" ht="15.5" x14ac:dyDescent="0.35">
      <c r="A6" s="29"/>
      <c r="B6" s="27" t="s">
        <v>4</v>
      </c>
      <c r="C6" s="27" t="s">
        <v>5</v>
      </c>
      <c r="D6" s="28" t="s">
        <v>6</v>
      </c>
      <c r="E6" s="28" t="s">
        <v>93</v>
      </c>
      <c r="F6" s="28" t="s">
        <v>7</v>
      </c>
      <c r="G6" s="28" t="s">
        <v>92</v>
      </c>
      <c r="H6" s="28" t="s">
        <v>8</v>
      </c>
      <c r="I6" s="27" t="s">
        <v>91</v>
      </c>
      <c r="J6" s="27" t="s">
        <v>90</v>
      </c>
      <c r="K6" s="27" t="s">
        <v>9</v>
      </c>
      <c r="L6" s="26" t="s">
        <v>10</v>
      </c>
      <c r="M6" s="25" t="s">
        <v>89</v>
      </c>
      <c r="N6" s="24" t="s">
        <v>11</v>
      </c>
      <c r="O6" s="11" t="s">
        <v>88</v>
      </c>
      <c r="P6" s="11" t="s">
        <v>12</v>
      </c>
      <c r="Q6" s="11" t="s">
        <v>98</v>
      </c>
      <c r="R6" s="11" t="s">
        <v>97</v>
      </c>
      <c r="S6" s="11"/>
      <c r="T6" s="23" t="s">
        <v>13</v>
      </c>
      <c r="U6" s="6" t="s">
        <v>10</v>
      </c>
      <c r="V6" s="23" t="s">
        <v>14</v>
      </c>
      <c r="W6" s="6" t="s">
        <v>15</v>
      </c>
      <c r="X6" s="9"/>
      <c r="Y6" s="52" t="s">
        <v>16</v>
      </c>
      <c r="Z6" s="52"/>
    </row>
    <row r="7" spans="1:30" ht="15.5" x14ac:dyDescent="0.35">
      <c r="A7" s="22" t="s">
        <v>17</v>
      </c>
      <c r="B7" s="3">
        <v>0</v>
      </c>
      <c r="C7" s="7">
        <f t="shared" ref="C7:C28" si="0">B7*0.0166667</f>
        <v>0</v>
      </c>
      <c r="D7" s="7">
        <f t="shared" ref="D7:D28" si="1">B7*0.000277778</f>
        <v>0</v>
      </c>
      <c r="E7" s="5">
        <f t="shared" ref="E7:E28" si="2">0.001*D7</f>
        <v>0</v>
      </c>
      <c r="F7" s="7">
        <f t="shared" ref="F7:F28" si="3">E7/Z$8</f>
        <v>0</v>
      </c>
      <c r="G7" s="7">
        <f t="shared" ref="G7:G28" si="4">F7^(2)</f>
        <v>0</v>
      </c>
      <c r="H7" s="7">
        <f t="shared" ref="H7:H28" si="5">F7*1.94384</f>
        <v>0</v>
      </c>
      <c r="I7" s="16"/>
      <c r="J7" s="16">
        <f t="shared" ref="J7:J28" si="6">I7 * 10</f>
        <v>0</v>
      </c>
      <c r="K7" s="15">
        <f t="shared" ref="K7:K28" si="7">J7*100</f>
        <v>0</v>
      </c>
      <c r="L7" s="5">
        <f t="shared" ref="L7" si="8">(F7*Z$12)/Z$13</f>
        <v>0</v>
      </c>
      <c r="T7" s="11">
        <v>0</v>
      </c>
      <c r="U7" s="10">
        <f t="shared" ref="U7:U28" si="9">(T7*Z$12)/Z$13</f>
        <v>0</v>
      </c>
      <c r="V7" s="10"/>
      <c r="W7" s="10"/>
    </row>
    <row r="8" spans="1:30" ht="15.5" x14ac:dyDescent="0.35">
      <c r="A8" s="3" t="s">
        <v>40</v>
      </c>
      <c r="B8" s="3">
        <v>1600</v>
      </c>
      <c r="C8" s="7">
        <f t="shared" si="0"/>
        <v>26.666719999999998</v>
      </c>
      <c r="D8" s="7">
        <f t="shared" si="1"/>
        <v>0.44444480000000003</v>
      </c>
      <c r="E8" s="5">
        <f t="shared" si="2"/>
        <v>4.4444480000000006E-4</v>
      </c>
      <c r="F8" s="7">
        <f t="shared" si="3"/>
        <v>0.88888960000000006</v>
      </c>
      <c r="G8" s="7">
        <f>F8^(2)</f>
        <v>0.79012472098816011</v>
      </c>
      <c r="H8" s="7">
        <f t="shared" si="5"/>
        <v>1.7278591600640001</v>
      </c>
      <c r="I8" s="3">
        <v>0.9726012754342479</v>
      </c>
      <c r="J8" s="16">
        <f t="shared" si="6"/>
        <v>9.726012754342479</v>
      </c>
      <c r="K8" s="15">
        <f t="shared" si="7"/>
        <v>972.6012754342479</v>
      </c>
      <c r="L8" s="5">
        <f>(F8*R8)/Z$13</f>
        <v>14264.395221837269</v>
      </c>
      <c r="M8" s="4">
        <f>(Z$16*G8*N8)/8</f>
        <v>4.8107391813181399</v>
      </c>
      <c r="N8" s="4">
        <f>(K8*2*R$8)/(Z$14*Z$16*G8)</f>
        <v>4.7567047145473579E-2</v>
      </c>
      <c r="O8" s="4">
        <f>N8/4</f>
        <v>1.1891761786368395E-2</v>
      </c>
      <c r="P8" s="4">
        <f t="shared" ref="P8:P28" si="10">3.7*(10^(-1/(2*SQRT(N8)))-2.51/(L8*SQRT(N8)))</f>
        <v>1.5880047190864381E-2</v>
      </c>
      <c r="Q8" s="4">
        <f>'1lowflow'!$Z$11-0.0005978</f>
        <v>9.4021999999999994E-3</v>
      </c>
      <c r="R8" s="4">
        <f>2*('1lowflow'!$Z$10*Q8)/('1lowflow'!$Z$10+Q8)</f>
        <v>1.5828033305163781E-2</v>
      </c>
      <c r="T8" s="11">
        <v>0.1</v>
      </c>
      <c r="U8" s="10">
        <f t="shared" si="9"/>
        <v>1689.7689768976898</v>
      </c>
      <c r="V8" s="10">
        <f t="shared" ref="V8:V28" si="11">0.292/(U8^(0.25))</f>
        <v>4.5543459668799031E-2</v>
      </c>
      <c r="W8" s="10">
        <f t="shared" ref="W8:W28" si="12">0.0791/(U8^0.25)</f>
        <v>1.2337286506171247E-2</v>
      </c>
      <c r="X8" s="17"/>
      <c r="Y8" s="9" t="s">
        <v>18</v>
      </c>
      <c r="Z8" s="3">
        <f>Z$10*Z$11</f>
        <v>5.0000000000000001E-4</v>
      </c>
    </row>
    <row r="9" spans="1:30" ht="15.5" x14ac:dyDescent="0.35">
      <c r="A9" s="3" t="s">
        <v>87</v>
      </c>
      <c r="C9" s="7">
        <f t="shared" si="0"/>
        <v>0</v>
      </c>
      <c r="D9" s="7">
        <f t="shared" si="1"/>
        <v>0</v>
      </c>
      <c r="E9" s="5">
        <f t="shared" si="2"/>
        <v>0</v>
      </c>
      <c r="F9" s="7">
        <f t="shared" si="3"/>
        <v>0</v>
      </c>
      <c r="G9" s="7"/>
      <c r="H9" s="7">
        <f t="shared" si="5"/>
        <v>0</v>
      </c>
      <c r="J9" s="16"/>
      <c r="K9" s="15"/>
      <c r="P9" s="4" t="e">
        <f t="shared" si="10"/>
        <v>#DIV/0!</v>
      </c>
      <c r="Q9" s="4">
        <f>'1lowflow'!$Z$11-0.00078652</f>
        <v>9.2134799999999996E-3</v>
      </c>
      <c r="R9" s="4">
        <f>2*('1lowflow'!$Z$10*Q9)/('1lowflow'!$Z$10+Q9)</f>
        <v>1.5559767809627133E-2</v>
      </c>
      <c r="T9" s="11">
        <v>0.2</v>
      </c>
      <c r="U9" s="10">
        <f t="shared" si="9"/>
        <v>3379.5379537953795</v>
      </c>
      <c r="V9" s="10">
        <f t="shared" si="11"/>
        <v>3.8297331973745234E-2</v>
      </c>
      <c r="W9" s="10">
        <f t="shared" si="12"/>
        <v>1.0374379996997425E-2</v>
      </c>
      <c r="X9" s="17"/>
      <c r="Y9" s="3" t="s">
        <v>19</v>
      </c>
    </row>
    <row r="10" spans="1:30" ht="15.5" x14ac:dyDescent="0.35">
      <c r="A10" s="3" t="s">
        <v>41</v>
      </c>
      <c r="B10" s="3">
        <v>2400</v>
      </c>
      <c r="C10" s="7">
        <f t="shared" si="0"/>
        <v>40.000079999999997</v>
      </c>
      <c r="D10" s="7">
        <f t="shared" si="1"/>
        <v>0.66666720000000002</v>
      </c>
      <c r="E10" s="5">
        <f t="shared" si="2"/>
        <v>6.6666719999999998E-4</v>
      </c>
      <c r="F10" s="7">
        <f t="shared" si="3"/>
        <v>1.3333344</v>
      </c>
      <c r="G10" s="7">
        <f t="shared" si="4"/>
        <v>1.7777806222233601</v>
      </c>
      <c r="H10" s="7">
        <f t="shared" si="5"/>
        <v>2.5917887400960002</v>
      </c>
      <c r="I10" s="3">
        <v>2.1522060843940363</v>
      </c>
      <c r="J10" s="16">
        <f t="shared" si="6"/>
        <v>21.522060843940363</v>
      </c>
      <c r="K10" s="15">
        <f t="shared" si="7"/>
        <v>2152.2060843940362</v>
      </c>
      <c r="L10" s="5">
        <f t="shared" ref="L10:L28" si="13">(F10*R10)/Z$13</f>
        <v>21278.686563893971</v>
      </c>
      <c r="M10" s="4">
        <f t="shared" ref="M10:M28" si="14">(Z$16*G10*N10)/8</f>
        <v>10.645371744801544</v>
      </c>
      <c r="N10" s="4">
        <f t="shared" ref="N10:N28" si="15">(K10*2*R$8)/(Z$14*Z$16*G10)</f>
        <v>4.6781343950217144E-2</v>
      </c>
      <c r="O10" s="4">
        <f t="shared" ref="O10:O28" si="16">N10/4</f>
        <v>1.1695335987554286E-2</v>
      </c>
      <c r="P10" s="4">
        <f t="shared" si="10"/>
        <v>1.6032660697081636E-2</v>
      </c>
      <c r="Q10" s="4">
        <f>'1lowflow'!$Z$11-0.00065929</f>
        <v>9.3407100000000003E-3</v>
      </c>
      <c r="R10" s="4">
        <f>2*('1lowflow'!$Z$10*Q10)/('1lowflow'!$Z$10+Q10)</f>
        <v>1.5740812673121034E-2</v>
      </c>
      <c r="T10" s="11">
        <v>0.3</v>
      </c>
      <c r="U10" s="10">
        <f t="shared" si="9"/>
        <v>5069.3069306930693</v>
      </c>
      <c r="V10" s="10">
        <f t="shared" si="11"/>
        <v>3.4605545904387566E-2</v>
      </c>
      <c r="W10" s="10">
        <f t="shared" si="12"/>
        <v>9.3743105514967704E-3</v>
      </c>
      <c r="X10" s="17"/>
      <c r="Y10" s="9" t="s">
        <v>20</v>
      </c>
      <c r="Z10" s="7">
        <v>0.05</v>
      </c>
      <c r="AC10" s="20" t="s">
        <v>73</v>
      </c>
    </row>
    <row r="11" spans="1:30" ht="15.5" x14ac:dyDescent="0.35">
      <c r="A11" s="3" t="s">
        <v>86</v>
      </c>
      <c r="B11" s="3">
        <v>2900</v>
      </c>
      <c r="C11" s="7">
        <f t="shared" si="0"/>
        <v>48.33343</v>
      </c>
      <c r="D11" s="7">
        <f t="shared" si="1"/>
        <v>0.80555620000000006</v>
      </c>
      <c r="E11" s="5">
        <f t="shared" si="2"/>
        <v>8.0555620000000009E-4</v>
      </c>
      <c r="F11" s="7">
        <f t="shared" si="3"/>
        <v>1.6111124000000001</v>
      </c>
      <c r="G11" s="7">
        <f t="shared" si="4"/>
        <v>2.5956831654337602</v>
      </c>
      <c r="H11" s="7">
        <f t="shared" si="5"/>
        <v>3.1317447276160002</v>
      </c>
      <c r="I11" s="3">
        <v>3.1776858997799806</v>
      </c>
      <c r="J11" s="16">
        <f t="shared" si="6"/>
        <v>31.776858997799806</v>
      </c>
      <c r="K11" s="15">
        <f t="shared" si="7"/>
        <v>3177.6858997799804</v>
      </c>
      <c r="L11" s="5">
        <f>(F11*R11)/Z$13</f>
        <v>26625.705078418359</v>
      </c>
      <c r="M11" s="4">
        <f>(Z$16*G11*N11)/8</f>
        <v>15.717661954708397</v>
      </c>
      <c r="N11" s="4">
        <f t="shared" si="15"/>
        <v>4.7307096511773006E-2</v>
      </c>
      <c r="O11" s="4">
        <f>N11/4</f>
        <v>1.1826774127943251E-2</v>
      </c>
      <c r="P11" s="4">
        <f t="shared" si="10"/>
        <v>1.699029662067612E-2</v>
      </c>
      <c r="Q11" s="4">
        <f>'1lowflow'!$Z$11-0.0002626</f>
        <v>9.7374000000000002E-3</v>
      </c>
      <c r="R11" s="4">
        <f>2*('1lowflow'!$Z$10*Q11)/('1lowflow'!$Z$10+Q11)</f>
        <v>1.6300341159809432E-2</v>
      </c>
      <c r="T11" s="11">
        <v>0.4</v>
      </c>
      <c r="U11" s="10">
        <f t="shared" si="9"/>
        <v>6759.075907590759</v>
      </c>
      <c r="V11" s="10">
        <f t="shared" si="11"/>
        <v>3.2204089170503825E-2</v>
      </c>
      <c r="W11" s="10">
        <f t="shared" si="12"/>
        <v>8.7237789499549755E-3</v>
      </c>
      <c r="X11" s="17"/>
      <c r="Y11" s="9" t="s">
        <v>21</v>
      </c>
      <c r="Z11" s="7">
        <v>0.01</v>
      </c>
      <c r="AC11" s="21" t="s">
        <v>74</v>
      </c>
      <c r="AD11" s="3" t="s">
        <v>22</v>
      </c>
    </row>
    <row r="12" spans="1:30" ht="15.5" x14ac:dyDescent="0.35">
      <c r="A12" s="3" t="s">
        <v>42</v>
      </c>
      <c r="B12" s="3">
        <v>3250</v>
      </c>
      <c r="C12" s="7">
        <f t="shared" si="0"/>
        <v>54.166775000000001</v>
      </c>
      <c r="D12" s="7">
        <f t="shared" si="1"/>
        <v>0.90277850000000004</v>
      </c>
      <c r="E12" s="5">
        <f t="shared" si="2"/>
        <v>9.0277850000000008E-4</v>
      </c>
      <c r="F12" s="7">
        <f t="shared" si="3"/>
        <v>1.8055570000000001</v>
      </c>
      <c r="G12" s="7">
        <f t="shared" si="4"/>
        <v>3.2600360802490003</v>
      </c>
      <c r="H12" s="7">
        <f t="shared" si="5"/>
        <v>3.5097139188800002</v>
      </c>
      <c r="I12" s="3">
        <v>4.0080660775738739</v>
      </c>
      <c r="J12" s="16">
        <f t="shared" si="6"/>
        <v>40.080660775738735</v>
      </c>
      <c r="K12" s="15">
        <f t="shared" si="7"/>
        <v>4008.0660775738734</v>
      </c>
      <c r="L12" s="5">
        <f t="shared" si="13"/>
        <v>29794.458989530936</v>
      </c>
      <c r="M12" s="4">
        <f t="shared" si="14"/>
        <v>19.824938551605133</v>
      </c>
      <c r="N12" s="4">
        <f t="shared" si="15"/>
        <v>4.7509392111569897E-2</v>
      </c>
      <c r="O12" s="4">
        <f t="shared" si="16"/>
        <v>1.1877348027892474E-2</v>
      </c>
      <c r="P12" s="4">
        <f t="shared" si="10"/>
        <v>1.7374859142742768E-2</v>
      </c>
      <c r="Q12" s="4">
        <f>'1lowflow'!$Z$11-0.00028002</f>
        <v>9.7199799999999996E-3</v>
      </c>
      <c r="R12" s="4">
        <f>2*('1lowflow'!$Z$10*Q12)/('1lowflow'!$Z$10+Q12)</f>
        <v>1.6275926415246621E-2</v>
      </c>
      <c r="T12" s="11">
        <v>0.5</v>
      </c>
      <c r="U12" s="10">
        <f t="shared" si="9"/>
        <v>8448.8448844884479</v>
      </c>
      <c r="V12" s="10">
        <f t="shared" si="11"/>
        <v>3.045674710859405E-2</v>
      </c>
      <c r="W12" s="10">
        <f t="shared" si="12"/>
        <v>8.2504407407184566E-3</v>
      </c>
      <c r="X12" s="17"/>
      <c r="Y12" s="9" t="s">
        <v>71</v>
      </c>
      <c r="Z12" s="4">
        <f>2*(Z10*Z11)/(Z10+Z11)</f>
        <v>1.6666666666666666E-2</v>
      </c>
      <c r="AA12" s="9">
        <f>10*Z12*100</f>
        <v>16.666666666666664</v>
      </c>
      <c r="AC12" s="20" t="s">
        <v>75</v>
      </c>
      <c r="AD12" s="3" t="s">
        <v>23</v>
      </c>
    </row>
    <row r="13" spans="1:30" ht="15.5" x14ac:dyDescent="0.35">
      <c r="A13" s="3" t="s">
        <v>85</v>
      </c>
      <c r="B13" s="3">
        <v>3600</v>
      </c>
      <c r="C13" s="7">
        <f t="shared" si="0"/>
        <v>60.000119999999995</v>
      </c>
      <c r="D13" s="7">
        <f t="shared" si="1"/>
        <v>1.0000008</v>
      </c>
      <c r="E13" s="5">
        <f t="shared" si="2"/>
        <v>1.0000008000000001E-3</v>
      </c>
      <c r="F13" s="7">
        <f t="shared" si="3"/>
        <v>2.0000016</v>
      </c>
      <c r="G13" s="7">
        <f t="shared" si="4"/>
        <v>4.0000064000025599</v>
      </c>
      <c r="H13" s="7">
        <f t="shared" si="5"/>
        <v>3.8876831101440001</v>
      </c>
      <c r="I13" s="3">
        <v>4.7545650499603358</v>
      </c>
      <c r="J13" s="16">
        <f t="shared" si="6"/>
        <v>47.545650499603354</v>
      </c>
      <c r="K13" s="15">
        <f t="shared" si="7"/>
        <v>4754.5650499603353</v>
      </c>
      <c r="L13" s="5">
        <f t="shared" si="13"/>
        <v>33131.63036178083</v>
      </c>
      <c r="M13" s="4">
        <f t="shared" si="14"/>
        <v>23.517316863231212</v>
      </c>
      <c r="N13" s="4">
        <f t="shared" si="15"/>
        <v>4.5932186006971451E-2</v>
      </c>
      <c r="O13" s="4">
        <f t="shared" si="16"/>
        <v>1.1483046501742863E-2</v>
      </c>
      <c r="P13" s="4">
        <f t="shared" si="10"/>
        <v>1.5879866409559455E-2</v>
      </c>
      <c r="Q13" s="4">
        <f>'1lowflow'!$Z$11-0.00023477</f>
        <v>9.7652299999999997E-3</v>
      </c>
      <c r="R13" s="4">
        <f>2*('1lowflow'!$Z$10*Q13)/('1lowflow'!$Z$10+Q13)</f>
        <v>1.6339316355011096E-2</v>
      </c>
      <c r="T13" s="11">
        <v>0.6</v>
      </c>
      <c r="U13" s="10">
        <f t="shared" si="9"/>
        <v>10138.613861386139</v>
      </c>
      <c r="V13" s="10">
        <f t="shared" si="11"/>
        <v>2.9099679498897368E-2</v>
      </c>
      <c r="W13" s="10">
        <f t="shared" si="12"/>
        <v>7.8828241382287063E-3</v>
      </c>
      <c r="X13" s="17"/>
      <c r="Y13" s="9" t="s">
        <v>72</v>
      </c>
      <c r="Z13" s="8">
        <f>Z$17/Z$16</f>
        <v>9.8632812500000005E-7</v>
      </c>
    </row>
    <row r="14" spans="1:30" ht="15.5" x14ac:dyDescent="0.35">
      <c r="A14" s="3" t="s">
        <v>43</v>
      </c>
      <c r="B14" s="3">
        <v>4000</v>
      </c>
      <c r="C14" s="7">
        <f t="shared" si="0"/>
        <v>66.666799999999995</v>
      </c>
      <c r="D14" s="7">
        <f t="shared" si="1"/>
        <v>1.1111120000000001</v>
      </c>
      <c r="E14" s="5">
        <f t="shared" si="2"/>
        <v>1.111112E-3</v>
      </c>
      <c r="F14" s="7">
        <f t="shared" si="3"/>
        <v>2.2222240000000002</v>
      </c>
      <c r="G14" s="7">
        <f t="shared" si="4"/>
        <v>4.9382795061760012</v>
      </c>
      <c r="H14" s="7">
        <f t="shared" si="5"/>
        <v>4.3196479001600006</v>
      </c>
      <c r="I14" s="3">
        <v>5.7678164843104449</v>
      </c>
      <c r="J14" s="16">
        <f t="shared" si="6"/>
        <v>57.678164843104447</v>
      </c>
      <c r="K14" s="15">
        <f t="shared" si="7"/>
        <v>5767.816484310445</v>
      </c>
      <c r="L14" s="5">
        <f t="shared" si="13"/>
        <v>36502.48462879999</v>
      </c>
      <c r="M14" s="4">
        <f t="shared" si="14"/>
        <v>28.529122316168248</v>
      </c>
      <c r="N14" s="4">
        <f t="shared" si="15"/>
        <v>4.5133890824996331E-2</v>
      </c>
      <c r="O14" s="4">
        <f t="shared" si="16"/>
        <v>1.1283472706249083E-2</v>
      </c>
      <c r="P14" s="4">
        <f t="shared" si="10"/>
        <v>1.5196158840664211E-2</v>
      </c>
      <c r="Q14" s="4">
        <f>'1lowflow'!$Z$11-0.00033304</f>
        <v>9.6669600000000005E-3</v>
      </c>
      <c r="R14" s="4">
        <f>2*('1lowflow'!$Z$10*Q14)/('1lowflow'!$Z$10+Q14)</f>
        <v>1.6201529288571097E-2</v>
      </c>
      <c r="T14" s="11">
        <v>0.7</v>
      </c>
      <c r="U14" s="10">
        <f t="shared" si="9"/>
        <v>11828.382838283827</v>
      </c>
      <c r="V14" s="10">
        <f t="shared" si="11"/>
        <v>2.7999579448791358E-2</v>
      </c>
      <c r="W14" s="10">
        <f t="shared" si="12"/>
        <v>7.5848175835595772E-3</v>
      </c>
      <c r="X14" s="17"/>
      <c r="Y14" s="9" t="s">
        <v>24</v>
      </c>
      <c r="Z14" s="3">
        <v>0.8</v>
      </c>
      <c r="AC14" s="20" t="s">
        <v>76</v>
      </c>
      <c r="AD14" s="9" t="s">
        <v>25</v>
      </c>
    </row>
    <row r="15" spans="1:30" ht="15.5" x14ac:dyDescent="0.35">
      <c r="A15" s="3" t="s">
        <v>84</v>
      </c>
      <c r="B15" s="3">
        <v>4400</v>
      </c>
      <c r="C15" s="7">
        <f t="shared" si="0"/>
        <v>73.333479999999994</v>
      </c>
      <c r="D15" s="7">
        <f t="shared" si="1"/>
        <v>1.2222232</v>
      </c>
      <c r="E15" s="5">
        <f t="shared" si="2"/>
        <v>1.2222232E-3</v>
      </c>
      <c r="F15" s="7">
        <f t="shared" si="3"/>
        <v>2.4444463999999999</v>
      </c>
      <c r="G15" s="7">
        <f t="shared" si="4"/>
        <v>5.9753182024729599</v>
      </c>
      <c r="H15" s="7">
        <f t="shared" si="5"/>
        <v>4.7516126901759996</v>
      </c>
      <c r="I15" s="3">
        <v>6.6930717848967074</v>
      </c>
      <c r="J15" s="16">
        <f t="shared" si="6"/>
        <v>66.930717848967078</v>
      </c>
      <c r="K15" s="15">
        <f t="shared" si="7"/>
        <v>6693.0717848967079</v>
      </c>
      <c r="L15" s="5">
        <f t="shared" si="13"/>
        <v>40660.846296579126</v>
      </c>
      <c r="M15" s="4">
        <f t="shared" si="14"/>
        <v>33.105675976624092</v>
      </c>
      <c r="N15" s="4">
        <f t="shared" si="15"/>
        <v>4.3284405081613075E-2</v>
      </c>
      <c r="O15" s="4">
        <f t="shared" si="16"/>
        <v>1.0821101270403269E-2</v>
      </c>
      <c r="P15" s="4">
        <f t="shared" si="10"/>
        <v>1.3521328693364486E-2</v>
      </c>
      <c r="Q15" s="4">
        <f>'1lowflow'!$Z$11-0.0001867</f>
        <v>9.8133000000000005E-3</v>
      </c>
      <c r="R15" s="4">
        <f>2*('1lowflow'!$Z$10*Q15)/('1lowflow'!$Z$10+Q15)</f>
        <v>1.6406551720102386E-2</v>
      </c>
      <c r="T15" s="11">
        <v>0.8</v>
      </c>
      <c r="U15" s="10">
        <f t="shared" si="9"/>
        <v>13518.151815181518</v>
      </c>
      <c r="V15" s="10">
        <f t="shared" si="11"/>
        <v>2.708030313998764E-2</v>
      </c>
      <c r="W15" s="10">
        <f t="shared" si="12"/>
        <v>7.3357944464829536E-3</v>
      </c>
      <c r="X15" s="17"/>
    </row>
    <row r="16" spans="1:30" ht="15.5" x14ac:dyDescent="0.35">
      <c r="A16" s="3" t="s">
        <v>44</v>
      </c>
      <c r="B16" s="3">
        <v>4750</v>
      </c>
      <c r="C16" s="7">
        <f t="shared" si="0"/>
        <v>79.166825000000003</v>
      </c>
      <c r="D16" s="7">
        <f t="shared" si="1"/>
        <v>1.3194455</v>
      </c>
      <c r="E16" s="5">
        <f t="shared" si="2"/>
        <v>1.3194455E-3</v>
      </c>
      <c r="F16" s="7">
        <f t="shared" si="3"/>
        <v>2.6388910000000001</v>
      </c>
      <c r="G16" s="7">
        <f t="shared" si="4"/>
        <v>6.9637457098810005</v>
      </c>
      <c r="H16" s="7">
        <f t="shared" si="5"/>
        <v>5.12958188144</v>
      </c>
      <c r="I16" s="3">
        <v>7.7047446409129297</v>
      </c>
      <c r="J16" s="16">
        <f t="shared" si="6"/>
        <v>77.047446409129293</v>
      </c>
      <c r="K16" s="15">
        <f t="shared" si="7"/>
        <v>7704.7446409129298</v>
      </c>
      <c r="L16" s="5">
        <f t="shared" si="13"/>
        <v>44179.980053855405</v>
      </c>
      <c r="M16" s="4">
        <f t="shared" si="14"/>
        <v>38.109673370047503</v>
      </c>
      <c r="N16" s="4">
        <f t="shared" si="15"/>
        <v>4.2754551301469608E-2</v>
      </c>
      <c r="O16" s="4">
        <f t="shared" si="16"/>
        <v>1.0688637825367402E-2</v>
      </c>
      <c r="P16" s="4">
        <f t="shared" si="10"/>
        <v>1.3111236231935861E-2</v>
      </c>
      <c r="Q16" s="4">
        <f>'1lowflow'!$Z$11-0.00011045</f>
        <v>9.8895500000000004E-3</v>
      </c>
      <c r="R16" s="4">
        <f>2*('1lowflow'!$Z$10*Q16)/('1lowflow'!$Z$10+Q16)</f>
        <v>1.6512980979152457E-2</v>
      </c>
      <c r="T16" s="11">
        <v>0.9</v>
      </c>
      <c r="U16" s="10">
        <f t="shared" si="9"/>
        <v>15207.920792079207</v>
      </c>
      <c r="V16" s="10">
        <f t="shared" si="11"/>
        <v>2.629452869960798E-2</v>
      </c>
      <c r="W16" s="10">
        <f t="shared" si="12"/>
        <v>7.1229356854075054E-3</v>
      </c>
      <c r="X16" s="17"/>
      <c r="Y16" s="3" t="s">
        <v>26</v>
      </c>
      <c r="Z16" s="3">
        <f>VLOOKUP(Z18, Seawater!A4:F34, 3, FALSE)</f>
        <v>1024</v>
      </c>
    </row>
    <row r="17" spans="1:32" ht="15.5" x14ac:dyDescent="0.35">
      <c r="A17" s="3" t="s">
        <v>83</v>
      </c>
      <c r="B17" s="3">
        <v>5100</v>
      </c>
      <c r="C17" s="7">
        <f t="shared" si="0"/>
        <v>85.000169999999997</v>
      </c>
      <c r="D17" s="7">
        <f t="shared" si="1"/>
        <v>1.4166678000000001</v>
      </c>
      <c r="E17" s="5">
        <f t="shared" si="2"/>
        <v>1.4166678000000002E-3</v>
      </c>
      <c r="F17" s="7">
        <f t="shared" si="3"/>
        <v>2.8333356000000003</v>
      </c>
      <c r="G17" s="7">
        <f t="shared" si="4"/>
        <v>8.0277906222273625</v>
      </c>
      <c r="H17" s="7">
        <f t="shared" si="5"/>
        <v>5.5075510727040005</v>
      </c>
      <c r="I17" s="3">
        <v>8.3290528899001455</v>
      </c>
      <c r="J17" s="16">
        <f t="shared" si="6"/>
        <v>83.290528899001458</v>
      </c>
      <c r="K17" s="15">
        <f t="shared" si="7"/>
        <v>8329.0528899001456</v>
      </c>
      <c r="L17" s="5">
        <f t="shared" si="13"/>
        <v>47288.172743160452</v>
      </c>
      <c r="M17" s="4">
        <f t="shared" si="14"/>
        <v>41.197664544315671</v>
      </c>
      <c r="N17" s="4">
        <f t="shared" si="15"/>
        <v>4.00928187341245E-2</v>
      </c>
      <c r="O17" s="4">
        <f t="shared" si="16"/>
        <v>1.0023204683531125E-2</v>
      </c>
      <c r="P17" s="4">
        <f t="shared" si="10"/>
        <v>1.0797876888812976E-2</v>
      </c>
      <c r="Q17" s="4">
        <f>'1lowflow'!$Z$11-0.00014718</f>
        <v>9.85282E-3</v>
      </c>
      <c r="R17" s="4">
        <f>2*('1lowflow'!$Z$10*Q17)/('1lowflow'!$Z$10+Q17)</f>
        <v>1.646174733287421E-2</v>
      </c>
      <c r="T17" s="11">
        <v>1</v>
      </c>
      <c r="U17" s="10">
        <f t="shared" si="9"/>
        <v>16897.689768976896</v>
      </c>
      <c r="V17" s="10">
        <f t="shared" si="11"/>
        <v>2.5610969463905668E-2</v>
      </c>
      <c r="W17" s="10">
        <f t="shared" si="12"/>
        <v>6.9377660431333516E-3</v>
      </c>
      <c r="X17" s="17"/>
      <c r="Y17" s="3" t="s">
        <v>27</v>
      </c>
      <c r="Z17" s="3">
        <f>VLOOKUP(Z18, Seawater!A4:F34, 5, FALSE)</f>
        <v>1.01E-3</v>
      </c>
      <c r="AC17" s="12"/>
      <c r="AD17" s="12"/>
      <c r="AE17" s="12"/>
      <c r="AF17" s="12"/>
    </row>
    <row r="18" spans="1:32" ht="15.5" x14ac:dyDescent="0.35">
      <c r="A18" s="3" t="s">
        <v>50</v>
      </c>
      <c r="B18" s="3">
        <v>5400</v>
      </c>
      <c r="C18" s="7">
        <f t="shared" si="0"/>
        <v>90.00018</v>
      </c>
      <c r="D18" s="7">
        <f t="shared" si="1"/>
        <v>1.5000012</v>
      </c>
      <c r="E18" s="5">
        <f t="shared" si="2"/>
        <v>1.5000012E-3</v>
      </c>
      <c r="F18" s="7">
        <f t="shared" si="3"/>
        <v>3.0000024000000001</v>
      </c>
      <c r="G18" s="7">
        <f t="shared" si="4"/>
        <v>9.0000144000057603</v>
      </c>
      <c r="H18" s="7">
        <f t="shared" si="5"/>
        <v>5.8315246652160004</v>
      </c>
      <c r="I18" s="3">
        <v>8.6944157892912113</v>
      </c>
      <c r="J18" s="16">
        <f t="shared" si="6"/>
        <v>86.944157892912116</v>
      </c>
      <c r="K18" s="15">
        <f t="shared" si="7"/>
        <v>8694.4157892912117</v>
      </c>
      <c r="L18" s="5">
        <f t="shared" si="13"/>
        <v>50255.634950659114</v>
      </c>
      <c r="M18" s="4">
        <f t="shared" si="14"/>
        <v>43.004844588075983</v>
      </c>
      <c r="N18" s="4">
        <f t="shared" si="15"/>
        <v>3.7330534531603482E-2</v>
      </c>
      <c r="O18" s="4">
        <f t="shared" si="16"/>
        <v>9.3326336329008705E-3</v>
      </c>
      <c r="P18" s="4">
        <f t="shared" si="10"/>
        <v>8.6013786832872651E-3</v>
      </c>
      <c r="Q18" s="4">
        <f>'1lowflow'!$Z$11-0.00010338</f>
        <v>9.8966200000000001E-3</v>
      </c>
      <c r="R18" s="4">
        <f>2*('1lowflow'!$Z$10*Q18)/('1lowflow'!$Z$10+Q18)</f>
        <v>1.652283551225428E-2</v>
      </c>
      <c r="T18" s="11">
        <v>1.1000000000000001</v>
      </c>
      <c r="U18" s="10">
        <f t="shared" si="9"/>
        <v>18587.458745874588</v>
      </c>
      <c r="V18" s="10">
        <f t="shared" si="11"/>
        <v>2.500793587360579E-2</v>
      </c>
      <c r="W18" s="10">
        <f t="shared" si="12"/>
        <v>6.7744100260349943E-3</v>
      </c>
      <c r="X18" s="17"/>
      <c r="Y18" s="3" t="s">
        <v>70</v>
      </c>
      <c r="Z18" s="3">
        <v>23</v>
      </c>
      <c r="AC18" s="12"/>
      <c r="AD18" s="12"/>
      <c r="AE18" s="12"/>
      <c r="AF18" s="12"/>
    </row>
    <row r="19" spans="1:32" ht="15.5" x14ac:dyDescent="0.35">
      <c r="A19" s="3" t="s">
        <v>82</v>
      </c>
      <c r="B19" s="3">
        <v>5000</v>
      </c>
      <c r="C19" s="7">
        <f t="shared" si="0"/>
        <v>83.333500000000001</v>
      </c>
      <c r="D19" s="7">
        <f t="shared" si="1"/>
        <v>1.38889</v>
      </c>
      <c r="E19" s="5">
        <f t="shared" si="2"/>
        <v>1.38889E-3</v>
      </c>
      <c r="F19" s="7">
        <f t="shared" si="3"/>
        <v>2.7777799999999999</v>
      </c>
      <c r="G19" s="7">
        <f t="shared" si="4"/>
        <v>7.7160617283999997</v>
      </c>
      <c r="H19" s="7">
        <f t="shared" si="5"/>
        <v>5.3995598751999996</v>
      </c>
      <c r="I19" s="3">
        <v>7.1267078855449721</v>
      </c>
      <c r="J19" s="16">
        <f t="shared" si="6"/>
        <v>71.267078855449725</v>
      </c>
      <c r="K19" s="15">
        <f t="shared" si="7"/>
        <v>7126.7078855449727</v>
      </c>
      <c r="L19" s="5">
        <f t="shared" si="13"/>
        <v>46526.989891668483</v>
      </c>
      <c r="M19" s="4">
        <f t="shared" si="14"/>
        <v>35.250553052680992</v>
      </c>
      <c r="N19" s="4">
        <f t="shared" si="15"/>
        <v>3.5691127860012085E-2</v>
      </c>
      <c r="O19" s="4">
        <f t="shared" si="16"/>
        <v>8.9227819650030214E-3</v>
      </c>
      <c r="P19" s="4">
        <f t="shared" si="10"/>
        <v>7.2916371952004202E-3</v>
      </c>
      <c r="Q19" s="4">
        <f>'1lowflow'!$Z$11-0.00010491</f>
        <v>9.8950900000000005E-3</v>
      </c>
      <c r="R19" s="4">
        <f>2*('1lowflow'!$Z$10*Q19)/('1lowflow'!$Z$10+Q19)</f>
        <v>1.6520703116065107E-2</v>
      </c>
      <c r="T19" s="11">
        <v>1.2</v>
      </c>
      <c r="U19" s="10">
        <f t="shared" si="9"/>
        <v>20277.227722772277</v>
      </c>
      <c r="V19" s="10">
        <f t="shared" si="11"/>
        <v>2.4469816175654805E-2</v>
      </c>
      <c r="W19" s="10">
        <f t="shared" si="12"/>
        <v>6.6286385599119702E-3</v>
      </c>
      <c r="X19" s="17"/>
      <c r="Y19" s="9"/>
      <c r="Z19" s="9"/>
      <c r="AC19" s="14" t="s">
        <v>28</v>
      </c>
      <c r="AD19" s="14"/>
      <c r="AE19" s="14"/>
      <c r="AF19" s="14"/>
    </row>
    <row r="20" spans="1:32" ht="15.5" x14ac:dyDescent="0.35">
      <c r="A20" s="18" t="s">
        <v>45</v>
      </c>
      <c r="B20" s="3">
        <v>4550</v>
      </c>
      <c r="C20" s="7">
        <f t="shared" si="0"/>
        <v>75.833484999999996</v>
      </c>
      <c r="D20" s="7">
        <f t="shared" si="1"/>
        <v>1.2638899000000001</v>
      </c>
      <c r="E20" s="5">
        <f t="shared" si="2"/>
        <v>1.2638899000000001E-3</v>
      </c>
      <c r="F20" s="7">
        <f t="shared" si="3"/>
        <v>2.5277798000000002</v>
      </c>
      <c r="G20" s="7">
        <f t="shared" si="4"/>
        <v>6.3896707172880411</v>
      </c>
      <c r="H20" s="7">
        <f t="shared" si="5"/>
        <v>4.9135994864320001</v>
      </c>
      <c r="I20" s="16">
        <v>7.0691230103314737</v>
      </c>
      <c r="J20" s="16">
        <f t="shared" si="6"/>
        <v>70.691230103314737</v>
      </c>
      <c r="K20" s="15">
        <f t="shared" si="7"/>
        <v>7069.1230103314738</v>
      </c>
      <c r="L20" s="5">
        <f t="shared" si="13"/>
        <v>42366.179233228439</v>
      </c>
      <c r="M20" s="4">
        <f t="shared" si="14"/>
        <v>34.965723264320687</v>
      </c>
      <c r="N20" s="4">
        <f t="shared" si="15"/>
        <v>4.2751766888927636E-2</v>
      </c>
      <c r="O20" s="4">
        <f t="shared" si="16"/>
        <v>1.0687941722231909E-2</v>
      </c>
      <c r="P20" s="4">
        <f t="shared" si="10"/>
        <v>1.3065116305167006E-2</v>
      </c>
      <c r="Q20" s="4">
        <f>'1lowflow'!$Z$11-0.000097457</f>
        <v>9.9025429999999998E-3</v>
      </c>
      <c r="R20" s="4">
        <f>2*('1lowflow'!$Z$10*Q20)/('1lowflow'!$Z$10+Q20)</f>
        <v>1.6531089506500583E-2</v>
      </c>
      <c r="T20" s="11">
        <v>1.3</v>
      </c>
      <c r="U20" s="10">
        <f t="shared" si="9"/>
        <v>21966.996699669966</v>
      </c>
      <c r="V20" s="10">
        <f t="shared" si="11"/>
        <v>2.3985025263912729E-2</v>
      </c>
      <c r="W20" s="10">
        <f t="shared" si="12"/>
        <v>6.4973133506010172E-3</v>
      </c>
      <c r="X20" s="17"/>
      <c r="AC20" s="19" t="s">
        <v>29</v>
      </c>
      <c r="AD20" s="14" t="s">
        <v>30</v>
      </c>
      <c r="AE20" s="14" t="s">
        <v>31</v>
      </c>
      <c r="AF20" s="14" t="s">
        <v>32</v>
      </c>
    </row>
    <row r="21" spans="1:32" ht="15.5" x14ac:dyDescent="0.35">
      <c r="A21" s="18" t="s">
        <v>81</v>
      </c>
      <c r="B21" s="3">
        <v>4200</v>
      </c>
      <c r="C21" s="7">
        <f t="shared" si="0"/>
        <v>70.000140000000002</v>
      </c>
      <c r="D21" s="7">
        <f t="shared" si="1"/>
        <v>1.1666676</v>
      </c>
      <c r="E21" s="5">
        <f t="shared" si="2"/>
        <v>1.1666676000000001E-3</v>
      </c>
      <c r="F21" s="7">
        <f t="shared" si="3"/>
        <v>2.3333352000000001</v>
      </c>
      <c r="G21" s="7">
        <f t="shared" si="4"/>
        <v>5.4444531555590405</v>
      </c>
      <c r="H21" s="7">
        <f t="shared" si="5"/>
        <v>4.5356302951680005</v>
      </c>
      <c r="I21" s="16">
        <v>6.0431477629157451</v>
      </c>
      <c r="J21" s="16">
        <f t="shared" si="6"/>
        <v>60.431477629157449</v>
      </c>
      <c r="K21" s="15">
        <f t="shared" si="7"/>
        <v>6043.1477629157453</v>
      </c>
      <c r="L21" s="5">
        <f t="shared" si="13"/>
        <v>39169.375760645155</v>
      </c>
      <c r="M21" s="4">
        <f t="shared" si="14"/>
        <v>29.890982518580131</v>
      </c>
      <c r="N21" s="4">
        <f t="shared" si="15"/>
        <v>4.2891966236860556E-2</v>
      </c>
      <c r="O21" s="4">
        <f t="shared" si="16"/>
        <v>1.0722991559215139E-2</v>
      </c>
      <c r="P21" s="4">
        <f t="shared" si="10"/>
        <v>1.3109700760825549E-2</v>
      </c>
      <c r="Q21" s="4">
        <f>'1lowflow'!$Z$11-0.000078602</f>
        <v>9.9213979999999997E-3</v>
      </c>
      <c r="R21" s="4">
        <f>2*('1lowflow'!$Z$10*Q21)/('1lowflow'!$Z$10+Q21)</f>
        <v>1.6557354019010036E-2</v>
      </c>
      <c r="T21" s="11">
        <v>1.4</v>
      </c>
      <c r="U21" s="10">
        <f t="shared" si="9"/>
        <v>23656.765676567655</v>
      </c>
      <c r="V21" s="10">
        <f t="shared" si="11"/>
        <v>2.354474598710023E-2</v>
      </c>
      <c r="W21" s="10">
        <f t="shared" si="12"/>
        <v>6.3780459163685901E-3</v>
      </c>
      <c r="X21" s="17"/>
      <c r="Y21" s="9" t="s">
        <v>33</v>
      </c>
      <c r="Z21" s="9">
        <f>4*10^(-6)</f>
        <v>3.9999999999999998E-6</v>
      </c>
      <c r="AC21" s="19" t="s">
        <v>34</v>
      </c>
      <c r="AD21" s="14" t="s">
        <v>35</v>
      </c>
      <c r="AE21" s="14" t="s">
        <v>36</v>
      </c>
      <c r="AF21" s="14" t="s">
        <v>37</v>
      </c>
    </row>
    <row r="22" spans="1:32" ht="15.5" x14ac:dyDescent="0.35">
      <c r="A22" s="18" t="s">
        <v>46</v>
      </c>
      <c r="B22" s="3">
        <v>3900</v>
      </c>
      <c r="C22" s="7">
        <f t="shared" si="0"/>
        <v>65.000129999999999</v>
      </c>
      <c r="D22" s="7">
        <f t="shared" si="1"/>
        <v>1.0833342000000001</v>
      </c>
      <c r="E22" s="3">
        <f t="shared" si="2"/>
        <v>1.0833342000000001E-3</v>
      </c>
      <c r="F22" s="7">
        <f t="shared" si="3"/>
        <v>2.1666684000000003</v>
      </c>
      <c r="G22" s="7">
        <f t="shared" si="4"/>
        <v>4.6944519555585611</v>
      </c>
      <c r="H22" s="7">
        <f t="shared" si="5"/>
        <v>4.2116567026560006</v>
      </c>
      <c r="I22" s="16">
        <v>5.1310056684682923</v>
      </c>
      <c r="J22" s="16">
        <f t="shared" si="6"/>
        <v>51.31005668468292</v>
      </c>
      <c r="K22" s="15">
        <f t="shared" si="7"/>
        <v>5131.0056684682922</v>
      </c>
      <c r="L22" s="5">
        <f t="shared" si="13"/>
        <v>36313.45775137873</v>
      </c>
      <c r="M22" s="4">
        <f t="shared" si="14"/>
        <v>25.379290190468836</v>
      </c>
      <c r="N22" s="4">
        <f t="shared" si="15"/>
        <v>4.2236177191730638E-2</v>
      </c>
      <c r="O22" s="4">
        <f t="shared" si="16"/>
        <v>1.055904429793266E-2</v>
      </c>
      <c r="P22" s="4">
        <f t="shared" si="10"/>
        <v>1.241029249694872E-2</v>
      </c>
      <c r="Q22" s="4">
        <f>'1lowflow'!$Z$11-0.000097591</f>
        <v>9.9024090000000009E-3</v>
      </c>
      <c r="R22" s="4">
        <f>2*('1lowflow'!$Z$10*Q22)/('1lowflow'!$Z$10+Q22)</f>
        <v>1.6530902788901198E-2</v>
      </c>
      <c r="T22" s="11">
        <v>1.5</v>
      </c>
      <c r="U22" s="10">
        <f t="shared" si="9"/>
        <v>25346.534653465347</v>
      </c>
      <c r="V22" s="10">
        <f t="shared" si="11"/>
        <v>2.3142123321975711E-2</v>
      </c>
      <c r="W22" s="10">
        <f t="shared" si="12"/>
        <v>6.2689792971516401E-3</v>
      </c>
      <c r="X22" s="17"/>
      <c r="Y22" s="9" t="s">
        <v>38</v>
      </c>
      <c r="Z22" s="3">
        <f>Z21/Z12</f>
        <v>2.3999999999999998E-4</v>
      </c>
      <c r="AC22" s="14">
        <v>0</v>
      </c>
      <c r="AD22" s="14">
        <v>1.792E-3</v>
      </c>
      <c r="AE22" s="14">
        <v>999.87</v>
      </c>
      <c r="AF22" s="13">
        <v>1.7922329902887374E-6</v>
      </c>
    </row>
    <row r="23" spans="1:32" ht="15.5" x14ac:dyDescent="0.35">
      <c r="A23" s="18" t="s">
        <v>80</v>
      </c>
      <c r="B23" s="3">
        <v>3450</v>
      </c>
      <c r="C23" s="7">
        <f t="shared" si="0"/>
        <v>57.500115000000001</v>
      </c>
      <c r="D23" s="7">
        <f t="shared" si="1"/>
        <v>0.95833410000000008</v>
      </c>
      <c r="E23" s="5">
        <f t="shared" si="2"/>
        <v>9.5833410000000006E-4</v>
      </c>
      <c r="F23" s="7">
        <f t="shared" si="3"/>
        <v>1.9166682000000002</v>
      </c>
      <c r="G23" s="7">
        <f t="shared" si="4"/>
        <v>3.6736169888912404</v>
      </c>
      <c r="H23" s="7">
        <f t="shared" si="5"/>
        <v>3.7256963138880002</v>
      </c>
      <c r="I23" s="16">
        <v>4.0410187931464501</v>
      </c>
      <c r="J23" s="16">
        <f t="shared" si="6"/>
        <v>40.410187931464499</v>
      </c>
      <c r="K23" s="15">
        <f t="shared" si="7"/>
        <v>4041.0187931464498</v>
      </c>
      <c r="L23" s="5">
        <f t="shared" si="13"/>
        <v>32137.890608754016</v>
      </c>
      <c r="M23" s="4">
        <f t="shared" si="14"/>
        <v>19.987931263973358</v>
      </c>
      <c r="N23" s="4">
        <f t="shared" si="15"/>
        <v>4.2507347247139747E-2</v>
      </c>
      <c r="O23" s="4">
        <f t="shared" si="16"/>
        <v>1.0626836811784937E-2</v>
      </c>
      <c r="P23" s="3">
        <f t="shared" si="10"/>
        <v>1.2499683156247216E-2</v>
      </c>
      <c r="Q23" s="4">
        <f>'1lowflow'!$Z$11-0.000092255</f>
        <v>9.9077450000000008E-3</v>
      </c>
      <c r="R23" s="4">
        <f>2*('1lowflow'!$Z$10*Q23)/('1lowflow'!$Z$10+Q23)</f>
        <v>1.6538337405288751E-2</v>
      </c>
      <c r="T23" s="11">
        <v>1.6</v>
      </c>
      <c r="U23" s="10">
        <f t="shared" si="9"/>
        <v>27036.303630363036</v>
      </c>
      <c r="V23" s="10">
        <f t="shared" si="11"/>
        <v>2.2771729834399512E-2</v>
      </c>
      <c r="W23" s="10">
        <f t="shared" si="12"/>
        <v>6.1686432530856225E-3</v>
      </c>
      <c r="X23" s="17"/>
      <c r="AC23" s="14">
        <v>5</v>
      </c>
      <c r="AD23" s="14">
        <v>1.519E-3</v>
      </c>
      <c r="AE23" s="14">
        <v>999.99</v>
      </c>
      <c r="AF23" s="13">
        <v>1.5190151901519014E-6</v>
      </c>
    </row>
    <row r="24" spans="1:32" ht="15.5" x14ac:dyDescent="0.35">
      <c r="A24" s="3" t="s">
        <v>47</v>
      </c>
      <c r="B24" s="3">
        <v>3150</v>
      </c>
      <c r="C24" s="7">
        <f t="shared" si="0"/>
        <v>52.500104999999998</v>
      </c>
      <c r="D24" s="7">
        <f t="shared" si="1"/>
        <v>0.87500070000000008</v>
      </c>
      <c r="E24" s="5">
        <f t="shared" si="2"/>
        <v>8.7500070000000004E-4</v>
      </c>
      <c r="F24" s="5">
        <f t="shared" si="3"/>
        <v>1.7500014000000002</v>
      </c>
      <c r="G24" s="7">
        <f t="shared" si="4"/>
        <v>3.0625049000019606</v>
      </c>
      <c r="H24" s="7">
        <f t="shared" si="5"/>
        <v>3.4017227213760002</v>
      </c>
      <c r="I24" s="7">
        <v>3.3092713169318317</v>
      </c>
      <c r="J24" s="16">
        <f t="shared" si="6"/>
        <v>33.092713169318316</v>
      </c>
      <c r="K24" s="15">
        <f t="shared" si="7"/>
        <v>3309.2713169318317</v>
      </c>
      <c r="L24" s="5">
        <f t="shared" si="13"/>
        <v>29318.655403145272</v>
      </c>
      <c r="M24" s="4">
        <f t="shared" si="14"/>
        <v>16.368517693818823</v>
      </c>
      <c r="N24" s="4">
        <f t="shared" si="15"/>
        <v>4.1756355878117185E-2</v>
      </c>
      <c r="O24" s="4">
        <f t="shared" si="16"/>
        <v>1.0439088969529296E-2</v>
      </c>
      <c r="P24" s="4">
        <f t="shared" si="10"/>
        <v>1.1673290676363666E-2</v>
      </c>
      <c r="Q24" s="4">
        <f>'1lowflow'!$Z$11-0.00010222</f>
        <v>9.8977800000000001E-3</v>
      </c>
      <c r="R24" s="4">
        <f>2*('1lowflow'!$Z$10*Q24)/('1lowflow'!$Z$10+Q24)</f>
        <v>1.6524452158327069E-2</v>
      </c>
      <c r="T24" s="11">
        <v>1.7</v>
      </c>
      <c r="U24" s="10">
        <f t="shared" si="9"/>
        <v>28726.072607260725</v>
      </c>
      <c r="V24" s="10">
        <f t="shared" si="11"/>
        <v>2.2429200229858112E-2</v>
      </c>
      <c r="W24" s="10">
        <f t="shared" si="12"/>
        <v>6.0758552677458114E-3</v>
      </c>
      <c r="X24" s="17"/>
      <c r="Y24" s="8"/>
      <c r="AC24" s="14">
        <f>AC23+5</f>
        <v>10</v>
      </c>
      <c r="AD24" s="14">
        <v>1.3079999999999999E-3</v>
      </c>
      <c r="AE24" s="14">
        <v>999.73</v>
      </c>
      <c r="AF24" s="13">
        <v>1.3083532553789522E-6</v>
      </c>
    </row>
    <row r="25" spans="1:32" ht="15.5" x14ac:dyDescent="0.35">
      <c r="A25" s="3" t="s">
        <v>79</v>
      </c>
      <c r="B25" s="3">
        <v>2800</v>
      </c>
      <c r="C25" s="7">
        <f t="shared" si="0"/>
        <v>46.666759999999996</v>
      </c>
      <c r="D25" s="7">
        <f t="shared" si="1"/>
        <v>0.77777839999999998</v>
      </c>
      <c r="E25" s="5">
        <f t="shared" si="2"/>
        <v>7.7777840000000005E-4</v>
      </c>
      <c r="F25" s="5">
        <f t="shared" si="3"/>
        <v>1.5555568</v>
      </c>
      <c r="G25" s="7">
        <f t="shared" si="4"/>
        <v>2.4197569580262397</v>
      </c>
      <c r="H25" s="7">
        <f t="shared" si="5"/>
        <v>3.0237535301119998</v>
      </c>
      <c r="I25" s="7">
        <v>2.6596240900148178</v>
      </c>
      <c r="J25" s="16">
        <f t="shared" si="6"/>
        <v>26.596240900148178</v>
      </c>
      <c r="K25" s="15">
        <f t="shared" si="7"/>
        <v>2659.6240900148177</v>
      </c>
      <c r="L25" s="5">
        <f t="shared" si="13"/>
        <v>26007.749733327604</v>
      </c>
      <c r="M25" s="4">
        <f t="shared" si="14"/>
        <v>13.155193336240764</v>
      </c>
      <c r="N25" s="4">
        <f t="shared" si="15"/>
        <v>4.2473252364656072E-2</v>
      </c>
      <c r="O25" s="4">
        <f t="shared" si="16"/>
        <v>1.0618313091164018E-2</v>
      </c>
      <c r="P25" s="4">
        <f t="shared" si="10"/>
        <v>1.2137507699994663E-2</v>
      </c>
      <c r="Q25" s="4">
        <f>'1lowflow'!$Z$11-0.00012645</f>
        <v>9.87355E-3</v>
      </c>
      <c r="R25" s="4">
        <f>2*('1lowflow'!$Z$10*Q25)/('1lowflow'!$Z$10+Q25)</f>
        <v>1.6490670755283425E-2</v>
      </c>
      <c r="T25" s="11">
        <v>1.8</v>
      </c>
      <c r="U25" s="10">
        <f t="shared" si="9"/>
        <v>30415.841584158414</v>
      </c>
      <c r="V25" s="10">
        <f t="shared" si="11"/>
        <v>2.2110974924286268E-2</v>
      </c>
      <c r="W25" s="10">
        <f t="shared" si="12"/>
        <v>5.989651083941931E-3</v>
      </c>
      <c r="X25" s="4"/>
      <c r="Y25" s="8"/>
      <c r="AC25" s="14" t="e">
        <f>#REF!+5</f>
        <v>#REF!</v>
      </c>
      <c r="AD25" s="14">
        <v>1.005E-3</v>
      </c>
      <c r="AE25" s="14">
        <v>998.23</v>
      </c>
      <c r="AF25" s="13">
        <v>1.0067820041473407E-6</v>
      </c>
    </row>
    <row r="26" spans="1:32" ht="15.5" x14ac:dyDescent="0.35">
      <c r="A26" s="3" t="s">
        <v>48</v>
      </c>
      <c r="B26" s="3">
        <v>2350</v>
      </c>
      <c r="C26" s="7">
        <f t="shared" si="0"/>
        <v>39.166744999999999</v>
      </c>
      <c r="D26" s="7">
        <f t="shared" si="1"/>
        <v>0.65277830000000003</v>
      </c>
      <c r="E26" s="5">
        <f t="shared" si="2"/>
        <v>6.5277830000000001E-4</v>
      </c>
      <c r="F26" s="5">
        <f t="shared" si="3"/>
        <v>1.3055566000000001</v>
      </c>
      <c r="G26" s="7">
        <f t="shared" si="4"/>
        <v>1.7044780358035603</v>
      </c>
      <c r="H26" s="7">
        <f t="shared" si="5"/>
        <v>2.5377931413440002</v>
      </c>
      <c r="I26" s="7">
        <v>1.8308294234073148</v>
      </c>
      <c r="J26" s="16">
        <f t="shared" si="6"/>
        <v>18.308294234073148</v>
      </c>
      <c r="K26" s="15">
        <f t="shared" si="7"/>
        <v>1830.8294234073148</v>
      </c>
      <c r="L26" s="5">
        <f t="shared" si="13"/>
        <v>21872.813703350148</v>
      </c>
      <c r="M26" s="4">
        <f t="shared" si="14"/>
        <v>9.0557590905514935</v>
      </c>
      <c r="N26" s="4">
        <f t="shared" si="15"/>
        <v>4.1507204204940078E-2</v>
      </c>
      <c r="O26" s="4">
        <f t="shared" si="16"/>
        <v>1.0376801051235019E-2</v>
      </c>
      <c r="P26" s="4">
        <f t="shared" si="10"/>
        <v>1.091797861523979E-2</v>
      </c>
      <c r="Q26" s="4">
        <f>'1lowflow'!$Z$11-0.00010213</f>
        <v>9.8978699999999996E-3</v>
      </c>
      <c r="R26" s="4">
        <f>2*('1lowflow'!$Z$10*Q26)/('1lowflow'!$Z$10+Q26)</f>
        <v>1.652457758514618E-2</v>
      </c>
      <c r="T26" s="11">
        <v>1.9</v>
      </c>
      <c r="U26" s="10">
        <f t="shared" si="9"/>
        <v>32105.610561056099</v>
      </c>
      <c r="V26" s="10">
        <f t="shared" si="11"/>
        <v>2.1814115992807897E-2</v>
      </c>
      <c r="W26" s="10">
        <f t="shared" si="12"/>
        <v>5.909234845996935E-3</v>
      </c>
      <c r="X26" s="4"/>
      <c r="Y26" s="8"/>
      <c r="AC26" s="14">
        <v>25</v>
      </c>
      <c r="AD26" s="14">
        <v>8.9400000000000005E-4</v>
      </c>
      <c r="AE26" s="14">
        <v>997.07</v>
      </c>
      <c r="AF26" s="13">
        <v>8.9662711745414066E-7</v>
      </c>
    </row>
    <row r="27" spans="1:32" ht="15.5" x14ac:dyDescent="0.35">
      <c r="A27" s="3" t="s">
        <v>78</v>
      </c>
      <c r="B27" s="3">
        <v>1950</v>
      </c>
      <c r="C27" s="3">
        <f t="shared" si="0"/>
        <v>32.500064999999999</v>
      </c>
      <c r="D27" s="3">
        <f t="shared" si="1"/>
        <v>0.54166710000000007</v>
      </c>
      <c r="E27" s="3">
        <f t="shared" si="2"/>
        <v>5.4166710000000005E-4</v>
      </c>
      <c r="F27" s="3">
        <f t="shared" si="3"/>
        <v>1.0833342000000001</v>
      </c>
      <c r="G27" s="3">
        <f t="shared" si="4"/>
        <v>1.1736129888896403</v>
      </c>
      <c r="H27" s="3">
        <f t="shared" si="5"/>
        <v>2.1058283513280003</v>
      </c>
      <c r="I27" s="3">
        <v>1.1838990703819092</v>
      </c>
      <c r="J27" s="3">
        <f t="shared" si="6"/>
        <v>11.838990703819093</v>
      </c>
      <c r="K27" s="3">
        <f t="shared" si="7"/>
        <v>1183.8990703819093</v>
      </c>
      <c r="L27" s="5">
        <f t="shared" si="13"/>
        <v>18136.983198361446</v>
      </c>
      <c r="M27" s="4">
        <f t="shared" si="14"/>
        <v>5.8558730987366561</v>
      </c>
      <c r="N27" s="4">
        <f t="shared" si="15"/>
        <v>3.8981341393608329E-2</v>
      </c>
      <c r="O27" s="4">
        <f t="shared" si="16"/>
        <v>9.7453353484020823E-3</v>
      </c>
      <c r="P27" s="4">
        <f t="shared" si="10"/>
        <v>8.2644653807791152E-3</v>
      </c>
      <c r="Q27" s="4">
        <f>'1lowflow'!$Z$11-0.00011049</f>
        <v>9.8895100000000007E-3</v>
      </c>
      <c r="R27" s="4">
        <f>2*('1lowflow'!$Z$10*Q27)/('1lowflow'!$Z$10+Q27)</f>
        <v>1.6512925218456452E-2</v>
      </c>
      <c r="T27" s="11">
        <v>2</v>
      </c>
      <c r="U27" s="10">
        <f t="shared" si="9"/>
        <v>33795.379537953791</v>
      </c>
      <c r="V27" s="10">
        <f t="shared" si="11"/>
        <v>2.1536172413370625E-2</v>
      </c>
      <c r="W27" s="10">
        <f t="shared" si="12"/>
        <v>5.8339425955397824E-3</v>
      </c>
      <c r="X27" s="4"/>
      <c r="Y27" s="8"/>
      <c r="AC27" s="12"/>
      <c r="AD27" s="12"/>
      <c r="AE27" s="12"/>
      <c r="AF27" s="12"/>
    </row>
    <row r="28" spans="1:32" ht="15.5" x14ac:dyDescent="0.35">
      <c r="A28" s="3" t="s">
        <v>49</v>
      </c>
      <c r="B28" s="3">
        <v>1550</v>
      </c>
      <c r="C28" s="3">
        <f t="shared" si="0"/>
        <v>25.833385</v>
      </c>
      <c r="D28" s="3">
        <f t="shared" si="1"/>
        <v>0.43055589999999999</v>
      </c>
      <c r="E28" s="3">
        <f t="shared" si="2"/>
        <v>4.3055589999999998E-4</v>
      </c>
      <c r="F28" s="3">
        <f t="shared" si="3"/>
        <v>0.86111179999999998</v>
      </c>
      <c r="G28" s="3">
        <f t="shared" si="4"/>
        <v>0.74151353209923998</v>
      </c>
      <c r="H28" s="3">
        <f t="shared" si="5"/>
        <v>1.6738635613119999</v>
      </c>
      <c r="I28" s="3">
        <v>0.67114048214300781</v>
      </c>
      <c r="J28" s="3">
        <f t="shared" si="6"/>
        <v>6.7114048214300777</v>
      </c>
      <c r="K28" s="9">
        <f t="shared" si="7"/>
        <v>671.14048214300772</v>
      </c>
      <c r="L28" s="5">
        <f t="shared" si="13"/>
        <v>14431.22301436929</v>
      </c>
      <c r="M28" s="4">
        <f t="shared" si="14"/>
        <v>3.3196355949385015</v>
      </c>
      <c r="N28" s="4">
        <f t="shared" si="15"/>
        <v>3.4975293049656839E-2</v>
      </c>
      <c r="O28" s="4">
        <f t="shared" si="16"/>
        <v>8.7438232624142097E-3</v>
      </c>
      <c r="P28" s="4">
        <f t="shared" si="10"/>
        <v>4.4048940600669726E-3</v>
      </c>
      <c r="Q28" s="4">
        <f>'1lowflow'!$Z$11-0.000098453</f>
        <v>9.9015470000000001E-3</v>
      </c>
      <c r="R28" s="4">
        <f>2*('1lowflow'!$Z$10*Q28)/('1lowflow'!$Z$10+Q28)</f>
        <v>1.6529701645268027E-2</v>
      </c>
      <c r="T28" s="11">
        <v>2.1</v>
      </c>
      <c r="U28" s="10">
        <f t="shared" si="9"/>
        <v>35485.148514851484</v>
      </c>
      <c r="V28" s="10">
        <f t="shared" si="11"/>
        <v>2.1275079648428626E-2</v>
      </c>
      <c r="W28" s="10">
        <f t="shared" si="12"/>
        <v>5.7632150691462481E-3</v>
      </c>
      <c r="X28" s="4"/>
      <c r="Y28" s="8"/>
    </row>
    <row r="29" spans="1:32" ht="15.5" x14ac:dyDescent="0.35">
      <c r="G29" s="7"/>
      <c r="X29" s="4"/>
      <c r="Y29" s="8"/>
      <c r="Z29" s="9" t="s">
        <v>39</v>
      </c>
    </row>
    <row r="30" spans="1:32" x14ac:dyDescent="0.35">
      <c r="G30" s="7"/>
      <c r="R30" s="4">
        <f>AVERAGE(R8:R28)</f>
        <v>1.6352883654722872E-2</v>
      </c>
      <c r="X30" s="4"/>
      <c r="Y30" s="8"/>
    </row>
    <row r="31" spans="1:32" x14ac:dyDescent="0.35">
      <c r="G31" s="7"/>
      <c r="X31" s="4"/>
      <c r="Y31" s="8"/>
    </row>
    <row r="32" spans="1:32" x14ac:dyDescent="0.35">
      <c r="G32" s="7"/>
      <c r="X32" s="4"/>
    </row>
    <row r="33" spans="7:24" x14ac:dyDescent="0.35">
      <c r="G33" s="7"/>
      <c r="X33" s="4"/>
    </row>
    <row r="34" spans="7:24" x14ac:dyDescent="0.35">
      <c r="X34" s="4"/>
    </row>
    <row r="35" spans="7:24" ht="15.5" x14ac:dyDescent="0.35">
      <c r="T35" s="4"/>
      <c r="U35" s="6"/>
      <c r="V35" s="6"/>
      <c r="W35" s="4"/>
      <c r="X35" s="4"/>
    </row>
    <row r="36" spans="7:24" ht="15.5" x14ac:dyDescent="0.35">
      <c r="T36" s="4"/>
      <c r="U36" s="6"/>
      <c r="V36" s="6"/>
      <c r="W36" s="4"/>
      <c r="X36" s="4"/>
    </row>
    <row r="37" spans="7:24" ht="15.5" x14ac:dyDescent="0.35">
      <c r="T37" s="4"/>
      <c r="U37" s="6"/>
      <c r="V37" s="6"/>
      <c r="W37" s="4"/>
      <c r="X37" s="4"/>
    </row>
    <row r="38" spans="7:24" ht="15.5" x14ac:dyDescent="0.35">
      <c r="T38" s="4"/>
      <c r="U38" s="6"/>
      <c r="V38" s="6"/>
      <c r="W38" s="4"/>
      <c r="X38" s="4"/>
    </row>
    <row r="39" spans="7:24" ht="15.5" x14ac:dyDescent="0.35">
      <c r="T39" s="4"/>
      <c r="U39" s="6"/>
      <c r="V39" s="6"/>
      <c r="W39" s="4"/>
      <c r="X39" s="4"/>
    </row>
    <row r="40" spans="7:24" ht="15.5" x14ac:dyDescent="0.35">
      <c r="T40" s="4"/>
      <c r="U40" s="6"/>
      <c r="V40" s="6"/>
    </row>
    <row r="41" spans="7:24" ht="15.5" x14ac:dyDescent="0.35">
      <c r="T41" s="4"/>
      <c r="U41" s="6"/>
      <c r="V41" s="6"/>
    </row>
    <row r="42" spans="7:24" ht="15.5" x14ac:dyDescent="0.35">
      <c r="T42" s="4"/>
      <c r="U42" s="6"/>
      <c r="V42" s="6"/>
    </row>
    <row r="43" spans="7:24" ht="15.5" x14ac:dyDescent="0.35">
      <c r="T43" s="4"/>
      <c r="U43" s="6"/>
      <c r="V43" s="6"/>
    </row>
    <row r="44" spans="7:24" ht="15.5" x14ac:dyDescent="0.35">
      <c r="T44" s="4"/>
      <c r="U44" s="6"/>
      <c r="V44" s="6"/>
    </row>
    <row r="45" spans="7:24" ht="15.5" x14ac:dyDescent="0.35">
      <c r="T45" s="4"/>
      <c r="U45" s="6"/>
      <c r="V45" s="6"/>
    </row>
    <row r="46" spans="7:24" ht="15.5" x14ac:dyDescent="0.35">
      <c r="T46" s="4"/>
      <c r="U46" s="6"/>
      <c r="V46" s="6"/>
    </row>
    <row r="47" spans="7:24" ht="15.5" x14ac:dyDescent="0.35">
      <c r="T47" s="4"/>
      <c r="U47" s="6"/>
      <c r="V47" s="6"/>
    </row>
    <row r="48" spans="7:24" ht="15.5" x14ac:dyDescent="0.35">
      <c r="T48" s="4"/>
      <c r="U48" s="6"/>
      <c r="V48" s="6"/>
    </row>
    <row r="49" spans="2:22" ht="15.5" x14ac:dyDescent="0.35">
      <c r="T49" s="4"/>
      <c r="U49" s="6"/>
      <c r="V49" s="6"/>
    </row>
    <row r="50" spans="2:22" x14ac:dyDescent="0.35">
      <c r="T50" s="4"/>
    </row>
    <row r="60" spans="2:22" x14ac:dyDescent="0.35">
      <c r="B60" s="3">
        <v>0</v>
      </c>
    </row>
  </sheetData>
  <mergeCells count="2">
    <mergeCell ref="A4:N4"/>
    <mergeCell ref="Y6:Z6"/>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B4702-D775-4442-8B71-3EB8974720CD}">
  <dimension ref="A1:AF60"/>
  <sheetViews>
    <sheetView zoomScale="62" zoomScaleNormal="62" workbookViewId="0">
      <selection activeCell="E9" sqref="E9"/>
    </sheetView>
  </sheetViews>
  <sheetFormatPr defaultColWidth="8.69140625" defaultRowHeight="14.5" x14ac:dyDescent="0.35"/>
  <cols>
    <col min="1" max="1" width="8.69140625" style="3"/>
    <col min="2" max="2" width="11" style="3" customWidth="1"/>
    <col min="3" max="4" width="8.69140625" style="3"/>
    <col min="5" max="5" width="12.3046875" style="3" customWidth="1"/>
    <col min="6" max="6" width="15.69140625" style="3" bestFit="1" customWidth="1"/>
    <col min="7" max="7" width="8.53515625" style="3" customWidth="1"/>
    <col min="8" max="8" width="8.69140625" style="3"/>
    <col min="9" max="9" width="15.69140625" style="3" bestFit="1" customWidth="1"/>
    <col min="10" max="10" width="12.23046875" style="3" customWidth="1"/>
    <col min="11" max="11" width="10.4609375" style="3" customWidth="1"/>
    <col min="12" max="12" width="8.53515625" style="5" customWidth="1"/>
    <col min="13" max="13" width="6.765625" style="4" customWidth="1"/>
    <col min="14" max="14" width="8.4609375" style="4" customWidth="1"/>
    <col min="15" max="15" width="9.07421875" style="4" customWidth="1"/>
    <col min="16" max="16" width="27.23046875" style="4" customWidth="1"/>
    <col min="17" max="17" width="29.23046875" style="4" customWidth="1"/>
    <col min="18" max="19" width="8.4609375" style="4" customWidth="1"/>
    <col min="20" max="20" width="10.23046875" style="3" customWidth="1"/>
    <col min="21" max="21" width="13.84375" style="3" customWidth="1"/>
    <col min="22" max="24" width="10" style="3" customWidth="1"/>
    <col min="25" max="25" width="24.69140625" style="3" customWidth="1"/>
    <col min="26" max="27" width="8.69140625" style="3"/>
    <col min="28" max="28" width="22" style="3" customWidth="1"/>
    <col min="29" max="29" width="35.84375" style="3" customWidth="1"/>
    <col min="30" max="30" width="16.84375" style="3" customWidth="1"/>
    <col min="31" max="16384" width="8.69140625" style="3"/>
  </cols>
  <sheetData>
    <row r="1" spans="1:30" x14ac:dyDescent="0.35">
      <c r="A1" s="48" t="s">
        <v>99</v>
      </c>
    </row>
    <row r="2" spans="1:30" ht="15.5" x14ac:dyDescent="0.35">
      <c r="A2" s="9"/>
      <c r="I2" s="9"/>
      <c r="J2" s="9"/>
    </row>
    <row r="3" spans="1:30" ht="15.5" x14ac:dyDescent="0.35">
      <c r="A3" s="9"/>
      <c r="I3" s="9"/>
      <c r="J3" s="9"/>
    </row>
    <row r="4" spans="1:30" x14ac:dyDescent="0.35">
      <c r="A4" s="51" t="s">
        <v>3</v>
      </c>
      <c r="B4" s="51"/>
      <c r="C4" s="51"/>
      <c r="D4" s="51"/>
      <c r="E4" s="51"/>
      <c r="F4" s="51"/>
      <c r="G4" s="51"/>
      <c r="H4" s="51"/>
      <c r="I4" s="51"/>
      <c r="J4" s="51"/>
      <c r="K4" s="51"/>
      <c r="L4" s="51"/>
      <c r="M4" s="51"/>
      <c r="N4" s="51"/>
      <c r="O4" s="42"/>
      <c r="P4" s="42"/>
      <c r="Q4" s="43"/>
      <c r="R4" s="43"/>
      <c r="S4" s="43"/>
    </row>
    <row r="6" spans="1:30" ht="15.5" x14ac:dyDescent="0.35">
      <c r="A6" s="29"/>
      <c r="B6" s="27" t="s">
        <v>4</v>
      </c>
      <c r="C6" s="27" t="s">
        <v>5</v>
      </c>
      <c r="D6" s="28" t="s">
        <v>6</v>
      </c>
      <c r="E6" s="28" t="s">
        <v>93</v>
      </c>
      <c r="F6" s="28" t="s">
        <v>7</v>
      </c>
      <c r="G6" s="28" t="s">
        <v>92</v>
      </c>
      <c r="H6" s="28" t="s">
        <v>8</v>
      </c>
      <c r="I6" s="27" t="s">
        <v>91</v>
      </c>
      <c r="J6" s="27" t="s">
        <v>90</v>
      </c>
      <c r="K6" s="27" t="s">
        <v>9</v>
      </c>
      <c r="L6" s="26" t="s">
        <v>10</v>
      </c>
      <c r="M6" s="25" t="s">
        <v>89</v>
      </c>
      <c r="N6" s="24" t="s">
        <v>11</v>
      </c>
      <c r="O6" s="11" t="s">
        <v>88</v>
      </c>
      <c r="P6" s="11" t="s">
        <v>12</v>
      </c>
      <c r="Q6" s="11" t="s">
        <v>98</v>
      </c>
      <c r="R6" s="11" t="s">
        <v>97</v>
      </c>
      <c r="S6" s="11"/>
      <c r="T6" s="23" t="s">
        <v>13</v>
      </c>
      <c r="U6" s="6" t="s">
        <v>10</v>
      </c>
      <c r="V6" s="23" t="s">
        <v>14</v>
      </c>
      <c r="W6" s="6" t="s">
        <v>15</v>
      </c>
      <c r="X6" s="9"/>
      <c r="Y6" s="52" t="s">
        <v>16</v>
      </c>
      <c r="Z6" s="52"/>
    </row>
    <row r="7" spans="1:30" ht="15.5" x14ac:dyDescent="0.35">
      <c r="A7" s="22" t="s">
        <v>17</v>
      </c>
      <c r="B7" s="3">
        <f>AVERAGE('1lowflow'!B7,'2lowflow'!B7)</f>
        <v>0</v>
      </c>
      <c r="C7" s="3">
        <f>AVERAGE('1lowflow'!C7,'2lowflow'!C7)</f>
        <v>0</v>
      </c>
      <c r="D7" s="3">
        <f>AVERAGE('1lowflow'!D7,'2lowflow'!D7)</f>
        <v>0</v>
      </c>
      <c r="E7" s="3">
        <f>AVERAGE('1lowflow'!E7,'2lowflow'!E7)</f>
        <v>0</v>
      </c>
      <c r="F7" s="3">
        <f>AVERAGE('1lowflow'!F7,'2lowflow'!F7)</f>
        <v>0</v>
      </c>
      <c r="G7" s="3">
        <f>AVERAGE('1lowflow'!G7,'2lowflow'!G7)</f>
        <v>0</v>
      </c>
      <c r="H7" s="3">
        <f>AVERAGE('1lowflow'!H7,'2lowflow'!H7)</f>
        <v>0</v>
      </c>
      <c r="I7" s="3" t="e">
        <f>AVERAGE('1lowflow'!I7,'2lowflow'!I7)</f>
        <v>#DIV/0!</v>
      </c>
      <c r="J7" s="3">
        <f>AVERAGE('1lowflow'!J7,'2lowflow'!J7)</f>
        <v>0</v>
      </c>
      <c r="K7" s="3">
        <f>AVERAGE('1lowflow'!K7,'2lowflow'!K7)</f>
        <v>0</v>
      </c>
      <c r="L7" s="3">
        <f>AVERAGE('1lowflow'!L7,'2lowflow'!L7)</f>
        <v>0</v>
      </c>
      <c r="M7" s="3" t="e">
        <f>AVERAGE('1lowflow'!M7,'2lowflow'!M7)</f>
        <v>#DIV/0!</v>
      </c>
      <c r="N7" s="3" t="e">
        <f>AVERAGE('1lowflow'!N7,'2lowflow'!N7)</f>
        <v>#DIV/0!</v>
      </c>
      <c r="O7" s="3" t="e">
        <f>AVERAGE('1lowflow'!O7,'2lowflow'!O7)</f>
        <v>#DIV/0!</v>
      </c>
      <c r="P7" s="3" t="e">
        <f>AVERAGE('1lowflow'!P7,'2lowflow'!P7)</f>
        <v>#DIV/0!</v>
      </c>
      <c r="Q7" s="3" t="e">
        <f>AVERAGE('1lowflow'!Q7,'2lowflow'!Q7)</f>
        <v>#DIV/0!</v>
      </c>
      <c r="R7" s="3" t="e">
        <f>AVERAGE('1lowflow'!R7,'2lowflow'!R7)</f>
        <v>#DIV/0!</v>
      </c>
      <c r="T7" s="11">
        <v>0</v>
      </c>
      <c r="U7" s="10">
        <f t="shared" ref="U7:U28" si="0">(T7*Z$12)/Z$13</f>
        <v>0</v>
      </c>
      <c r="V7" s="10"/>
      <c r="W7" s="10"/>
    </row>
    <row r="8" spans="1:30" ht="15.5" x14ac:dyDescent="0.35">
      <c r="A8" s="3" t="s">
        <v>40</v>
      </c>
      <c r="B8" s="3">
        <f>AVERAGE('1lowflow'!B8,'2lowflow'!B8)</f>
        <v>1650</v>
      </c>
      <c r="C8" s="3">
        <f>AVERAGE('1lowflow'!C8,'2lowflow'!C8)</f>
        <v>27.500054999999996</v>
      </c>
      <c r="D8" s="3">
        <f>AVERAGE('1lowflow'!D8,'2lowflow'!D8)</f>
        <v>0.45833370000000001</v>
      </c>
      <c r="E8" s="3">
        <f>AVERAGE('1lowflow'!E8,'2lowflow'!E8)</f>
        <v>4.5833370000000003E-4</v>
      </c>
      <c r="F8" s="3">
        <f>AVERAGE('1lowflow'!F8,'2lowflow'!F8)</f>
        <v>0.91666740000000002</v>
      </c>
      <c r="G8" s="3">
        <f>AVERAGE('1lowflow'!G8,'2lowflow'!G8)</f>
        <v>0.84105072839560002</v>
      </c>
      <c r="H8" s="3">
        <f>AVERAGE('1lowflow'!H8,'2lowflow'!H8)</f>
        <v>1.7818547588160001</v>
      </c>
      <c r="I8" s="3">
        <f>AVERAGE('1lowflow'!I8,'2lowflow'!I8)</f>
        <v>1.0692010633443636</v>
      </c>
      <c r="J8" s="3">
        <f>AVERAGE('1lowflow'!J8,'2lowflow'!J8)</f>
        <v>10.692010633443637</v>
      </c>
      <c r="K8" s="3">
        <f>AVERAGE('1lowflow'!K8,'2lowflow'!K8)</f>
        <v>1069.2010633443635</v>
      </c>
      <c r="L8" s="3">
        <f>AVERAGE('1lowflow'!L8,'2lowflow'!L8)</f>
        <v>14675.410691070609</v>
      </c>
      <c r="M8" s="3">
        <f>AVERAGE('1lowflow'!M8,'2lowflow'!M8)</f>
        <v>5.3860776068757144</v>
      </c>
      <c r="N8" s="3">
        <f>AVERAGE('1lowflow'!N8,'2lowflow'!N8)</f>
        <v>4.9864991431479613E-2</v>
      </c>
      <c r="O8" s="3">
        <f>AVERAGE('1lowflow'!O8,'2lowflow'!O8)</f>
        <v>1.2466247857869903E-2</v>
      </c>
      <c r="P8" s="3">
        <f>AVERAGE('1lowflow'!P8,'2lowflow'!P8)</f>
        <v>1.855850356242892E-2</v>
      </c>
      <c r="Q8" s="3">
        <f>AVERAGE('1lowflow'!Q8,'2lowflow'!Q8)</f>
        <v>9.5923399999999995E-3</v>
      </c>
      <c r="R8" s="3">
        <f>AVERAGE('1lowflow'!R8,'2lowflow'!R8)</f>
        <v>1.6095744811065779E-2</v>
      </c>
      <c r="T8" s="11">
        <v>0.1</v>
      </c>
      <c r="U8" s="10">
        <f t="shared" si="0"/>
        <v>1656.9579288025889</v>
      </c>
      <c r="V8" s="10">
        <f t="shared" ref="V8:V28" si="1">0.292/(U8^(0.25))</f>
        <v>4.5767267192499433E-2</v>
      </c>
      <c r="W8" s="10">
        <f t="shared" ref="W8:W28" si="2">0.0791/(U8^0.25)</f>
        <v>1.2397913818242142E-2</v>
      </c>
      <c r="X8" s="17"/>
      <c r="Y8" s="9" t="s">
        <v>18</v>
      </c>
      <c r="Z8" s="3">
        <f>Z$10*Z$11</f>
        <v>5.0000000000000001E-4</v>
      </c>
    </row>
    <row r="9" spans="1:30" ht="15.5" x14ac:dyDescent="0.35">
      <c r="A9" s="3" t="s">
        <v>87</v>
      </c>
      <c r="B9" s="3">
        <f>AVERAGE('1lowflow'!B9,'2lowflow'!B9)</f>
        <v>2100</v>
      </c>
      <c r="C9" s="3">
        <f>AVERAGE('1lowflow'!C9,'2lowflow'!C9)</f>
        <v>17.500035</v>
      </c>
      <c r="D9" s="3">
        <f>AVERAGE('1lowflow'!D9,'2lowflow'!D9)</f>
        <v>0.29166690000000001</v>
      </c>
      <c r="E9" s="3">
        <f>AVERAGE('1lowflow'!E9,'2lowflow'!E9)</f>
        <v>2.9166690000000003E-4</v>
      </c>
      <c r="F9" s="3">
        <f>AVERAGE('1lowflow'!F9,'2lowflow'!F9)</f>
        <v>0.58333380000000001</v>
      </c>
      <c r="G9" s="3">
        <f>AVERAGE('1lowflow'!G9,'2lowflow'!G9)</f>
        <v>1.3611132888897601</v>
      </c>
      <c r="H9" s="3">
        <f>AVERAGE('1lowflow'!H9,'2lowflow'!H9)</f>
        <v>1.1339075737920001</v>
      </c>
      <c r="I9" s="3">
        <f>AVERAGE('1lowflow'!I9,'2lowflow'!I9)</f>
        <v>1.7935440972222212</v>
      </c>
      <c r="J9" s="3">
        <f>AVERAGE('1lowflow'!J9,'2lowflow'!J9)</f>
        <v>17.93544097222221</v>
      </c>
      <c r="K9" s="3">
        <f>AVERAGE('1lowflow'!K9,'2lowflow'!K9)</f>
        <v>1793.5440972222209</v>
      </c>
      <c r="L9" s="3">
        <f>AVERAGE('1lowflow'!L9,'2lowflow'!L9)</f>
        <v>18557.509953635461</v>
      </c>
      <c r="M9" s="3">
        <f>AVERAGE('1lowflow'!M9,'2lowflow'!M9)</f>
        <v>9.1327186672509626</v>
      </c>
      <c r="N9" s="3">
        <f>AVERAGE('1lowflow'!N9,'2lowflow'!N9)</f>
        <v>5.2368716133729523E-2</v>
      </c>
      <c r="O9" s="3">
        <f>AVERAGE('1lowflow'!O9,'2lowflow'!O9)</f>
        <v>1.3092179033432381E-2</v>
      </c>
      <c r="P9" s="3" t="e">
        <f>AVERAGE('1lowflow'!P9,'2lowflow'!P9)</f>
        <v>#DIV/0!</v>
      </c>
      <c r="Q9" s="3">
        <f>AVERAGE('1lowflow'!Q9,'2lowflow'!Q9)</f>
        <v>9.4733149999999995E-3</v>
      </c>
      <c r="R9" s="3">
        <f>AVERAGE('1lowflow'!R9,'2lowflow'!R9)</f>
        <v>1.5927076878899146E-2</v>
      </c>
      <c r="T9" s="11">
        <v>0.2</v>
      </c>
      <c r="U9" s="10">
        <f t="shared" si="0"/>
        <v>3313.9158576051777</v>
      </c>
      <c r="V9" s="10">
        <f t="shared" si="1"/>
        <v>3.848553091813172E-2</v>
      </c>
      <c r="W9" s="10">
        <f t="shared" si="2"/>
        <v>1.0425361286384313E-2</v>
      </c>
      <c r="X9" s="17"/>
      <c r="Y9" s="3" t="s">
        <v>19</v>
      </c>
    </row>
    <row r="10" spans="1:30" ht="15.5" x14ac:dyDescent="0.35">
      <c r="A10" s="3" t="s">
        <v>41</v>
      </c>
      <c r="B10" s="3">
        <f>AVERAGE('1lowflow'!B10,'2lowflow'!B10)</f>
        <v>2500</v>
      </c>
      <c r="C10" s="3">
        <f>AVERAGE('1lowflow'!C10,'2lowflow'!C10)</f>
        <v>41.666749999999993</v>
      </c>
      <c r="D10" s="3">
        <f>AVERAGE('1lowflow'!D10,'2lowflow'!D10)</f>
        <v>0.69444499999999998</v>
      </c>
      <c r="E10" s="3">
        <f>AVERAGE('1lowflow'!E10,'2lowflow'!E10)</f>
        <v>6.9444500000000002E-4</v>
      </c>
      <c r="F10" s="3">
        <f>AVERAGE('1lowflow'!F10,'2lowflow'!F10)</f>
        <v>1.38889</v>
      </c>
      <c r="G10" s="3">
        <f>AVERAGE('1lowflow'!G10,'2lowflow'!G10)</f>
        <v>1.9321018567913604</v>
      </c>
      <c r="H10" s="3">
        <f>AVERAGE('1lowflow'!H10,'2lowflow'!H10)</f>
        <v>2.6997799376000002</v>
      </c>
      <c r="I10" s="3">
        <f>AVERAGE('1lowflow'!I10,'2lowflow'!I10)</f>
        <v>2.4499228226629679</v>
      </c>
      <c r="J10" s="3">
        <f>AVERAGE('1lowflow'!J10,'2lowflow'!J10)</f>
        <v>24.499228226629675</v>
      </c>
      <c r="K10" s="3">
        <f>AVERAGE('1lowflow'!K10,'2lowflow'!K10)</f>
        <v>2449.9228226629675</v>
      </c>
      <c r="L10" s="3">
        <f>AVERAGE('1lowflow'!L10,'2lowflow'!L10)</f>
        <v>22169.620050159996</v>
      </c>
      <c r="M10" s="3">
        <f>AVERAGE('1lowflow'!M10,'2lowflow'!M10)</f>
        <v>12.343924895186781</v>
      </c>
      <c r="N10" s="3">
        <f>AVERAGE('1lowflow'!N10,'2lowflow'!N10)</f>
        <v>4.9655677644922111E-2</v>
      </c>
      <c r="O10" s="3">
        <f>AVERAGE('1lowflow'!O10,'2lowflow'!O10)</f>
        <v>1.2413919411230528E-2</v>
      </c>
      <c r="P10" s="3">
        <f>AVERAGE('1lowflow'!P10,'2lowflow'!P10)</f>
        <v>1.9316899462186891E-2</v>
      </c>
      <c r="Q10" s="3">
        <f>AVERAGE('1lowflow'!Q10,'2lowflow'!Q10)</f>
        <v>9.5583500000000002E-3</v>
      </c>
      <c r="R10" s="3">
        <f>AVERAGE('1lowflow'!R10,'2lowflow'!R10)</f>
        <v>1.6047594200784932E-2</v>
      </c>
      <c r="T10" s="11">
        <v>0.3</v>
      </c>
      <c r="U10" s="10">
        <f t="shared" si="0"/>
        <v>4970.8737864077666</v>
      </c>
      <c r="V10" s="10">
        <f t="shared" si="1"/>
        <v>3.4775602847612441E-2</v>
      </c>
      <c r="W10" s="10">
        <f t="shared" si="2"/>
        <v>9.4203773467333701E-3</v>
      </c>
      <c r="X10" s="17"/>
      <c r="Y10" s="9" t="s">
        <v>20</v>
      </c>
      <c r="Z10" s="7">
        <v>0.05</v>
      </c>
      <c r="AC10" s="20" t="s">
        <v>73</v>
      </c>
    </row>
    <row r="11" spans="1:30" ht="15.5" x14ac:dyDescent="0.35">
      <c r="A11" s="3" t="s">
        <v>86</v>
      </c>
      <c r="B11" s="3">
        <f>AVERAGE('1lowflow'!B11,'2lowflow'!B11)</f>
        <v>2950</v>
      </c>
      <c r="C11" s="3">
        <f>AVERAGE('1lowflow'!C11,'2lowflow'!C11)</f>
        <v>49.166764999999998</v>
      </c>
      <c r="D11" s="3">
        <f>AVERAGE('1lowflow'!D11,'2lowflow'!D11)</f>
        <v>0.81944510000000004</v>
      </c>
      <c r="E11" s="3">
        <f>AVERAGE('1lowflow'!E11,'2lowflow'!E11)</f>
        <v>8.1944510000000006E-4</v>
      </c>
      <c r="F11" s="3">
        <f>AVERAGE('1lowflow'!F11,'2lowflow'!F11)</f>
        <v>1.6388902000000001</v>
      </c>
      <c r="G11" s="3">
        <f>AVERAGE('1lowflow'!G11,'2lowflow'!G11)</f>
        <v>2.6867326938288802</v>
      </c>
      <c r="H11" s="3">
        <f>AVERAGE('1lowflow'!H11,'2lowflow'!H11)</f>
        <v>3.1857403263680002</v>
      </c>
      <c r="I11" s="3">
        <f>AVERAGE('1lowflow'!I11,'2lowflow'!I11)</f>
        <v>3.4054014400333581</v>
      </c>
      <c r="J11" s="3">
        <f>AVERAGE('1lowflow'!J11,'2lowflow'!J11)</f>
        <v>34.054014400333585</v>
      </c>
      <c r="K11" s="3">
        <f>AVERAGE('1lowflow'!K11,'2lowflow'!K11)</f>
        <v>3405.4014400333581</v>
      </c>
      <c r="L11" s="3">
        <f>AVERAGE('1lowflow'!L11,'2lowflow'!L11)</f>
        <v>26564.032850486914</v>
      </c>
      <c r="M11" s="3">
        <f>AVERAGE('1lowflow'!M11,'2lowflow'!M11)</f>
        <v>17.105819178720644</v>
      </c>
      <c r="N11" s="3">
        <f>AVERAGE('1lowflow'!N11,'2lowflow'!N11)</f>
        <v>4.9635288167949779E-2</v>
      </c>
      <c r="O11" s="3">
        <f>AVERAGE('1lowflow'!O11,'2lowflow'!O11)</f>
        <v>1.2408822041987445E-2</v>
      </c>
      <c r="P11" s="3">
        <f>AVERAGE('1lowflow'!P11,'2lowflow'!P11)</f>
        <v>1.9577564071409197E-2</v>
      </c>
      <c r="Q11" s="3">
        <f>AVERAGE('1lowflow'!Q11,'2lowflow'!Q11)</f>
        <v>9.7334399999999995E-3</v>
      </c>
      <c r="R11" s="3">
        <f>AVERAGE('1lowflow'!R11,'2lowflow'!R11)</f>
        <v>1.6294791962846607E-2</v>
      </c>
      <c r="T11" s="11">
        <v>0.4</v>
      </c>
      <c r="U11" s="10">
        <f t="shared" si="0"/>
        <v>6627.8317152103555</v>
      </c>
      <c r="V11" s="10">
        <f t="shared" si="1"/>
        <v>3.2362344988192952E-2</v>
      </c>
      <c r="W11" s="10">
        <f t="shared" si="2"/>
        <v>8.7666489334454218E-3</v>
      </c>
      <c r="X11" s="17"/>
      <c r="Y11" s="9" t="s">
        <v>21</v>
      </c>
      <c r="Z11" s="7">
        <v>0.01</v>
      </c>
      <c r="AC11" s="21" t="s">
        <v>74</v>
      </c>
      <c r="AD11" s="3" t="s">
        <v>22</v>
      </c>
    </row>
    <row r="12" spans="1:30" ht="15.5" x14ac:dyDescent="0.35">
      <c r="A12" s="3" t="s">
        <v>42</v>
      </c>
      <c r="B12" s="3">
        <f>AVERAGE('1lowflow'!B12,'2lowflow'!B12)</f>
        <v>3300</v>
      </c>
      <c r="C12" s="3">
        <f>AVERAGE('1lowflow'!C12,'2lowflow'!C12)</f>
        <v>55.000109999999999</v>
      </c>
      <c r="D12" s="3">
        <f>AVERAGE('1lowflow'!D12,'2lowflow'!D12)</f>
        <v>0.91666740000000002</v>
      </c>
      <c r="E12" s="3">
        <f>AVERAGE('1lowflow'!E12,'2lowflow'!E12)</f>
        <v>9.1666740000000005E-4</v>
      </c>
      <c r="F12" s="3">
        <f>AVERAGE('1lowflow'!F12,'2lowflow'!F12)</f>
        <v>1.8333348</v>
      </c>
      <c r="G12" s="3">
        <f>AVERAGE('1lowflow'!G12,'2lowflow'!G12)</f>
        <v>3.3618880950638799</v>
      </c>
      <c r="H12" s="3">
        <f>AVERAGE('1lowflow'!H12,'2lowflow'!H12)</f>
        <v>3.5637095176320002</v>
      </c>
      <c r="I12" s="3">
        <f>AVERAGE('1lowflow'!I12,'2lowflow'!I12)</f>
        <v>4.3190318515109514</v>
      </c>
      <c r="J12" s="3">
        <f>AVERAGE('1lowflow'!J12,'2lowflow'!J12)</f>
        <v>43.19031851510951</v>
      </c>
      <c r="K12" s="3">
        <f>AVERAGE('1lowflow'!K12,'2lowflow'!K12)</f>
        <v>4319.0318515109502</v>
      </c>
      <c r="L12" s="3">
        <f>AVERAGE('1lowflow'!L12,'2lowflow'!L12)</f>
        <v>29602.656533150413</v>
      </c>
      <c r="M12" s="3">
        <f>AVERAGE('1lowflow'!M12,'2lowflow'!M12)</f>
        <v>21.623664346986814</v>
      </c>
      <c r="N12" s="3">
        <f>AVERAGE('1lowflow'!N12,'2lowflow'!N12)</f>
        <v>5.0143641656923477E-2</v>
      </c>
      <c r="O12" s="3">
        <f>AVERAGE('1lowflow'!O12,'2lowflow'!O12)</f>
        <v>1.2535910414230869E-2</v>
      </c>
      <c r="P12" s="3">
        <f>AVERAGE('1lowflow'!P12,'2lowflow'!P12)</f>
        <v>2.0324003399613155E-2</v>
      </c>
      <c r="Q12" s="3">
        <f>AVERAGE('1lowflow'!Q12,'2lowflow'!Q12)</f>
        <v>9.6887499999999994E-3</v>
      </c>
      <c r="R12" s="3">
        <f>AVERAGE('1lowflow'!R12,'2lowflow'!R12)</f>
        <v>1.6232097861561323E-2</v>
      </c>
      <c r="T12" s="11">
        <v>0.5</v>
      </c>
      <c r="U12" s="10">
        <f t="shared" si="0"/>
        <v>8284.7896440129443</v>
      </c>
      <c r="V12" s="10">
        <f t="shared" si="1"/>
        <v>3.0606416220249465E-2</v>
      </c>
      <c r="W12" s="10">
        <f t="shared" si="2"/>
        <v>8.290984667882648E-3</v>
      </c>
      <c r="X12" s="17"/>
      <c r="Y12" s="9" t="s">
        <v>71</v>
      </c>
      <c r="Z12" s="4">
        <f>2*(Z10*Z11)/(Z10+Z11)</f>
        <v>1.6666666666666666E-2</v>
      </c>
      <c r="AA12" s="9">
        <f>10*Z12*100</f>
        <v>16.666666666666664</v>
      </c>
      <c r="AC12" s="20" t="s">
        <v>75</v>
      </c>
      <c r="AD12" s="3" t="s">
        <v>23</v>
      </c>
    </row>
    <row r="13" spans="1:30" ht="15.5" x14ac:dyDescent="0.35">
      <c r="A13" s="3" t="s">
        <v>85</v>
      </c>
      <c r="B13" s="3">
        <f>AVERAGE('1lowflow'!B13,'2lowflow'!B13)</f>
        <v>3700</v>
      </c>
      <c r="C13" s="3">
        <f>AVERAGE('1lowflow'!C13,'2lowflow'!C13)</f>
        <v>61.666789999999992</v>
      </c>
      <c r="D13" s="3">
        <f>AVERAGE('1lowflow'!D13,'2lowflow'!D13)</f>
        <v>1.0277786</v>
      </c>
      <c r="E13" s="3">
        <f>AVERAGE('1lowflow'!E13,'2lowflow'!E13)</f>
        <v>1.0277786E-3</v>
      </c>
      <c r="F13" s="3">
        <f>AVERAGE('1lowflow'!F13,'2lowflow'!F13)</f>
        <v>2.0555572</v>
      </c>
      <c r="G13" s="3">
        <f>AVERAGE('1lowflow'!G13,'2lowflow'!G13)</f>
        <v>4.2284018271632</v>
      </c>
      <c r="H13" s="3">
        <f>AVERAGE('1lowflow'!H13,'2lowflow'!H13)</f>
        <v>3.9956743076479997</v>
      </c>
      <c r="I13" s="3">
        <f>AVERAGE('1lowflow'!I13,'2lowflow'!I13)</f>
        <v>5.2389087570590203</v>
      </c>
      <c r="J13" s="3">
        <f>AVERAGE('1lowflow'!J13,'2lowflow'!J13)</f>
        <v>52.389087570590199</v>
      </c>
      <c r="K13" s="3">
        <f>AVERAGE('1lowflow'!K13,'2lowflow'!K13)</f>
        <v>5238.90875705902</v>
      </c>
      <c r="L13" s="3">
        <f>AVERAGE('1lowflow'!L13,'2lowflow'!L13)</f>
        <v>33253.58954553779</v>
      </c>
      <c r="M13" s="3">
        <f>AVERAGE('1lowflow'!M13,'2lowflow'!M13)</f>
        <v>26.241218529989567</v>
      </c>
      <c r="N13" s="3">
        <f>AVERAGE('1lowflow'!N13,'2lowflow'!N13)</f>
        <v>4.8328389951654199E-2</v>
      </c>
      <c r="O13" s="3">
        <f>AVERAGE('1lowflow'!O13,'2lowflow'!O13)</f>
        <v>1.208209748791355E-2</v>
      </c>
      <c r="P13" s="3">
        <f>AVERAGE('1lowflow'!P13,'2lowflow'!P13)</f>
        <v>1.8468527100253759E-2</v>
      </c>
      <c r="Q13" s="3">
        <f>AVERAGE('1lowflow'!Q13,'2lowflow'!Q13)</f>
        <v>9.7137899999999999E-3</v>
      </c>
      <c r="R13" s="3">
        <f>AVERAGE('1lowflow'!R13,'2lowflow'!R13)</f>
        <v>1.626718534497381E-2</v>
      </c>
      <c r="T13" s="11">
        <v>0.6</v>
      </c>
      <c r="U13" s="10">
        <f t="shared" si="0"/>
        <v>9941.7475728155332</v>
      </c>
      <c r="V13" s="10">
        <f t="shared" si="1"/>
        <v>2.9242679772844168E-2</v>
      </c>
      <c r="W13" s="10">
        <f t="shared" si="2"/>
        <v>7.9215615412053901E-3</v>
      </c>
      <c r="X13" s="17"/>
      <c r="Y13" s="9" t="s">
        <v>72</v>
      </c>
      <c r="Z13" s="8">
        <f>Z$17/Z$16</f>
        <v>1.0058593750000001E-6</v>
      </c>
    </row>
    <row r="14" spans="1:30" ht="15.5" x14ac:dyDescent="0.35">
      <c r="A14" s="3" t="s">
        <v>43</v>
      </c>
      <c r="B14" s="3">
        <f>AVERAGE('1lowflow'!B14,'2lowflow'!B14)</f>
        <v>4100</v>
      </c>
      <c r="C14" s="3">
        <f>AVERAGE('1lowflow'!C14,'2lowflow'!C14)</f>
        <v>68.333470000000005</v>
      </c>
      <c r="D14" s="3">
        <f>AVERAGE('1lowflow'!D14,'2lowflow'!D14)</f>
        <v>1.1388898000000001</v>
      </c>
      <c r="E14" s="3">
        <f>AVERAGE('1lowflow'!E14,'2lowflow'!E14)</f>
        <v>1.1388898E-3</v>
      </c>
      <c r="F14" s="3">
        <f>AVERAGE('1lowflow'!F14,'2lowflow'!F14)</f>
        <v>2.2777796000000001</v>
      </c>
      <c r="G14" s="3">
        <f>AVERAGE('1lowflow'!G14,'2lowflow'!G14)</f>
        <v>5.1913663308675204</v>
      </c>
      <c r="H14" s="3">
        <f>AVERAGE('1lowflow'!H14,'2lowflow'!H14)</f>
        <v>4.4276390976640005</v>
      </c>
      <c r="I14" s="3">
        <f>AVERAGE('1lowflow'!I14,'2lowflow'!I14)</f>
        <v>6.34428286133085</v>
      </c>
      <c r="J14" s="3">
        <f>AVERAGE('1lowflow'!J14,'2lowflow'!J14)</f>
        <v>63.442828613308492</v>
      </c>
      <c r="K14" s="3">
        <f>AVERAGE('1lowflow'!K14,'2lowflow'!K14)</f>
        <v>6344.2828613308502</v>
      </c>
      <c r="L14" s="3">
        <f>AVERAGE('1lowflow'!L14,'2lowflow'!L14)</f>
        <v>36928.458051108559</v>
      </c>
      <c r="M14" s="3">
        <f>AVERAGE('1lowflow'!M14,'2lowflow'!M14)</f>
        <v>31.998433240180521</v>
      </c>
      <c r="N14" s="3">
        <f>AVERAGE('1lowflow'!N14,'2lowflow'!N14)</f>
        <v>4.7989279846969608E-2</v>
      </c>
      <c r="O14" s="3">
        <f>AVERAGE('1lowflow'!O14,'2lowflow'!O14)</f>
        <v>1.1997319961742402E-2</v>
      </c>
      <c r="P14" s="3">
        <f>AVERAGE('1lowflow'!P14,'2lowflow'!P14)</f>
        <v>1.82606489858901E-2</v>
      </c>
      <c r="Q14" s="3">
        <f>AVERAGE('1lowflow'!Q14,'2lowflow'!Q14)</f>
        <v>9.7376049999999999E-3</v>
      </c>
      <c r="R14" s="3">
        <f>AVERAGE('1lowflow'!R14,'2lowflow'!R14)</f>
        <v>1.6300511334750491E-2</v>
      </c>
      <c r="T14" s="11">
        <v>0.7</v>
      </c>
      <c r="U14" s="10">
        <f t="shared" si="0"/>
        <v>11598.70550161812</v>
      </c>
      <c r="V14" s="10">
        <f t="shared" si="1"/>
        <v>2.813717366290373E-2</v>
      </c>
      <c r="W14" s="10">
        <f t="shared" si="2"/>
        <v>7.6220905367660454E-3</v>
      </c>
      <c r="X14" s="17"/>
      <c r="Y14" s="9" t="s">
        <v>24</v>
      </c>
      <c r="Z14" s="3">
        <v>0.8</v>
      </c>
      <c r="AC14" s="20" t="s">
        <v>76</v>
      </c>
      <c r="AD14" s="9" t="s">
        <v>25</v>
      </c>
    </row>
    <row r="15" spans="1:30" ht="15.5" x14ac:dyDescent="0.35">
      <c r="A15" s="3" t="s">
        <v>84</v>
      </c>
      <c r="B15" s="3">
        <f>AVERAGE('1lowflow'!B15,'2lowflow'!B15)</f>
        <v>4475</v>
      </c>
      <c r="C15" s="3">
        <f>AVERAGE('1lowflow'!C15,'2lowflow'!C15)</f>
        <v>74.583482500000002</v>
      </c>
      <c r="D15" s="3">
        <f>AVERAGE('1lowflow'!D15,'2lowflow'!D15)</f>
        <v>1.2430565499999999</v>
      </c>
      <c r="E15" s="3">
        <f>AVERAGE('1lowflow'!E15,'2lowflow'!E15)</f>
        <v>1.2430565500000002E-3</v>
      </c>
      <c r="F15" s="3">
        <f>AVERAGE('1lowflow'!F15,'2lowflow'!F15)</f>
        <v>2.4861130999999999</v>
      </c>
      <c r="G15" s="3">
        <f>AVERAGE('1lowflow'!G15,'2lowflow'!G15)</f>
        <v>6.1824944598805001</v>
      </c>
      <c r="H15" s="3">
        <f>AVERAGE('1lowflow'!H15,'2lowflow'!H15)</f>
        <v>4.8326060883039998</v>
      </c>
      <c r="I15" s="3">
        <f>AVERAGE('1lowflow'!I15,'2lowflow'!I15)</f>
        <v>7.359436318075594</v>
      </c>
      <c r="J15" s="3">
        <f>AVERAGE('1lowflow'!J15,'2lowflow'!J15)</f>
        <v>73.594363180755948</v>
      </c>
      <c r="K15" s="3">
        <f>AVERAGE('1lowflow'!K15,'2lowflow'!K15)</f>
        <v>7359.4363180755936</v>
      </c>
      <c r="L15" s="3">
        <f>AVERAGE('1lowflow'!L15,'2lowflow'!L15)</f>
        <v>40479.290914096782</v>
      </c>
      <c r="M15" s="3">
        <f>AVERAGE('1lowflow'!M15,'2lowflow'!M15)</f>
        <v>37.032144314993616</v>
      </c>
      <c r="N15" s="3">
        <f>AVERAGE('1lowflow'!N15,'2lowflow'!N15)</f>
        <v>4.665733954480044E-2</v>
      </c>
      <c r="O15" s="3">
        <f>AVERAGE('1lowflow'!O15,'2lowflow'!O15)</f>
        <v>1.166433488620011E-2</v>
      </c>
      <c r="P15" s="3">
        <f>AVERAGE('1lowflow'!P15,'2lowflow'!P15)</f>
        <v>1.7004707122856379E-2</v>
      </c>
      <c r="Q15" s="3">
        <f>AVERAGE('1lowflow'!Q15,'2lowflow'!Q15)</f>
        <v>9.7862150000000009E-3</v>
      </c>
      <c r="R15" s="3">
        <f>AVERAGE('1lowflow'!R15,'2lowflow'!R15)</f>
        <v>1.6368664144653058E-2</v>
      </c>
      <c r="T15" s="11">
        <v>0.8</v>
      </c>
      <c r="U15" s="10">
        <f t="shared" si="0"/>
        <v>13255.663430420711</v>
      </c>
      <c r="V15" s="10">
        <f t="shared" si="1"/>
        <v>2.7213379889775471E-2</v>
      </c>
      <c r="W15" s="10">
        <f t="shared" si="2"/>
        <v>7.3718436619220548E-3</v>
      </c>
      <c r="X15" s="17"/>
    </row>
    <row r="16" spans="1:30" ht="15.5" x14ac:dyDescent="0.35">
      <c r="A16" s="3" t="s">
        <v>44</v>
      </c>
      <c r="B16" s="3">
        <f>AVERAGE('1lowflow'!B16,'2lowflow'!B16)</f>
        <v>4850</v>
      </c>
      <c r="C16" s="3">
        <f>AVERAGE('1lowflow'!C16,'2lowflow'!C16)</f>
        <v>80.833494999999999</v>
      </c>
      <c r="D16" s="3">
        <f>AVERAGE('1lowflow'!D16,'2lowflow'!D16)</f>
        <v>1.3472233</v>
      </c>
      <c r="E16" s="3">
        <f>AVERAGE('1lowflow'!E16,'2lowflow'!E16)</f>
        <v>1.3472232999999999E-3</v>
      </c>
      <c r="F16" s="3">
        <f>AVERAGE('1lowflow'!F16,'2lowflow'!F16)</f>
        <v>2.6944466</v>
      </c>
      <c r="G16" s="3">
        <f>AVERAGE('1lowflow'!G16,'2lowflow'!G16)</f>
        <v>7.2631289049429206</v>
      </c>
      <c r="H16" s="3">
        <f>AVERAGE('1lowflow'!H16,'2lowflow'!H16)</f>
        <v>5.237573078944</v>
      </c>
      <c r="I16" s="3">
        <f>AVERAGE('1lowflow'!I16,'2lowflow'!I16)</f>
        <v>8.2199805352261137</v>
      </c>
      <c r="J16" s="3">
        <f>AVERAGE('1lowflow'!J16,'2lowflow'!J16)</f>
        <v>82.199805352261123</v>
      </c>
      <c r="K16" s="3">
        <f>AVERAGE('1lowflow'!K16,'2lowflow'!K16)</f>
        <v>8219.9805352261137</v>
      </c>
      <c r="L16" s="3">
        <f>AVERAGE('1lowflow'!L16,'2lowflow'!L16)</f>
        <v>43980.955906021321</v>
      </c>
      <c r="M16" s="3">
        <f>AVERAGE('1lowflow'!M16,'2lowflow'!M16)</f>
        <v>41.314623871187337</v>
      </c>
      <c r="N16" s="3">
        <f>AVERAGE('1lowflow'!N16,'2lowflow'!N16)</f>
        <v>4.4350452034770227E-2</v>
      </c>
      <c r="O16" s="3">
        <f>AVERAGE('1lowflow'!O16,'2lowflow'!O16)</f>
        <v>1.1087613008692557E-2</v>
      </c>
      <c r="P16" s="3">
        <f>AVERAGE('1lowflow'!P16,'2lowflow'!P16)</f>
        <v>1.4661826610258461E-2</v>
      </c>
      <c r="Q16" s="3">
        <f>AVERAGE('1lowflow'!Q16,'2lowflow'!Q16)</f>
        <v>9.8165649999999993E-3</v>
      </c>
      <c r="R16" s="3">
        <f>AVERAGE('1lowflow'!R16,'2lowflow'!R16)</f>
        <v>1.6410990102756422E-2</v>
      </c>
      <c r="T16" s="11">
        <v>0.9</v>
      </c>
      <c r="U16" s="10">
        <f t="shared" si="0"/>
        <v>14912.6213592233</v>
      </c>
      <c r="V16" s="10">
        <f t="shared" si="1"/>
        <v>2.6423744033663078E-2</v>
      </c>
      <c r="W16" s="10">
        <f t="shared" si="2"/>
        <v>7.1579388803518825E-3</v>
      </c>
      <c r="X16" s="17"/>
      <c r="Y16" s="3" t="s">
        <v>26</v>
      </c>
      <c r="Z16" s="3">
        <f>VLOOKUP(Z18, Seawater!A4:F34, 3, FALSE)</f>
        <v>1024</v>
      </c>
    </row>
    <row r="17" spans="1:32" ht="15.5" x14ac:dyDescent="0.35">
      <c r="A17" s="3" t="s">
        <v>83</v>
      </c>
      <c r="B17" s="3">
        <f>AVERAGE('1lowflow'!B17,'2lowflow'!B17)</f>
        <v>5200</v>
      </c>
      <c r="C17" s="3">
        <f>AVERAGE('1lowflow'!C17,'2lowflow'!C17)</f>
        <v>86.666840000000008</v>
      </c>
      <c r="D17" s="3">
        <f>AVERAGE('1lowflow'!D17,'2lowflow'!D17)</f>
        <v>1.4444456000000001</v>
      </c>
      <c r="E17" s="3">
        <f>AVERAGE('1lowflow'!E17,'2lowflow'!E17)</f>
        <v>1.4444456000000001E-3</v>
      </c>
      <c r="F17" s="3">
        <f>AVERAGE('1lowflow'!F17,'2lowflow'!F17)</f>
        <v>2.8888912000000002</v>
      </c>
      <c r="G17" s="3">
        <f>AVERAGE('1lowflow'!G17,'2lowflow'!G17)</f>
        <v>8.3487787901288009</v>
      </c>
      <c r="H17" s="3">
        <f>AVERAGE('1lowflow'!H17,'2lowflow'!H17)</f>
        <v>5.6155422702080005</v>
      </c>
      <c r="I17" s="3">
        <f>AVERAGE('1lowflow'!I17,'2lowflow'!I17)</f>
        <v>8.6283615479966684</v>
      </c>
      <c r="J17" s="3">
        <f>AVERAGE('1lowflow'!J17,'2lowflow'!J17)</f>
        <v>86.28361547996667</v>
      </c>
      <c r="K17" s="3">
        <f>AVERAGE('1lowflow'!K17,'2lowflow'!K17)</f>
        <v>8628.3615479966684</v>
      </c>
      <c r="L17" s="3">
        <f>AVERAGE('1lowflow'!L17,'2lowflow'!L17)</f>
        <v>46988.564444057891</v>
      </c>
      <c r="M17" s="3">
        <f>AVERAGE('1lowflow'!M17,'2lowflow'!M17)</f>
        <v>43.257483299563944</v>
      </c>
      <c r="N17" s="3">
        <f>AVERAGE('1lowflow'!N17,'2lowflow'!N17)</f>
        <v>4.0444651773679258E-2</v>
      </c>
      <c r="O17" s="3">
        <f>AVERAGE('1lowflow'!O17,'2lowflow'!O17)</f>
        <v>1.0111162943419814E-2</v>
      </c>
      <c r="P17" s="3">
        <f>AVERAGE('1lowflow'!P17,'2lowflow'!P17)</f>
        <v>1.1096615863593104E-2</v>
      </c>
      <c r="Q17" s="3">
        <f>AVERAGE('1lowflow'!Q17,'2lowflow'!Q17)</f>
        <v>9.7747900000000002E-3</v>
      </c>
      <c r="R17" s="3">
        <f>AVERAGE('1lowflow'!R17,'2lowflow'!R17)</f>
        <v>1.6352553972034931E-2</v>
      </c>
      <c r="T17" s="11">
        <v>1</v>
      </c>
      <c r="U17" s="10">
        <f t="shared" si="0"/>
        <v>16569.579288025889</v>
      </c>
      <c r="V17" s="10">
        <f t="shared" si="1"/>
        <v>2.5736825683370917E-2</v>
      </c>
      <c r="W17" s="10">
        <f t="shared" si="2"/>
        <v>6.9718592861460265E-3</v>
      </c>
      <c r="X17" s="17"/>
      <c r="Y17" s="3" t="s">
        <v>27</v>
      </c>
      <c r="Z17" s="3">
        <f>VLOOKUP(Z18, Seawater!A4:F34, 5, FALSE)</f>
        <v>1.0300000000000001E-3</v>
      </c>
      <c r="AC17" s="12"/>
      <c r="AD17" s="12"/>
      <c r="AE17" s="12"/>
      <c r="AF17" s="12"/>
    </row>
    <row r="18" spans="1:32" ht="15.5" x14ac:dyDescent="0.35">
      <c r="A18" s="3" t="s">
        <v>50</v>
      </c>
      <c r="B18" s="3">
        <f>AVERAGE('1lowflow'!B18,'2lowflow'!B18)</f>
        <v>5500</v>
      </c>
      <c r="C18" s="3">
        <f>AVERAGE('1lowflow'!C18,'2lowflow'!C18)</f>
        <v>91.666849999999997</v>
      </c>
      <c r="D18" s="3">
        <f>AVERAGE('1lowflow'!D18,'2lowflow'!D18)</f>
        <v>1.527779</v>
      </c>
      <c r="E18" s="3">
        <f>AVERAGE('1lowflow'!E18,'2lowflow'!E18)</f>
        <v>1.5277789999999999E-3</v>
      </c>
      <c r="F18" s="3">
        <f>AVERAGE('1lowflow'!F18,'2lowflow'!F18)</f>
        <v>3.055558</v>
      </c>
      <c r="G18" s="3">
        <f>AVERAGE('1lowflow'!G18,'2lowflow'!G18)</f>
        <v>9.3395211160553586</v>
      </c>
      <c r="H18" s="3">
        <f>AVERAGE('1lowflow'!H18,'2lowflow'!H18)</f>
        <v>5.9395158627200004</v>
      </c>
      <c r="I18" s="3">
        <f>AVERAGE('1lowflow'!I18,'2lowflow'!I18)</f>
        <v>8.8315433930116143</v>
      </c>
      <c r="J18" s="3">
        <f>AVERAGE('1lowflow'!J18,'2lowflow'!J18)</f>
        <v>88.315433930116143</v>
      </c>
      <c r="K18" s="3">
        <f>AVERAGE('1lowflow'!K18,'2lowflow'!K18)</f>
        <v>8831.543393011616</v>
      </c>
      <c r="L18" s="3">
        <f>AVERAGE('1lowflow'!L18,'2lowflow'!L18)</f>
        <v>50031.090180211584</v>
      </c>
      <c r="M18" s="3">
        <f>AVERAGE('1lowflow'!M18,'2lowflow'!M18)</f>
        <v>44.484225593288784</v>
      </c>
      <c r="N18" s="3">
        <f>AVERAGE('1lowflow'!N18,'2lowflow'!N18)</f>
        <v>3.7197104884529278E-2</v>
      </c>
      <c r="O18" s="3">
        <f>AVERAGE('1lowflow'!O18,'2lowflow'!O18)</f>
        <v>9.2992762211323195E-3</v>
      </c>
      <c r="P18" s="3">
        <f>AVERAGE('1lowflow'!P18,'2lowflow'!P18)</f>
        <v>8.4940896635232604E-3</v>
      </c>
      <c r="Q18" s="3">
        <f>AVERAGE('1lowflow'!Q18,'2lowflow'!Q18)</f>
        <v>9.8525100000000001E-3</v>
      </c>
      <c r="R18" s="3">
        <f>AVERAGE('1lowflow'!R18,'2lowflow'!R18)</f>
        <v>1.6461269281999757E-2</v>
      </c>
      <c r="T18" s="11">
        <v>1.1000000000000001</v>
      </c>
      <c r="U18" s="10">
        <f t="shared" si="0"/>
        <v>18226.537216828478</v>
      </c>
      <c r="V18" s="10">
        <f t="shared" si="1"/>
        <v>2.5130828693813844E-2</v>
      </c>
      <c r="W18" s="10">
        <f t="shared" si="2"/>
        <v>6.8077005126050529E-3</v>
      </c>
      <c r="X18" s="17"/>
      <c r="Y18" s="3" t="s">
        <v>70</v>
      </c>
      <c r="Z18" s="3">
        <v>22</v>
      </c>
      <c r="AC18" s="12"/>
      <c r="AD18" s="12"/>
      <c r="AE18" s="12"/>
      <c r="AF18" s="12"/>
    </row>
    <row r="19" spans="1:32" ht="15.5" x14ac:dyDescent="0.35">
      <c r="A19" s="3" t="s">
        <v>82</v>
      </c>
      <c r="B19" s="3">
        <f>AVERAGE('1lowflow'!B19,'2lowflow'!B19)</f>
        <v>5125</v>
      </c>
      <c r="C19" s="3">
        <f>AVERAGE('1lowflow'!C19,'2lowflow'!C19)</f>
        <v>85.4168375</v>
      </c>
      <c r="D19" s="3">
        <f>AVERAGE('1lowflow'!D19,'2lowflow'!D19)</f>
        <v>1.4236122500000001</v>
      </c>
      <c r="E19" s="3">
        <f>AVERAGE('1lowflow'!E19,'2lowflow'!E19)</f>
        <v>1.4236122500000002E-3</v>
      </c>
      <c r="F19" s="3">
        <f>AVERAGE('1lowflow'!F19,'2lowflow'!F19)</f>
        <v>2.8472245000000003</v>
      </c>
      <c r="G19" s="3">
        <f>AVERAGE('1lowflow'!G19,'2lowflow'!G19)</f>
        <v>8.1115098919805</v>
      </c>
      <c r="H19" s="3">
        <f>AVERAGE('1lowflow'!H19,'2lowflow'!H19)</f>
        <v>5.5345488720800002</v>
      </c>
      <c r="I19" s="3">
        <f>AVERAGE('1lowflow'!I19,'2lowflow'!I19)</f>
        <v>8.0280204974319851</v>
      </c>
      <c r="J19" s="3">
        <f>AVERAGE('1lowflow'!J19,'2lowflow'!J19)</f>
        <v>80.280204974319844</v>
      </c>
      <c r="K19" s="3">
        <f>AVERAGE('1lowflow'!K19,'2lowflow'!K19)</f>
        <v>8028.020497431984</v>
      </c>
      <c r="L19" s="3">
        <f>AVERAGE('1lowflow'!L19,'2lowflow'!L19)</f>
        <v>46595.088210446309</v>
      </c>
      <c r="M19" s="3">
        <f>AVERAGE('1lowflow'!M19,'2lowflow'!M19)</f>
        <v>40.491357185644034</v>
      </c>
      <c r="N19" s="3">
        <f>AVERAGE('1lowflow'!N19,'2lowflow'!N19)</f>
        <v>3.8824504913825567E-2</v>
      </c>
      <c r="O19" s="3">
        <f>AVERAGE('1lowflow'!O19,'2lowflow'!O19)</f>
        <v>9.7061262284563916E-3</v>
      </c>
      <c r="P19" s="3">
        <f>AVERAGE('1lowflow'!P19,'2lowflow'!P19)</f>
        <v>9.8619014360366332E-3</v>
      </c>
      <c r="Q19" s="3">
        <f>AVERAGE('1lowflow'!Q19,'2lowflow'!Q19)</f>
        <v>9.8479199999999996E-3</v>
      </c>
      <c r="R19" s="3">
        <f>AVERAGE('1lowflow'!R19,'2lowflow'!R19)</f>
        <v>1.6454855807561196E-2</v>
      </c>
      <c r="T19" s="11">
        <v>1.2</v>
      </c>
      <c r="U19" s="10">
        <f t="shared" si="0"/>
        <v>19883.495145631066</v>
      </c>
      <c r="V19" s="10">
        <f t="shared" si="1"/>
        <v>2.4590064593396969E-2</v>
      </c>
      <c r="W19" s="10">
        <f t="shared" si="2"/>
        <v>6.6612127032113022E-3</v>
      </c>
      <c r="X19" s="17"/>
      <c r="Y19" s="9"/>
      <c r="Z19" s="9"/>
      <c r="AC19" s="14" t="s">
        <v>28</v>
      </c>
      <c r="AD19" s="14"/>
      <c r="AE19" s="14"/>
      <c r="AF19" s="14"/>
    </row>
    <row r="20" spans="1:32" ht="15.5" x14ac:dyDescent="0.35">
      <c r="A20" s="18" t="s">
        <v>45</v>
      </c>
      <c r="B20" s="3">
        <f>AVERAGE('1lowflow'!B20,'2lowflow'!B20)</f>
        <v>4725</v>
      </c>
      <c r="C20" s="3">
        <f>AVERAGE('1lowflow'!C20,'2lowflow'!C20)</f>
        <v>78.7501575</v>
      </c>
      <c r="D20" s="3">
        <f>AVERAGE('1lowflow'!D20,'2lowflow'!D20)</f>
        <v>1.3125010500000001</v>
      </c>
      <c r="E20" s="3">
        <f>AVERAGE('1lowflow'!E20,'2lowflow'!E20)</f>
        <v>1.31250105E-3</v>
      </c>
      <c r="F20" s="3">
        <f>AVERAGE('1lowflow'!F20,'2lowflow'!F20)</f>
        <v>2.6250021000000001</v>
      </c>
      <c r="G20" s="3">
        <f>AVERAGE('1lowflow'!G20,'2lowflow'!G20)</f>
        <v>6.9000882006217008</v>
      </c>
      <c r="H20" s="3">
        <f>AVERAGE('1lowflow'!H20,'2lowflow'!H20)</f>
        <v>5.1025840820640003</v>
      </c>
      <c r="I20" s="3">
        <f>AVERAGE('1lowflow'!I20,'2lowflow'!I20)</f>
        <v>7.8650345114381377</v>
      </c>
      <c r="J20" s="3">
        <f>AVERAGE('1lowflow'!J20,'2lowflow'!J20)</f>
        <v>78.650345114381366</v>
      </c>
      <c r="K20" s="3">
        <f>AVERAGE('1lowflow'!K20,'2lowflow'!K20)</f>
        <v>7865.0345114381371</v>
      </c>
      <c r="L20" s="3">
        <f>AVERAGE('1lowflow'!L20,'2lowflow'!L20)</f>
        <v>42992.227020010483</v>
      </c>
      <c r="M20" s="3">
        <f>AVERAGE('1lowflow'!M20,'2lowflow'!M20)</f>
        <v>39.695254855436687</v>
      </c>
      <c r="N20" s="3">
        <f>AVERAGE('1lowflow'!N20,'2lowflow'!N20)</f>
        <v>4.477037603011641E-2</v>
      </c>
      <c r="O20" s="3">
        <f>AVERAGE('1lowflow'!O20,'2lowflow'!O20)</f>
        <v>1.1192594007529102E-2</v>
      </c>
      <c r="P20" s="3">
        <f>AVERAGE('1lowflow'!P20,'2lowflow'!P20)</f>
        <v>1.5069591201024954E-2</v>
      </c>
      <c r="Q20" s="3">
        <f>AVERAGE('1lowflow'!Q20,'2lowflow'!Q20)</f>
        <v>9.8605265000000011E-3</v>
      </c>
      <c r="R20" s="3">
        <f>AVERAGE('1lowflow'!R20,'2lowflow'!R20)</f>
        <v>1.6472460973664341E-2</v>
      </c>
      <c r="T20" s="11">
        <v>1.3</v>
      </c>
      <c r="U20" s="10">
        <f t="shared" si="0"/>
        <v>21540.453074433655</v>
      </c>
      <c r="V20" s="10">
        <f t="shared" si="1"/>
        <v>2.4102891344997587E-2</v>
      </c>
      <c r="W20" s="10">
        <f t="shared" si="2"/>
        <v>6.5292421417442103E-3</v>
      </c>
      <c r="X20" s="17"/>
      <c r="AC20" s="19" t="s">
        <v>29</v>
      </c>
      <c r="AD20" s="14" t="s">
        <v>30</v>
      </c>
      <c r="AE20" s="14" t="s">
        <v>31</v>
      </c>
      <c r="AF20" s="14" t="s">
        <v>32</v>
      </c>
    </row>
    <row r="21" spans="1:32" ht="15.5" x14ac:dyDescent="0.35">
      <c r="A21" s="18" t="s">
        <v>81</v>
      </c>
      <c r="B21" s="3">
        <f>AVERAGE('1lowflow'!B21,'2lowflow'!B21)</f>
        <v>4350</v>
      </c>
      <c r="C21" s="3">
        <f>AVERAGE('1lowflow'!C21,'2lowflow'!C21)</f>
        <v>72.500145000000003</v>
      </c>
      <c r="D21" s="3">
        <f>AVERAGE('1lowflow'!D21,'2lowflow'!D21)</f>
        <v>1.2083343000000002</v>
      </c>
      <c r="E21" s="3">
        <f>AVERAGE('1lowflow'!E21,'2lowflow'!E21)</f>
        <v>1.2083343000000002E-3</v>
      </c>
      <c r="F21" s="3">
        <f>AVERAGE('1lowflow'!F21,'2lowflow'!F21)</f>
        <v>2.4166686000000004</v>
      </c>
      <c r="G21" s="3">
        <f>AVERAGE('1lowflow'!G21,'2lowflow'!G21)</f>
        <v>5.8472315777815211</v>
      </c>
      <c r="H21" s="3">
        <f>AVERAGE('1lowflow'!H21,'2lowflow'!H21)</f>
        <v>4.6976170914240001</v>
      </c>
      <c r="I21" s="3">
        <f>AVERAGE('1lowflow'!I21,'2lowflow'!I21)</f>
        <v>6.8775307586980166</v>
      </c>
      <c r="J21" s="3">
        <f>AVERAGE('1lowflow'!J21,'2lowflow'!J21)</f>
        <v>68.775307586980162</v>
      </c>
      <c r="K21" s="3">
        <f>AVERAGE('1lowflow'!K21,'2lowflow'!K21)</f>
        <v>6877.5307586980161</v>
      </c>
      <c r="L21" s="3">
        <f>AVERAGE('1lowflow'!L21,'2lowflow'!L21)</f>
        <v>39660.730351623017</v>
      </c>
      <c r="M21" s="3">
        <f>AVERAGE('1lowflow'!M21,'2lowflow'!M21)</f>
        <v>34.770590456948497</v>
      </c>
      <c r="N21" s="3">
        <f>AVERAGE('1lowflow'!N21,'2lowflow'!N21)</f>
        <v>4.6203140553794528E-2</v>
      </c>
      <c r="O21" s="3">
        <f>AVERAGE('1lowflow'!O21,'2lowflow'!O21)</f>
        <v>1.1550785138448632E-2</v>
      </c>
      <c r="P21" s="3">
        <f>AVERAGE('1lowflow'!P21,'2lowflow'!P21)</f>
        <v>1.6510361403637458E-2</v>
      </c>
      <c r="Q21" s="3">
        <f>AVERAGE('1lowflow'!Q21,'2lowflow'!Q21)</f>
        <v>9.8838140000000012E-3</v>
      </c>
      <c r="R21" s="3">
        <f>AVERAGE('1lowflow'!R21,'2lowflow'!R21)</f>
        <v>1.6504951245994104E-2</v>
      </c>
      <c r="T21" s="11">
        <v>1.4</v>
      </c>
      <c r="U21" s="10">
        <f t="shared" si="0"/>
        <v>23197.411003236241</v>
      </c>
      <c r="V21" s="10">
        <f t="shared" si="1"/>
        <v>2.3660448468506973E-2</v>
      </c>
      <c r="W21" s="10">
        <f t="shared" si="2"/>
        <v>6.4093886091058285E-3</v>
      </c>
      <c r="X21" s="17"/>
      <c r="Y21" s="9" t="s">
        <v>33</v>
      </c>
      <c r="Z21" s="9">
        <f>4*10^(-6)</f>
        <v>3.9999999999999998E-6</v>
      </c>
      <c r="AC21" s="19" t="s">
        <v>34</v>
      </c>
      <c r="AD21" s="14" t="s">
        <v>35</v>
      </c>
      <c r="AE21" s="14" t="s">
        <v>36</v>
      </c>
      <c r="AF21" s="14" t="s">
        <v>37</v>
      </c>
    </row>
    <row r="22" spans="1:32" ht="15.5" x14ac:dyDescent="0.35">
      <c r="A22" s="18" t="s">
        <v>46</v>
      </c>
      <c r="B22" s="3">
        <f>AVERAGE('1lowflow'!B22,'2lowflow'!B22)</f>
        <v>3975</v>
      </c>
      <c r="C22" s="3">
        <f>AVERAGE('1lowflow'!C22,'2lowflow'!C22)</f>
        <v>66.250132500000007</v>
      </c>
      <c r="D22" s="3">
        <f>AVERAGE('1lowflow'!D22,'2lowflow'!D22)</f>
        <v>1.1041675500000001</v>
      </c>
      <c r="E22" s="3">
        <f>AVERAGE('1lowflow'!E22,'2lowflow'!E22)</f>
        <v>1.1041675500000001E-3</v>
      </c>
      <c r="F22" s="3">
        <f>AVERAGE('1lowflow'!F22,'2lowflow'!F22)</f>
        <v>2.2083351000000002</v>
      </c>
      <c r="G22" s="3">
        <f>AVERAGE('1lowflow'!G22,'2lowflow'!G22)</f>
        <v>4.8784800277809008</v>
      </c>
      <c r="H22" s="3">
        <f>AVERAGE('1lowflow'!H22,'2lowflow'!H22)</f>
        <v>4.2926501007839999</v>
      </c>
      <c r="I22" s="3">
        <f>AVERAGE('1lowflow'!I22,'2lowflow'!I22)</f>
        <v>5.7426139453452567</v>
      </c>
      <c r="J22" s="3">
        <f>AVERAGE('1lowflow'!J22,'2lowflow'!J22)</f>
        <v>57.426139453452564</v>
      </c>
      <c r="K22" s="3">
        <f>AVERAGE('1lowflow'!K22,'2lowflow'!K22)</f>
        <v>5742.6139453452561</v>
      </c>
      <c r="L22" s="3">
        <f>AVERAGE('1lowflow'!L22,'2lowflow'!L22)</f>
        <v>36187.819770516762</v>
      </c>
      <c r="M22" s="3">
        <f>AVERAGE('1lowflow'!M22,'2lowflow'!M22)</f>
        <v>28.990748094672078</v>
      </c>
      <c r="N22" s="3">
        <f>AVERAGE('1lowflow'!N22,'2lowflow'!N22)</f>
        <v>4.624952907121771E-2</v>
      </c>
      <c r="O22" s="3">
        <f>AVERAGE('1lowflow'!O22,'2lowflow'!O22)</f>
        <v>1.1562382267804427E-2</v>
      </c>
      <c r="P22" s="3">
        <f>AVERAGE('1lowflow'!P22,'2lowflow'!P22)</f>
        <v>1.6519075025674668E-2</v>
      </c>
      <c r="Q22" s="3">
        <f>AVERAGE('1lowflow'!Q22,'2lowflow'!Q22)</f>
        <v>9.8621444999999995E-3</v>
      </c>
      <c r="R22" s="3">
        <f>AVERAGE('1lowflow'!R22,'2lowflow'!R22)</f>
        <v>1.6474721982402699E-2</v>
      </c>
      <c r="T22" s="11">
        <v>1.5</v>
      </c>
      <c r="U22" s="10">
        <f t="shared" si="0"/>
        <v>24854.368932038833</v>
      </c>
      <c r="V22" s="10">
        <f t="shared" si="1"/>
        <v>2.3255847254051276E-2</v>
      </c>
      <c r="W22" s="10">
        <f t="shared" si="2"/>
        <v>6.2997860198474526E-3</v>
      </c>
      <c r="X22" s="17"/>
      <c r="Y22" s="9" t="s">
        <v>38</v>
      </c>
      <c r="Z22" s="3">
        <f>Z21/Z12</f>
        <v>2.3999999999999998E-4</v>
      </c>
      <c r="AC22" s="14">
        <v>0</v>
      </c>
      <c r="AD22" s="14">
        <v>1.792E-3</v>
      </c>
      <c r="AE22" s="14">
        <v>999.87</v>
      </c>
      <c r="AF22" s="13">
        <v>1.7922329902887374E-6</v>
      </c>
    </row>
    <row r="23" spans="1:32" ht="15.5" x14ac:dyDescent="0.35">
      <c r="A23" s="18" t="s">
        <v>80</v>
      </c>
      <c r="B23" s="3">
        <f>AVERAGE('1lowflow'!B23,'2lowflow'!B23)</f>
        <v>3600</v>
      </c>
      <c r="C23" s="3">
        <f>AVERAGE('1lowflow'!C23,'2lowflow'!C23)</f>
        <v>60.000119999999995</v>
      </c>
      <c r="D23" s="3">
        <f>AVERAGE('1lowflow'!D23,'2lowflow'!D23)</f>
        <v>1.0000008</v>
      </c>
      <c r="E23" s="3">
        <f>AVERAGE('1lowflow'!E23,'2lowflow'!E23)</f>
        <v>1.0000008000000001E-3</v>
      </c>
      <c r="F23" s="3">
        <f>AVERAGE('1lowflow'!F23,'2lowflow'!F23)</f>
        <v>2.0000016</v>
      </c>
      <c r="G23" s="3">
        <f>AVERAGE('1lowflow'!G23,'2lowflow'!G23)</f>
        <v>4.0069508555581201</v>
      </c>
      <c r="H23" s="3">
        <f>AVERAGE('1lowflow'!H23,'2lowflow'!H23)</f>
        <v>3.8876831101440001</v>
      </c>
      <c r="I23" s="3">
        <f>AVERAGE('1lowflow'!I23,'2lowflow'!I23)</f>
        <v>4.6945307899423998</v>
      </c>
      <c r="J23" s="3">
        <f>AVERAGE('1lowflow'!J23,'2lowflow'!J23)</f>
        <v>46.945307899423995</v>
      </c>
      <c r="K23" s="3">
        <f>AVERAGE('1lowflow'!K23,'2lowflow'!K23)</f>
        <v>4694.5307899423997</v>
      </c>
      <c r="L23" s="3">
        <f>AVERAGE('1lowflow'!L23,'2lowflow'!L23)</f>
        <v>32628.94437915353</v>
      </c>
      <c r="M23" s="3">
        <f>AVERAGE('1lowflow'!M23,'2lowflow'!M23)</f>
        <v>23.602505395925348</v>
      </c>
      <c r="N23" s="3">
        <f>AVERAGE('1lowflow'!N23,'2lowflow'!N23)</f>
        <v>4.5725108120860739E-2</v>
      </c>
      <c r="O23" s="3">
        <f>AVERAGE('1lowflow'!O23,'2lowflow'!O23)</f>
        <v>1.1431277030215185E-2</v>
      </c>
      <c r="P23" s="3">
        <f>AVERAGE('1lowflow'!P23,'2lowflow'!P23)</f>
        <v>1.5780555876645164E-2</v>
      </c>
      <c r="Q23" s="3">
        <f>AVERAGE('1lowflow'!Q23,'2lowflow'!Q23)</f>
        <v>9.8172174999999993E-3</v>
      </c>
      <c r="R23" s="3">
        <f>AVERAGE('1lowflow'!R23,'2lowflow'!R23)</f>
        <v>1.6411834904303969E-2</v>
      </c>
      <c r="T23" s="11">
        <v>1.6</v>
      </c>
      <c r="U23" s="10">
        <f t="shared" si="0"/>
        <v>26511.326860841422</v>
      </c>
      <c r="V23" s="10">
        <f t="shared" si="1"/>
        <v>2.288363359624972E-2</v>
      </c>
      <c r="W23" s="10">
        <f t="shared" si="2"/>
        <v>6.1989569091210721E-3</v>
      </c>
      <c r="X23" s="17"/>
      <c r="AC23" s="14">
        <v>5</v>
      </c>
      <c r="AD23" s="14">
        <v>1.519E-3</v>
      </c>
      <c r="AE23" s="14">
        <v>999.99</v>
      </c>
      <c r="AF23" s="13">
        <v>1.5190151901519014E-6</v>
      </c>
    </row>
    <row r="24" spans="1:32" ht="15.5" x14ac:dyDescent="0.35">
      <c r="A24" s="3" t="s">
        <v>47</v>
      </c>
      <c r="B24" s="3">
        <f>AVERAGE('1lowflow'!B24,'2lowflow'!B24)</f>
        <v>3275</v>
      </c>
      <c r="C24" s="3">
        <f>AVERAGE('1lowflow'!C24,'2lowflow'!C24)</f>
        <v>54.583442499999997</v>
      </c>
      <c r="D24" s="3">
        <f>AVERAGE('1lowflow'!D24,'2lowflow'!D24)</f>
        <v>0.90972295000000003</v>
      </c>
      <c r="E24" s="3">
        <f>AVERAGE('1lowflow'!E24,'2lowflow'!E24)</f>
        <v>9.0972295000000007E-4</v>
      </c>
      <c r="F24" s="3">
        <f>AVERAGE('1lowflow'!F24,'2lowflow'!F24)</f>
        <v>1.8194459000000001</v>
      </c>
      <c r="G24" s="3">
        <f>AVERAGE('1lowflow'!G24,'2lowflow'!G24)</f>
        <v>3.3152059216070602</v>
      </c>
      <c r="H24" s="3">
        <f>AVERAGE('1lowflow'!H24,'2lowflow'!H24)</f>
        <v>3.5367117182559999</v>
      </c>
      <c r="I24" s="3">
        <f>AVERAGE('1lowflow'!I24,'2lowflow'!I24)</f>
        <v>3.8144635034479943</v>
      </c>
      <c r="J24" s="3">
        <f>AVERAGE('1lowflow'!J24,'2lowflow'!J24)</f>
        <v>38.144635034479947</v>
      </c>
      <c r="K24" s="3">
        <f>AVERAGE('1lowflow'!K24,'2lowflow'!K24)</f>
        <v>3814.4635034479943</v>
      </c>
      <c r="L24" s="3">
        <f>AVERAGE('1lowflow'!L24,'2lowflow'!L24)</f>
        <v>29751.609258970406</v>
      </c>
      <c r="M24" s="3">
        <f>AVERAGE('1lowflow'!M24,'2lowflow'!M24)</f>
        <v>19.23299814443822</v>
      </c>
      <c r="N24" s="3">
        <f>AVERAGE('1lowflow'!N24,'2lowflow'!N24)</f>
        <v>4.5047547875692949E-2</v>
      </c>
      <c r="O24" s="3">
        <f>AVERAGE('1lowflow'!O24,'2lowflow'!O24)</f>
        <v>1.1261886968923237E-2</v>
      </c>
      <c r="P24" s="3">
        <f>AVERAGE('1lowflow'!P24,'2lowflow'!P24)</f>
        <v>1.4977163231069665E-2</v>
      </c>
      <c r="Q24" s="3">
        <f>AVERAGE('1lowflow'!Q24,'2lowflow'!Q24)</f>
        <v>9.8424000000000011E-3</v>
      </c>
      <c r="R24" s="3">
        <f>AVERAGE('1lowflow'!R24,'2lowflow'!R24)</f>
        <v>1.6447129758925462E-2</v>
      </c>
      <c r="T24" s="11">
        <v>1.7</v>
      </c>
      <c r="U24" s="10">
        <f t="shared" si="0"/>
        <v>28168.284789644007</v>
      </c>
      <c r="V24" s="10">
        <f t="shared" si="1"/>
        <v>2.2539420748864131E-2</v>
      </c>
      <c r="W24" s="10">
        <f t="shared" si="2"/>
        <v>6.1057129494354557E-3</v>
      </c>
      <c r="X24" s="17"/>
      <c r="Y24" s="8"/>
      <c r="AC24" s="14">
        <f>AC23+5</f>
        <v>10</v>
      </c>
      <c r="AD24" s="14">
        <v>1.3079999999999999E-3</v>
      </c>
      <c r="AE24" s="14">
        <v>999.73</v>
      </c>
      <c r="AF24" s="13">
        <v>1.3083532553789522E-6</v>
      </c>
    </row>
    <row r="25" spans="1:32" ht="15.5" x14ac:dyDescent="0.35">
      <c r="A25" s="3" t="s">
        <v>79</v>
      </c>
      <c r="B25" s="3">
        <f>AVERAGE('1lowflow'!B25,'2lowflow'!B25)</f>
        <v>2875</v>
      </c>
      <c r="C25" s="3">
        <f>AVERAGE('1lowflow'!C25,'2lowflow'!C25)</f>
        <v>47.916762499999997</v>
      </c>
      <c r="D25" s="3">
        <f>AVERAGE('1lowflow'!D25,'2lowflow'!D25)</f>
        <v>0.79861175000000006</v>
      </c>
      <c r="E25" s="3">
        <f>AVERAGE('1lowflow'!E25,'2lowflow'!E25)</f>
        <v>7.9861175000000011E-4</v>
      </c>
      <c r="F25" s="3">
        <f>AVERAGE('1lowflow'!F25,'2lowflow'!F25)</f>
        <v>1.5972235000000001</v>
      </c>
      <c r="G25" s="3">
        <f>AVERAGE('1lowflow'!G25,'2lowflow'!G25)</f>
        <v>2.5528590228411399</v>
      </c>
      <c r="H25" s="3">
        <f>AVERAGE('1lowflow'!H25,'2lowflow'!H25)</f>
        <v>3.10474692824</v>
      </c>
      <c r="I25" s="3">
        <f>AVERAGE('1lowflow'!I25,'2lowflow'!I25)</f>
        <v>3.0028656964411002</v>
      </c>
      <c r="J25" s="3">
        <f>AVERAGE('1lowflow'!J25,'2lowflow'!J25)</f>
        <v>30.028656964410999</v>
      </c>
      <c r="K25" s="3">
        <f>AVERAGE('1lowflow'!K25,'2lowflow'!K25)</f>
        <v>3002.8656964411002</v>
      </c>
      <c r="L25" s="3">
        <f>AVERAGE('1lowflow'!L25,'2lowflow'!L25)</f>
        <v>26121.266087409938</v>
      </c>
      <c r="M25" s="3">
        <f>AVERAGE('1lowflow'!M25,'2lowflow'!M25)</f>
        <v>15.150993620399149</v>
      </c>
      <c r="N25" s="3">
        <f>AVERAGE('1lowflow'!N25,'2lowflow'!N25)</f>
        <v>4.6149242371684773E-2</v>
      </c>
      <c r="O25" s="3">
        <f>AVERAGE('1lowflow'!O25,'2lowflow'!O25)</f>
        <v>1.1537310592921193E-2</v>
      </c>
      <c r="P25" s="3">
        <f>AVERAGE('1lowflow'!P25,'2lowflow'!P25)</f>
        <v>1.5921786124136483E-2</v>
      </c>
      <c r="Q25" s="3">
        <f>AVERAGE('1lowflow'!Q25,'2lowflow'!Q25)</f>
        <v>9.840395E-3</v>
      </c>
      <c r="R25" s="3">
        <f>AVERAGE('1lowflow'!R25,'2lowflow'!R25)</f>
        <v>1.6444376162670415E-2</v>
      </c>
      <c r="T25" s="11">
        <v>1.8</v>
      </c>
      <c r="U25" s="10">
        <f t="shared" si="0"/>
        <v>29825.2427184466</v>
      </c>
      <c r="V25" s="10">
        <f t="shared" si="1"/>
        <v>2.2219631635489009E-2</v>
      </c>
      <c r="W25" s="10">
        <f t="shared" si="2"/>
        <v>6.0190851450930847E-3</v>
      </c>
      <c r="X25" s="4"/>
      <c r="Y25" s="8"/>
      <c r="AC25" s="14" t="e">
        <f>#REF!+5</f>
        <v>#REF!</v>
      </c>
      <c r="AD25" s="14">
        <v>1.005E-3</v>
      </c>
      <c r="AE25" s="14">
        <v>998.23</v>
      </c>
      <c r="AF25" s="13">
        <v>1.0067820041473407E-6</v>
      </c>
    </row>
    <row r="26" spans="1:32" ht="15.5" x14ac:dyDescent="0.35">
      <c r="A26" s="3" t="s">
        <v>48</v>
      </c>
      <c r="B26" s="3">
        <f>AVERAGE('1lowflow'!B26,'2lowflow'!B26)</f>
        <v>2450</v>
      </c>
      <c r="C26" s="3">
        <f>AVERAGE('1lowflow'!C26,'2lowflow'!C26)</f>
        <v>40.833415000000002</v>
      </c>
      <c r="D26" s="3">
        <f>AVERAGE('1lowflow'!D26,'2lowflow'!D26)</f>
        <v>0.6805561</v>
      </c>
      <c r="E26" s="3">
        <f>AVERAGE('1lowflow'!E26,'2lowflow'!E26)</f>
        <v>6.8055610000000006E-4</v>
      </c>
      <c r="F26" s="3">
        <f>AVERAGE('1lowflow'!F26,'2lowflow'!F26)</f>
        <v>1.3611122</v>
      </c>
      <c r="G26" s="3">
        <f>AVERAGE('1lowflow'!G26,'2lowflow'!G26)</f>
        <v>1.8557128456802006</v>
      </c>
      <c r="H26" s="3">
        <f>AVERAGE('1lowflow'!H26,'2lowflow'!H26)</f>
        <v>2.6457843388480002</v>
      </c>
      <c r="I26" s="3">
        <f>AVERAGE('1lowflow'!I26,'2lowflow'!I26)</f>
        <v>2.1856508228147677</v>
      </c>
      <c r="J26" s="3">
        <f>AVERAGE('1lowflow'!J26,'2lowflow'!J26)</f>
        <v>21.856508228147675</v>
      </c>
      <c r="K26" s="3">
        <f>AVERAGE('1lowflow'!K26,'2lowflow'!K26)</f>
        <v>2185.6508228147677</v>
      </c>
      <c r="L26" s="3">
        <f>AVERAGE('1lowflow'!L26,'2lowflow'!L26)</f>
        <v>22287.712161619485</v>
      </c>
      <c r="M26" s="3">
        <f>AVERAGE('1lowflow'!M26,'2lowflow'!M26)</f>
        <v>11.044278840873218</v>
      </c>
      <c r="N26" s="3">
        <f>AVERAGE('1lowflow'!N26,'2lowflow'!N26)</f>
        <v>4.6095419901492803E-2</v>
      </c>
      <c r="O26" s="3">
        <f>AVERAGE('1lowflow'!O26,'2lowflow'!O26)</f>
        <v>1.1523854975373201E-2</v>
      </c>
      <c r="P26" s="3">
        <f>AVERAGE('1lowflow'!P26,'2lowflow'!P26)</f>
        <v>1.5673809294650193E-2</v>
      </c>
      <c r="Q26" s="3">
        <f>AVERAGE('1lowflow'!Q26,'2lowflow'!Q26)</f>
        <v>9.8590450000000003E-3</v>
      </c>
      <c r="R26" s="3">
        <f>AVERAGE('1lowflow'!R26,'2lowflow'!R26)</f>
        <v>1.647039969554202E-2</v>
      </c>
      <c r="T26" s="11">
        <v>1.9</v>
      </c>
      <c r="U26" s="10">
        <f t="shared" si="0"/>
        <v>31482.200647249185</v>
      </c>
      <c r="V26" s="10">
        <f t="shared" si="1"/>
        <v>2.1921313893836232E-2</v>
      </c>
      <c r="W26" s="10">
        <f t="shared" si="2"/>
        <v>5.9382737294604322E-3</v>
      </c>
      <c r="X26" s="4"/>
      <c r="Y26" s="8"/>
      <c r="AC26" s="14">
        <v>25</v>
      </c>
      <c r="AD26" s="14">
        <v>8.9400000000000005E-4</v>
      </c>
      <c r="AE26" s="14">
        <v>997.07</v>
      </c>
      <c r="AF26" s="13">
        <v>8.9662711745414066E-7</v>
      </c>
    </row>
    <row r="27" spans="1:32" ht="15.5" x14ac:dyDescent="0.35">
      <c r="A27" s="3" t="s">
        <v>78</v>
      </c>
      <c r="B27" s="3">
        <f>AVERAGE('1lowflow'!B27,'2lowflow'!B27)</f>
        <v>2050</v>
      </c>
      <c r="C27" s="3">
        <f>AVERAGE('1lowflow'!C27,'2lowflow'!C27)</f>
        <v>34.166735000000003</v>
      </c>
      <c r="D27" s="3">
        <f>AVERAGE('1lowflow'!D27,'2lowflow'!D27)</f>
        <v>0.56944490000000003</v>
      </c>
      <c r="E27" s="3">
        <f>AVERAGE('1lowflow'!E27,'2lowflow'!E27)</f>
        <v>5.6944489999999999E-4</v>
      </c>
      <c r="F27" s="3">
        <f>AVERAGE('1lowflow'!F27,'2lowflow'!F27)</f>
        <v>1.1388898000000001</v>
      </c>
      <c r="G27" s="3">
        <f>AVERAGE('1lowflow'!G27,'2lowflow'!G27)</f>
        <v>1.3001564012354001</v>
      </c>
      <c r="H27" s="3">
        <f>AVERAGE('1lowflow'!H27,'2lowflow'!H27)</f>
        <v>2.2138195488320003</v>
      </c>
      <c r="I27" s="3">
        <f>AVERAGE('1lowflow'!I27,'2lowflow'!I27)</f>
        <v>1.5079064124310975</v>
      </c>
      <c r="J27" s="3">
        <f>AVERAGE('1lowflow'!J27,'2lowflow'!J27)</f>
        <v>15.079064124310975</v>
      </c>
      <c r="K27" s="3">
        <f>AVERAGE('1lowflow'!K27,'2lowflow'!K27)</f>
        <v>1507.9064124310976</v>
      </c>
      <c r="L27" s="3">
        <f>AVERAGE('1lowflow'!L27,'2lowflow'!L27)</f>
        <v>18461.574700249785</v>
      </c>
      <c r="M27" s="3">
        <f>AVERAGE('1lowflow'!M27,'2lowflow'!M27)</f>
        <v>7.5396502827665959</v>
      </c>
      <c r="N27" s="3">
        <f>AVERAGE('1lowflow'!N27,'2lowflow'!N27)</f>
        <v>4.4719427960542381E-2</v>
      </c>
      <c r="O27" s="3">
        <f>AVERAGE('1lowflow'!O27,'2lowflow'!O27)</f>
        <v>1.1179856990135595E-2</v>
      </c>
      <c r="P27" s="3">
        <f>AVERAGE('1lowflow'!P27,'2lowflow'!P27)</f>
        <v>1.4028599916875904E-2</v>
      </c>
      <c r="Q27" s="3">
        <f>AVERAGE('1lowflow'!Q27,'2lowflow'!Q27)</f>
        <v>9.7462350000000007E-3</v>
      </c>
      <c r="R27" s="3">
        <f>AVERAGE('1lowflow'!R27,'2lowflow'!R27)</f>
        <v>1.6312237020431965E-2</v>
      </c>
      <c r="T27" s="11">
        <v>2</v>
      </c>
      <c r="U27" s="10">
        <f t="shared" si="0"/>
        <v>33139.158576051777</v>
      </c>
      <c r="V27" s="10">
        <f t="shared" si="1"/>
        <v>2.1642004457156336E-2</v>
      </c>
      <c r="W27" s="10">
        <f t="shared" si="2"/>
        <v>5.862611481373515E-3</v>
      </c>
      <c r="X27" s="4"/>
      <c r="Y27" s="8"/>
      <c r="AC27" s="12"/>
      <c r="AD27" s="12"/>
      <c r="AE27" s="12"/>
      <c r="AF27" s="12"/>
    </row>
    <row r="28" spans="1:32" ht="15.5" x14ac:dyDescent="0.35">
      <c r="A28" s="3" t="s">
        <v>49</v>
      </c>
      <c r="B28" s="3">
        <f>AVERAGE('1lowflow'!B28,'2lowflow'!B28)</f>
        <v>1650</v>
      </c>
      <c r="C28" s="3">
        <f>AVERAGE('1lowflow'!C28,'2lowflow'!C28)</f>
        <v>27.500055</v>
      </c>
      <c r="D28" s="3">
        <f>AVERAGE('1lowflow'!D28,'2lowflow'!D28)</f>
        <v>0.45833370000000001</v>
      </c>
      <c r="E28" s="3">
        <f>AVERAGE('1lowflow'!E28,'2lowflow'!E28)</f>
        <v>4.5833370000000003E-4</v>
      </c>
      <c r="F28" s="3">
        <f>AVERAGE('1lowflow'!F28,'2lowflow'!F28)</f>
        <v>0.91666740000000002</v>
      </c>
      <c r="G28" s="3">
        <f>AVERAGE('1lowflow'!G28,'2lowflow'!G28)</f>
        <v>0.84336554691412002</v>
      </c>
      <c r="H28" s="3">
        <f>AVERAGE('1lowflow'!H28,'2lowflow'!H28)</f>
        <v>1.7818547588159999</v>
      </c>
      <c r="I28" s="3">
        <f>AVERAGE('1lowflow'!I28,'2lowflow'!I28)</f>
        <v>0.89668840863422761</v>
      </c>
      <c r="J28" s="3">
        <f>AVERAGE('1lowflow'!J28,'2lowflow'!J28)</f>
        <v>8.9668840863422759</v>
      </c>
      <c r="K28" s="3">
        <f>AVERAGE('1lowflow'!K28,'2lowflow'!K28)</f>
        <v>896.68840863422747</v>
      </c>
      <c r="L28" s="3">
        <f>AVERAGE('1lowflow'!L28,'2lowflow'!L28)</f>
        <v>14952.156099127715</v>
      </c>
      <c r="M28" s="3">
        <f>AVERAGE('1lowflow'!M28,'2lowflow'!M28)</f>
        <v>4.5185990364651536</v>
      </c>
      <c r="N28" s="3">
        <f>AVERAGE('1lowflow'!N28,'2lowflow'!N28)</f>
        <v>4.1093258440978706E-2</v>
      </c>
      <c r="O28" s="3">
        <f>AVERAGE('1lowflow'!O28,'2lowflow'!O28)</f>
        <v>1.0273314610244676E-2</v>
      </c>
      <c r="P28" s="3">
        <f>AVERAGE('1lowflow'!P28,'2lowflow'!P28)</f>
        <v>1.0068449729031119E-2</v>
      </c>
      <c r="Q28" s="3">
        <f>AVERAGE('1lowflow'!Q28,'2lowflow'!Q28)</f>
        <v>9.8205435000000008E-3</v>
      </c>
      <c r="R28" s="3">
        <f>AVERAGE('1lowflow'!R28,'2lowflow'!R28)</f>
        <v>1.6416520554272389E-2</v>
      </c>
      <c r="T28" s="11">
        <v>2.1</v>
      </c>
      <c r="U28" s="10">
        <f t="shared" si="0"/>
        <v>34796.11650485437</v>
      </c>
      <c r="V28" s="10">
        <f t="shared" si="1"/>
        <v>2.1379628642450382E-2</v>
      </c>
      <c r="W28" s="10">
        <f t="shared" si="2"/>
        <v>5.7915363891021419E-3</v>
      </c>
      <c r="X28" s="4"/>
      <c r="Y28" s="8"/>
    </row>
    <row r="29" spans="1:32" ht="15.5" x14ac:dyDescent="0.35">
      <c r="G29" s="7"/>
      <c r="X29" s="4"/>
      <c r="Y29" s="8"/>
      <c r="Z29" s="9" t="s">
        <v>39</v>
      </c>
    </row>
    <row r="30" spans="1:32" x14ac:dyDescent="0.35">
      <c r="G30" s="7"/>
      <c r="X30" s="4"/>
      <c r="Y30" s="8"/>
    </row>
    <row r="31" spans="1:32" x14ac:dyDescent="0.35">
      <c r="G31" s="7"/>
      <c r="X31" s="4"/>
      <c r="Y31" s="8"/>
    </row>
    <row r="32" spans="1:32" x14ac:dyDescent="0.35">
      <c r="G32" s="7"/>
      <c r="X32" s="4"/>
    </row>
    <row r="33" spans="7:24" x14ac:dyDescent="0.35">
      <c r="G33" s="7"/>
      <c r="X33" s="4"/>
    </row>
    <row r="34" spans="7:24" x14ac:dyDescent="0.35">
      <c r="X34" s="4"/>
    </row>
    <row r="35" spans="7:24" ht="15.5" x14ac:dyDescent="0.35">
      <c r="T35" s="4"/>
      <c r="U35" s="6"/>
      <c r="V35" s="6"/>
      <c r="W35" s="4"/>
      <c r="X35" s="4"/>
    </row>
    <row r="36" spans="7:24" ht="15.5" x14ac:dyDescent="0.35">
      <c r="T36" s="4"/>
      <c r="U36" s="6"/>
      <c r="V36" s="6"/>
      <c r="W36" s="4"/>
      <c r="X36" s="4"/>
    </row>
    <row r="37" spans="7:24" ht="15.5" x14ac:dyDescent="0.35">
      <c r="T37" s="4"/>
      <c r="U37" s="6"/>
      <c r="V37" s="6"/>
      <c r="W37" s="4"/>
      <c r="X37" s="4"/>
    </row>
    <row r="38" spans="7:24" ht="15.5" x14ac:dyDescent="0.35">
      <c r="T38" s="4"/>
      <c r="U38" s="6"/>
      <c r="V38" s="6"/>
      <c r="W38" s="4"/>
      <c r="X38" s="4"/>
    </row>
    <row r="39" spans="7:24" ht="15.5" x14ac:dyDescent="0.35">
      <c r="T39" s="4"/>
      <c r="U39" s="6"/>
      <c r="V39" s="6"/>
      <c r="W39" s="4"/>
      <c r="X39" s="4"/>
    </row>
    <row r="40" spans="7:24" ht="15.5" x14ac:dyDescent="0.35">
      <c r="T40" s="4"/>
      <c r="U40" s="6"/>
      <c r="V40" s="6"/>
    </row>
    <row r="41" spans="7:24" ht="15.5" x14ac:dyDescent="0.35">
      <c r="T41" s="4"/>
      <c r="U41" s="6"/>
      <c r="V41" s="6"/>
    </row>
    <row r="42" spans="7:24" ht="15.5" x14ac:dyDescent="0.35">
      <c r="T42" s="4"/>
      <c r="U42" s="6"/>
      <c r="V42" s="6"/>
    </row>
    <row r="43" spans="7:24" ht="15.5" x14ac:dyDescent="0.35">
      <c r="T43" s="4"/>
      <c r="U43" s="6"/>
      <c r="V43" s="6"/>
    </row>
    <row r="44" spans="7:24" ht="15.5" x14ac:dyDescent="0.35">
      <c r="T44" s="4"/>
      <c r="U44" s="6"/>
      <c r="V44" s="6"/>
    </row>
    <row r="45" spans="7:24" ht="15.5" x14ac:dyDescent="0.35">
      <c r="T45" s="4"/>
      <c r="U45" s="6"/>
      <c r="V45" s="6"/>
    </row>
    <row r="46" spans="7:24" ht="15.5" x14ac:dyDescent="0.35">
      <c r="T46" s="4"/>
      <c r="U46" s="6"/>
      <c r="V46" s="6"/>
    </row>
    <row r="47" spans="7:24" ht="15.5" x14ac:dyDescent="0.35">
      <c r="T47" s="4"/>
      <c r="U47" s="6"/>
      <c r="V47" s="6"/>
    </row>
    <row r="48" spans="7:24" ht="15.5" x14ac:dyDescent="0.35">
      <c r="T48" s="4"/>
      <c r="U48" s="6"/>
      <c r="V48" s="6"/>
    </row>
    <row r="49" spans="2:22" ht="15.5" x14ac:dyDescent="0.35">
      <c r="T49" s="4"/>
      <c r="U49" s="6"/>
      <c r="V49" s="6"/>
    </row>
    <row r="50" spans="2:22" x14ac:dyDescent="0.35">
      <c r="T50" s="4"/>
    </row>
    <row r="60" spans="2:22" x14ac:dyDescent="0.35">
      <c r="B60" s="3">
        <v>0</v>
      </c>
    </row>
  </sheetData>
  <mergeCells count="2">
    <mergeCell ref="A4:N4"/>
    <mergeCell ref="Y6:Z6"/>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9038A-E3A2-4CA2-A19D-7CDAA3C89E0B}">
  <dimension ref="A1:AF60"/>
  <sheetViews>
    <sheetView zoomScale="51" zoomScaleNormal="51" workbookViewId="0"/>
  </sheetViews>
  <sheetFormatPr defaultColWidth="8.69140625" defaultRowHeight="14.5" x14ac:dyDescent="0.35"/>
  <cols>
    <col min="1" max="1" width="8.69140625" style="3"/>
    <col min="2" max="2" width="11" style="3" customWidth="1"/>
    <col min="3" max="4" width="8.69140625" style="3"/>
    <col min="5" max="5" width="12.3046875" style="3" customWidth="1"/>
    <col min="6" max="6" width="15.69140625" style="3" bestFit="1" customWidth="1"/>
    <col min="7" max="7" width="8.53515625" style="3" customWidth="1"/>
    <col min="8" max="8" width="8.69140625" style="3"/>
    <col min="9" max="9" width="15.69140625" style="3" bestFit="1" customWidth="1"/>
    <col min="10" max="10" width="12.23046875" style="3" customWidth="1"/>
    <col min="11" max="11" width="10.4609375" style="3" customWidth="1"/>
    <col min="12" max="12" width="8.53515625" style="5" customWidth="1"/>
    <col min="13" max="13" width="6.765625" style="4" customWidth="1"/>
    <col min="14" max="14" width="8.4609375" style="4" customWidth="1"/>
    <col min="15" max="15" width="9.07421875" style="4" customWidth="1"/>
    <col min="16" max="18" width="27.23046875" style="4" customWidth="1"/>
    <col min="19" max="19" width="8.4609375" style="4" customWidth="1"/>
    <col min="20" max="20" width="10.23046875" style="3" customWidth="1"/>
    <col min="21" max="21" width="13.84375" style="3" customWidth="1"/>
    <col min="22" max="24" width="10" style="3" customWidth="1"/>
    <col min="25" max="25" width="24.69140625" style="3" customWidth="1"/>
    <col min="26" max="27" width="8.69140625" style="3"/>
    <col min="28" max="28" width="22" style="3" customWidth="1"/>
    <col min="29" max="29" width="35.84375" style="3" customWidth="1"/>
    <col min="30" max="30" width="16.84375" style="3" customWidth="1"/>
    <col min="31" max="16384" width="8.69140625" style="3"/>
  </cols>
  <sheetData>
    <row r="1" spans="1:30" x14ac:dyDescent="0.35">
      <c r="A1" s="48" t="s">
        <v>105</v>
      </c>
    </row>
    <row r="2" spans="1:30" ht="15.5" x14ac:dyDescent="0.35">
      <c r="A2" s="9"/>
      <c r="I2" s="9"/>
      <c r="J2" s="9"/>
    </row>
    <row r="3" spans="1:30" ht="15.5" x14ac:dyDescent="0.35">
      <c r="A3" s="9"/>
      <c r="I3" s="9"/>
      <c r="J3" s="9"/>
    </row>
    <row r="4" spans="1:30" x14ac:dyDescent="0.35">
      <c r="A4" s="51" t="s">
        <v>3</v>
      </c>
      <c r="B4" s="51"/>
      <c r="C4" s="51"/>
      <c r="D4" s="51"/>
      <c r="E4" s="51"/>
      <c r="F4" s="51"/>
      <c r="G4" s="51"/>
      <c r="H4" s="51"/>
      <c r="I4" s="51"/>
      <c r="J4" s="51"/>
      <c r="K4" s="51"/>
      <c r="L4" s="51"/>
      <c r="M4" s="51"/>
      <c r="N4" s="51"/>
      <c r="O4" s="30"/>
      <c r="P4" s="30"/>
      <c r="Q4" s="41"/>
      <c r="R4" s="41"/>
      <c r="S4" s="31"/>
    </row>
    <row r="6" spans="1:30" ht="15.5" x14ac:dyDescent="0.35">
      <c r="A6" s="29"/>
      <c r="B6" s="27" t="s">
        <v>4</v>
      </c>
      <c r="C6" s="27" t="s">
        <v>5</v>
      </c>
      <c r="D6" s="28" t="s">
        <v>6</v>
      </c>
      <c r="E6" s="28" t="s">
        <v>93</v>
      </c>
      <c r="F6" s="28" t="s">
        <v>7</v>
      </c>
      <c r="G6" s="28" t="s">
        <v>92</v>
      </c>
      <c r="H6" s="28" t="s">
        <v>8</v>
      </c>
      <c r="I6" s="27" t="s">
        <v>91</v>
      </c>
      <c r="J6" s="27" t="s">
        <v>90</v>
      </c>
      <c r="K6" s="27" t="s">
        <v>9</v>
      </c>
      <c r="L6" s="26" t="s">
        <v>10</v>
      </c>
      <c r="M6" s="25" t="s">
        <v>89</v>
      </c>
      <c r="N6" s="24" t="s">
        <v>11</v>
      </c>
      <c r="O6" s="11" t="s">
        <v>88</v>
      </c>
      <c r="P6" s="11" t="s">
        <v>12</v>
      </c>
      <c r="Q6" s="11" t="s">
        <v>98</v>
      </c>
      <c r="R6" s="11" t="s">
        <v>97</v>
      </c>
      <c r="S6" s="11"/>
      <c r="T6" s="23" t="s">
        <v>13</v>
      </c>
      <c r="U6" s="6" t="s">
        <v>10</v>
      </c>
      <c r="V6" s="23" t="s">
        <v>14</v>
      </c>
      <c r="W6" s="6" t="s">
        <v>15</v>
      </c>
      <c r="X6" s="9"/>
      <c r="Y6" s="52" t="s">
        <v>16</v>
      </c>
      <c r="Z6" s="52"/>
    </row>
    <row r="7" spans="1:30" ht="15.5" x14ac:dyDescent="0.35">
      <c r="A7" s="22" t="s">
        <v>17</v>
      </c>
      <c r="C7" s="7">
        <f t="shared" ref="C7:C28" si="0">B7*0.0166667</f>
        <v>0</v>
      </c>
      <c r="D7" s="7">
        <f t="shared" ref="D7:D28" si="1">B7*0.000277778</f>
        <v>0</v>
      </c>
      <c r="E7" s="5">
        <f t="shared" ref="E7:E28" si="2">0.001*D7</f>
        <v>0</v>
      </c>
      <c r="F7" s="7">
        <f t="shared" ref="F7:F28" si="3">E7/Z$8</f>
        <v>0</v>
      </c>
      <c r="G7" s="7">
        <f t="shared" ref="G7:G28" si="4">F7^(2)</f>
        <v>0</v>
      </c>
      <c r="H7" s="7">
        <f t="shared" ref="H7:H28" si="5">F7*1.94384</f>
        <v>0</v>
      </c>
      <c r="I7" s="16"/>
      <c r="J7" s="16">
        <f t="shared" ref="J7:J28" si="6">I7 * 10</f>
        <v>0</v>
      </c>
      <c r="K7" s="15">
        <f t="shared" ref="K7:K28" si="7">J7*100</f>
        <v>0</v>
      </c>
      <c r="L7" s="5">
        <f t="shared" ref="L7" si="8">(F7*Z$12)/Z$13</f>
        <v>0</v>
      </c>
      <c r="T7" s="11">
        <v>0</v>
      </c>
      <c r="U7" s="10">
        <f t="shared" ref="U7:U28" si="9">(T7*Z$12)/Z$13</f>
        <v>0</v>
      </c>
      <c r="V7" s="10"/>
      <c r="W7" s="10"/>
    </row>
    <row r="8" spans="1:30" ht="15.5" x14ac:dyDescent="0.35">
      <c r="A8" s="3" t="s">
        <v>40</v>
      </c>
      <c r="B8" s="3">
        <v>1800</v>
      </c>
      <c r="C8" s="7">
        <f t="shared" si="0"/>
        <v>30.000059999999998</v>
      </c>
      <c r="D8" s="7">
        <f t="shared" si="1"/>
        <v>0.50000040000000001</v>
      </c>
      <c r="E8" s="5">
        <f t="shared" si="2"/>
        <v>5.0000040000000004E-4</v>
      </c>
      <c r="F8" s="7">
        <f t="shared" si="3"/>
        <v>1.0000008</v>
      </c>
      <c r="G8" s="7">
        <f t="shared" si="4"/>
        <v>1.00000160000064</v>
      </c>
      <c r="H8" s="7">
        <f t="shared" si="5"/>
        <v>1.9438415550720001</v>
      </c>
      <c r="I8" s="3">
        <v>1.3482396623514674</v>
      </c>
      <c r="J8" s="16">
        <f t="shared" si="6"/>
        <v>13.482396623514674</v>
      </c>
      <c r="K8" s="15">
        <f t="shared" si="7"/>
        <v>1348.2396623514674</v>
      </c>
      <c r="L8" s="5">
        <f>(F8*R8)/Z$13</f>
        <v>15454.936159680115</v>
      </c>
      <c r="M8" s="4">
        <f>(Z$16*G8*N8)/8</f>
        <v>6.670362287207162</v>
      </c>
      <c r="N8" s="4">
        <f>(K8*2*R8)/(Z$14*Z$16*G8)</f>
        <v>5.2061280894753641E-2</v>
      </c>
      <c r="O8" s="4">
        <f t="shared" ref="O8:O28" si="10">N8/4</f>
        <v>1.301532022368841E-2</v>
      </c>
      <c r="P8" s="4">
        <f t="shared" ref="P8:P28" si="11">3.7*(10^(-1/(2*SQRT(N8)))-2.51/(L8*SQRT(N8)))</f>
        <v>2.118122629213396E-2</v>
      </c>
      <c r="Q8" s="4">
        <f>Z$11-0.00059509</f>
        <v>9.4049100000000007E-3</v>
      </c>
      <c r="R8" s="4">
        <f>2*(Q8*Z$10)/(Q8+Z$10)</f>
        <v>1.5831873156612813E-2</v>
      </c>
      <c r="T8" s="11">
        <v>0.1</v>
      </c>
      <c r="U8" s="10">
        <f t="shared" si="9"/>
        <v>1626.984126984127</v>
      </c>
      <c r="V8" s="10">
        <f t="shared" ref="V8:V28" si="12">0.292/(U8^(0.25))</f>
        <v>4.5976618071962377E-2</v>
      </c>
      <c r="W8" s="10">
        <f>0.0791/(U8^0.25)</f>
        <v>1.2454624964014468E-2</v>
      </c>
      <c r="X8" s="17"/>
      <c r="Y8" s="9" t="s">
        <v>18</v>
      </c>
      <c r="Z8" s="3">
        <f>Z$10*Z$11</f>
        <v>5.0000000000000001E-4</v>
      </c>
    </row>
    <row r="9" spans="1:30" ht="15.5" x14ac:dyDescent="0.35">
      <c r="A9" s="3" t="s">
        <v>87</v>
      </c>
      <c r="B9" s="3">
        <v>2150</v>
      </c>
      <c r="C9" s="7">
        <f t="shared" si="0"/>
        <v>35.833404999999999</v>
      </c>
      <c r="D9" s="7">
        <f t="shared" si="1"/>
        <v>0.5972227</v>
      </c>
      <c r="E9" s="5">
        <f t="shared" si="2"/>
        <v>5.9722270000000003E-4</v>
      </c>
      <c r="F9" s="7">
        <f>E9/Z$8</f>
        <v>1.1944454</v>
      </c>
      <c r="G9" s="7">
        <f t="shared" si="4"/>
        <v>1.4266998135811599</v>
      </c>
      <c r="H9" s="7">
        <f t="shared" si="5"/>
        <v>2.3218107463359998</v>
      </c>
      <c r="I9" s="3">
        <v>2.0283559947005774</v>
      </c>
      <c r="J9" s="16">
        <f t="shared" si="6"/>
        <v>20.283559947005774</v>
      </c>
      <c r="K9" s="15">
        <f t="shared" si="7"/>
        <v>2028.3559947005774</v>
      </c>
      <c r="L9" s="5">
        <f>(F9*R9)/Z$13</f>
        <v>18524.368264082797</v>
      </c>
      <c r="M9" s="4">
        <f>(Z$16*G9*N9)/8</f>
        <v>10.070168540174393</v>
      </c>
      <c r="N9" s="4">
        <f>(K9*2*R9)/(Z$14*Z$16*G9)</f>
        <v>5.5089680841439247E-2</v>
      </c>
      <c r="O9" s="4">
        <f t="shared" si="10"/>
        <v>1.3772420210359812E-2</v>
      </c>
      <c r="P9" s="4">
        <f t="shared" si="11"/>
        <v>2.5275383728235179E-2</v>
      </c>
      <c r="Q9" s="4">
        <f>Z$11-0.00055614</f>
        <v>9.4438600000000001E-3</v>
      </c>
      <c r="R9" s="4">
        <f t="shared" ref="R9:R28" si="13">2*(Q9*Z$10)/(Q9+Z$10)</f>
        <v>1.5887023487371109E-2</v>
      </c>
      <c r="T9" s="11">
        <v>0.2</v>
      </c>
      <c r="U9" s="10">
        <f t="shared" si="9"/>
        <v>3253.968253968254</v>
      </c>
      <c r="V9" s="10">
        <f t="shared" si="12"/>
        <v>3.8661573322202318E-2</v>
      </c>
      <c r="W9" s="10">
        <f t="shared" ref="W9:W28" si="14">0.0791/(U9^0.25)</f>
        <v>1.0473049485569191E-2</v>
      </c>
      <c r="X9" s="17"/>
      <c r="Y9" s="3" t="s">
        <v>19</v>
      </c>
    </row>
    <row r="10" spans="1:30" ht="15.5" x14ac:dyDescent="0.35">
      <c r="A10" s="3" t="s">
        <v>41</v>
      </c>
      <c r="B10" s="3">
        <v>2500</v>
      </c>
      <c r="C10" s="7">
        <f t="shared" si="0"/>
        <v>41.66675</v>
      </c>
      <c r="D10" s="7">
        <f t="shared" si="1"/>
        <v>0.69444499999999998</v>
      </c>
      <c r="E10" s="5">
        <f t="shared" si="2"/>
        <v>6.9444500000000002E-4</v>
      </c>
      <c r="F10" s="7">
        <f t="shared" si="3"/>
        <v>1.38889</v>
      </c>
      <c r="G10" s="7">
        <f t="shared" si="4"/>
        <v>1.9290154320999999</v>
      </c>
      <c r="H10" s="7">
        <f t="shared" si="5"/>
        <v>2.6997799375999998</v>
      </c>
      <c r="I10" s="3">
        <v>2.6878649412584781</v>
      </c>
      <c r="J10" s="16">
        <f t="shared" si="6"/>
        <v>26.878649412584782</v>
      </c>
      <c r="K10" s="15">
        <f t="shared" si="7"/>
        <v>2687.8649412584782</v>
      </c>
      <c r="L10" s="5">
        <f t="shared" ref="L10:L28" si="15">(F10*R10)/Z$13</f>
        <v>20631.751727995339</v>
      </c>
      <c r="M10" s="4">
        <f t="shared" ref="M10:M28" si="16">(Z$16*G10*N10)/8</f>
        <v>12.781774464427789</v>
      </c>
      <c r="N10" s="4">
        <f t="shared" ref="N10:N28" si="17">(K10*2*R10)/(Z$14*Z$16*G10)</f>
        <v>5.1715600239274746E-2</v>
      </c>
      <c r="O10" s="4">
        <f t="shared" si="10"/>
        <v>1.2928900059818687E-2</v>
      </c>
      <c r="P10" s="4">
        <f t="shared" si="11"/>
        <v>2.1437874962880927E-2</v>
      </c>
      <c r="Q10" s="4">
        <f>Z$11-0.0010258</f>
        <v>8.9741999999999999E-3</v>
      </c>
      <c r="R10" s="4">
        <f t="shared" si="13"/>
        <v>1.5217162759308307E-2</v>
      </c>
      <c r="T10" s="11">
        <v>0.3</v>
      </c>
      <c r="U10" s="10">
        <f t="shared" si="9"/>
        <v>4880.9523809523807</v>
      </c>
      <c r="V10" s="10">
        <f t="shared" si="12"/>
        <v>3.493467511665093E-2</v>
      </c>
      <c r="W10" s="10">
        <f t="shared" si="14"/>
        <v>9.4634684990653733E-3</v>
      </c>
      <c r="X10" s="17"/>
      <c r="Y10" s="9" t="s">
        <v>20</v>
      </c>
      <c r="Z10" s="7">
        <v>0.05</v>
      </c>
      <c r="AC10" s="20" t="s">
        <v>73</v>
      </c>
    </row>
    <row r="11" spans="1:30" ht="15.5" x14ac:dyDescent="0.35">
      <c r="A11" s="3" t="s">
        <v>86</v>
      </c>
      <c r="B11" s="3">
        <v>3000</v>
      </c>
      <c r="C11" s="7">
        <f t="shared" si="0"/>
        <v>50.000099999999996</v>
      </c>
      <c r="D11" s="7">
        <f t="shared" si="1"/>
        <v>0.83333400000000002</v>
      </c>
      <c r="E11" s="5">
        <f t="shared" si="2"/>
        <v>8.3333400000000003E-4</v>
      </c>
      <c r="F11" s="7">
        <f t="shared" si="3"/>
        <v>1.666668</v>
      </c>
      <c r="G11" s="7">
        <f t="shared" si="4"/>
        <v>2.7777822222240003</v>
      </c>
      <c r="H11" s="7">
        <f t="shared" si="5"/>
        <v>3.2397359251200002</v>
      </c>
      <c r="I11" s="3">
        <v>3.7146101658260124</v>
      </c>
      <c r="J11" s="16">
        <f t="shared" si="6"/>
        <v>37.146101658260122</v>
      </c>
      <c r="K11" s="15">
        <f t="shared" si="7"/>
        <v>3714.6101658260122</v>
      </c>
      <c r="L11" s="5">
        <f t="shared" si="15"/>
        <v>25048.996447219975</v>
      </c>
      <c r="M11" s="4">
        <f t="shared" si="16"/>
        <v>17.871867352916873</v>
      </c>
      <c r="N11" s="4">
        <f t="shared" si="17"/>
        <v>5.0215507924814294E-2</v>
      </c>
      <c r="O11" s="4">
        <f t="shared" si="10"/>
        <v>1.2553876981203574E-2</v>
      </c>
      <c r="P11" s="4">
        <f t="shared" si="11"/>
        <v>2.006936889016455E-2</v>
      </c>
      <c r="Q11" s="4">
        <f>Z$11-0.00090117</f>
        <v>9.0988300000000005E-3</v>
      </c>
      <c r="R11" s="4">
        <f t="shared" si="13"/>
        <v>1.5395956231282414E-2</v>
      </c>
      <c r="T11" s="11">
        <v>0.4</v>
      </c>
      <c r="U11" s="10">
        <f t="shared" si="9"/>
        <v>6507.936507936508</v>
      </c>
      <c r="V11" s="10">
        <f t="shared" si="12"/>
        <v>3.2510378414708573E-2</v>
      </c>
      <c r="W11" s="10">
        <f t="shared" si="14"/>
        <v>8.8067497691898915E-3</v>
      </c>
      <c r="X11" s="17"/>
      <c r="Y11" s="9" t="s">
        <v>21</v>
      </c>
      <c r="Z11" s="7">
        <v>0.01</v>
      </c>
      <c r="AC11" s="21" t="s">
        <v>74</v>
      </c>
      <c r="AD11" s="3" t="s">
        <v>22</v>
      </c>
    </row>
    <row r="12" spans="1:30" ht="15.5" x14ac:dyDescent="0.35">
      <c r="A12" s="3" t="s">
        <v>42</v>
      </c>
      <c r="B12" s="3">
        <v>3400</v>
      </c>
      <c r="C12" s="7">
        <f t="shared" si="0"/>
        <v>56.666779999999996</v>
      </c>
      <c r="D12" s="7">
        <f t="shared" si="1"/>
        <v>0.94444519999999998</v>
      </c>
      <c r="E12" s="5">
        <f t="shared" si="2"/>
        <v>9.4444519999999999E-4</v>
      </c>
      <c r="F12" s="7">
        <f t="shared" si="3"/>
        <v>1.8888904</v>
      </c>
      <c r="G12" s="7">
        <f t="shared" si="4"/>
        <v>3.5679069432121597</v>
      </c>
      <c r="H12" s="7">
        <f t="shared" si="5"/>
        <v>3.6717007151360002</v>
      </c>
      <c r="I12" s="3">
        <v>4.7244707835068676</v>
      </c>
      <c r="J12" s="16">
        <f t="shared" si="6"/>
        <v>47.244707835068674</v>
      </c>
      <c r="K12" s="15">
        <f t="shared" si="7"/>
        <v>4724.4707835068675</v>
      </c>
      <c r="L12" s="5">
        <f t="shared" si="15"/>
        <v>28198.78454255719</v>
      </c>
      <c r="M12" s="4">
        <f t="shared" si="16"/>
        <v>22.578352695589384</v>
      </c>
      <c r="N12" s="4">
        <f t="shared" si="17"/>
        <v>4.9390662967453584E-2</v>
      </c>
      <c r="O12" s="4">
        <f t="shared" si="10"/>
        <v>1.2347665741863396E-2</v>
      </c>
      <c r="P12" s="4">
        <f t="shared" si="11"/>
        <v>1.9333390550337389E-2</v>
      </c>
      <c r="Q12" s="4">
        <f>Z$11-0.00097309</f>
        <v>9.0269100000000008E-3</v>
      </c>
      <c r="R12" s="4">
        <f t="shared" si="13"/>
        <v>1.5292872352626965E-2</v>
      </c>
      <c r="T12" s="11">
        <v>0.5</v>
      </c>
      <c r="U12" s="10">
        <f t="shared" si="9"/>
        <v>8134.9206349206352</v>
      </c>
      <c r="V12" s="10">
        <f t="shared" si="12"/>
        <v>3.0746417591228595E-2</v>
      </c>
      <c r="W12" s="10">
        <f t="shared" si="14"/>
        <v>8.3289096968019935E-3</v>
      </c>
      <c r="X12" s="17"/>
      <c r="Y12" s="9" t="s">
        <v>71</v>
      </c>
      <c r="Z12" s="4">
        <f>2*(Z10*Z11)/(Z10+Z11)</f>
        <v>1.6666666666666666E-2</v>
      </c>
      <c r="AA12" s="9">
        <f>10*Z12*100</f>
        <v>16.666666666666664</v>
      </c>
      <c r="AC12" s="20" t="s">
        <v>75</v>
      </c>
      <c r="AD12" s="3" t="s">
        <v>23</v>
      </c>
    </row>
    <row r="13" spans="1:30" ht="15.5" x14ac:dyDescent="0.35">
      <c r="A13" s="3" t="s">
        <v>85</v>
      </c>
      <c r="B13" s="3">
        <v>3800</v>
      </c>
      <c r="C13" s="7">
        <f t="shared" si="0"/>
        <v>63.333459999999995</v>
      </c>
      <c r="D13" s="7">
        <f t="shared" si="1"/>
        <v>1.0555564</v>
      </c>
      <c r="E13" s="5">
        <f t="shared" si="2"/>
        <v>1.0555563999999999E-3</v>
      </c>
      <c r="F13" s="7">
        <f t="shared" si="3"/>
        <v>2.1111127999999999</v>
      </c>
      <c r="G13" s="7">
        <f t="shared" si="4"/>
        <v>4.4567972543238392</v>
      </c>
      <c r="H13" s="7">
        <f t="shared" si="5"/>
        <v>4.1036655051519997</v>
      </c>
      <c r="I13" s="3">
        <v>5.7107920233809546</v>
      </c>
      <c r="J13" s="16">
        <f t="shared" si="6"/>
        <v>57.107920233809544</v>
      </c>
      <c r="K13" s="15">
        <f t="shared" si="7"/>
        <v>5710.7920233809546</v>
      </c>
      <c r="L13" s="5">
        <f t="shared" si="15"/>
        <v>31265.403834949855</v>
      </c>
      <c r="M13" s="4">
        <f t="shared" si="16"/>
        <v>27.074746760108408</v>
      </c>
      <c r="N13" s="4">
        <f t="shared" si="17"/>
        <v>4.7414114801666095E-2</v>
      </c>
      <c r="O13" s="4">
        <f t="shared" si="10"/>
        <v>1.1853528700416524E-2</v>
      </c>
      <c r="P13" s="4">
        <f t="shared" si="11"/>
        <v>1.7341286901444108E-2</v>
      </c>
      <c r="Q13" s="4">
        <f>Z$11-0.0010578</f>
        <v>8.9422000000000008E-3</v>
      </c>
      <c r="R13" s="4">
        <f t="shared" si="13"/>
        <v>1.5171133754763144E-2</v>
      </c>
      <c r="T13" s="11">
        <v>0.6</v>
      </c>
      <c r="U13" s="10">
        <f t="shared" si="9"/>
        <v>9761.9047619047615</v>
      </c>
      <c r="V13" s="10">
        <f t="shared" si="12"/>
        <v>2.9376443073644908E-2</v>
      </c>
      <c r="W13" s="10">
        <f t="shared" si="14"/>
        <v>7.9577967367305217E-3</v>
      </c>
      <c r="X13" s="17"/>
      <c r="Y13" s="9" t="s">
        <v>72</v>
      </c>
      <c r="Z13" s="8">
        <f>Z$17/Z$16</f>
        <v>1.024390243902439E-6</v>
      </c>
    </row>
    <row r="14" spans="1:30" ht="15.5" x14ac:dyDescent="0.35">
      <c r="A14" s="3" t="s">
        <v>43</v>
      </c>
      <c r="B14" s="3">
        <v>4100</v>
      </c>
      <c r="C14" s="7">
        <f t="shared" si="0"/>
        <v>68.333469999999991</v>
      </c>
      <c r="D14" s="7">
        <f t="shared" si="1"/>
        <v>1.1388898000000001</v>
      </c>
      <c r="E14" s="5">
        <f t="shared" si="2"/>
        <v>1.1388898000000002E-3</v>
      </c>
      <c r="F14" s="7">
        <f t="shared" si="3"/>
        <v>2.2777796000000001</v>
      </c>
      <c r="G14" s="7">
        <f t="shared" si="4"/>
        <v>5.1882799061761604</v>
      </c>
      <c r="H14" s="7">
        <f t="shared" si="5"/>
        <v>4.4276390976640005</v>
      </c>
      <c r="I14" s="3">
        <v>6.7503305795854169</v>
      </c>
      <c r="J14" s="16">
        <f t="shared" si="6"/>
        <v>67.503305795854175</v>
      </c>
      <c r="K14" s="15">
        <f t="shared" si="7"/>
        <v>6750.3305795854176</v>
      </c>
      <c r="L14" s="5">
        <f t="shared" si="15"/>
        <v>34259.694948025433</v>
      </c>
      <c r="M14" s="4">
        <f t="shared" si="16"/>
        <v>32.502164926272719</v>
      </c>
      <c r="N14" s="4">
        <f t="shared" si="17"/>
        <v>4.889393752039712E-2</v>
      </c>
      <c r="O14" s="4">
        <f t="shared" si="10"/>
        <v>1.222348438009928E-2</v>
      </c>
      <c r="P14" s="4">
        <f t="shared" si="11"/>
        <v>1.9050125250185922E-2</v>
      </c>
      <c r="Q14" s="4">
        <f>Z$11-0.00089298</f>
        <v>9.1070200000000004E-3</v>
      </c>
      <c r="R14" s="4">
        <f t="shared" si="13"/>
        <v>1.5407679155538548E-2</v>
      </c>
      <c r="T14" s="11">
        <v>0.7</v>
      </c>
      <c r="U14" s="10">
        <f t="shared" si="9"/>
        <v>11388.888888888887</v>
      </c>
      <c r="V14" s="10">
        <f t="shared" si="12"/>
        <v>2.8265880103407474E-2</v>
      </c>
      <c r="W14" s="10">
        <f t="shared" si="14"/>
        <v>7.6569558773271623E-3</v>
      </c>
      <c r="X14" s="17"/>
      <c r="Y14" s="9" t="s">
        <v>24</v>
      </c>
      <c r="Z14" s="3">
        <v>0.8</v>
      </c>
      <c r="AC14" s="20" t="s">
        <v>76</v>
      </c>
      <c r="AD14" s="9" t="s">
        <v>25</v>
      </c>
    </row>
    <row r="15" spans="1:30" ht="15.5" x14ac:dyDescent="0.35">
      <c r="A15" s="3" t="s">
        <v>84</v>
      </c>
      <c r="B15" s="3">
        <v>4450</v>
      </c>
      <c r="C15" s="7">
        <f t="shared" si="0"/>
        <v>74.166815</v>
      </c>
      <c r="D15" s="7">
        <f t="shared" si="1"/>
        <v>1.2361120999999999</v>
      </c>
      <c r="E15" s="5">
        <f t="shared" si="2"/>
        <v>1.2361121E-3</v>
      </c>
      <c r="F15" s="7">
        <f t="shared" si="3"/>
        <v>2.4722241999999999</v>
      </c>
      <c r="G15" s="7">
        <f t="shared" si="4"/>
        <v>6.1118924950656393</v>
      </c>
      <c r="H15" s="7">
        <f t="shared" si="5"/>
        <v>4.8056082889280001</v>
      </c>
      <c r="I15" s="3">
        <v>7.8145169744803775</v>
      </c>
      <c r="J15" s="16">
        <f t="shared" si="6"/>
        <v>78.145169744803781</v>
      </c>
      <c r="K15" s="15">
        <f t="shared" si="7"/>
        <v>7814.5169744803779</v>
      </c>
      <c r="L15" s="5">
        <f t="shared" si="15"/>
        <v>37034.499620913441</v>
      </c>
      <c r="M15" s="4">
        <f t="shared" si="16"/>
        <v>37.474532366622306</v>
      </c>
      <c r="N15" s="4">
        <f t="shared" si="17"/>
        <v>4.7854924688661947E-2</v>
      </c>
      <c r="O15" s="4">
        <f t="shared" si="10"/>
        <v>1.1963731172165487E-2</v>
      </c>
      <c r="P15" s="4">
        <f t="shared" si="11"/>
        <v>1.8021280451854107E-2</v>
      </c>
      <c r="Q15" s="4">
        <f>Z$11-0.00093632</f>
        <v>9.063680000000001E-3</v>
      </c>
      <c r="R15" s="4">
        <f t="shared" si="13"/>
        <v>1.534560664015517E-2</v>
      </c>
      <c r="T15" s="11">
        <v>0.8</v>
      </c>
      <c r="U15" s="10">
        <f t="shared" si="9"/>
        <v>13015.873015873016</v>
      </c>
      <c r="V15" s="10">
        <f t="shared" si="12"/>
        <v>2.7337860667470175E-2</v>
      </c>
      <c r="W15" s="10">
        <f t="shared" si="14"/>
        <v>7.4055643109482575E-3</v>
      </c>
      <c r="X15" s="17"/>
    </row>
    <row r="16" spans="1:30" ht="15.5" x14ac:dyDescent="0.35">
      <c r="A16" s="3" t="s">
        <v>44</v>
      </c>
      <c r="B16" s="3">
        <v>4850</v>
      </c>
      <c r="C16" s="7">
        <f t="shared" si="0"/>
        <v>80.833494999999999</v>
      </c>
      <c r="D16" s="7">
        <f t="shared" si="1"/>
        <v>1.3472233</v>
      </c>
      <c r="E16" s="5">
        <f t="shared" si="2"/>
        <v>1.3472233000000001E-3</v>
      </c>
      <c r="F16" s="7">
        <f t="shared" si="3"/>
        <v>2.6944466</v>
      </c>
      <c r="G16" s="7">
        <f t="shared" si="4"/>
        <v>7.2600424802515597</v>
      </c>
      <c r="H16" s="7">
        <f t="shared" si="5"/>
        <v>5.237573078944</v>
      </c>
      <c r="I16" s="3">
        <v>8.6646032417136709</v>
      </c>
      <c r="J16" s="16">
        <f t="shared" si="6"/>
        <v>86.646032417136709</v>
      </c>
      <c r="K16" s="15">
        <f t="shared" si="7"/>
        <v>8664.6032417136703</v>
      </c>
      <c r="L16" s="5">
        <f t="shared" si="15"/>
        <v>40360.125820300396</v>
      </c>
      <c r="M16" s="4">
        <f t="shared" si="16"/>
        <v>41.547707619581743</v>
      </c>
      <c r="N16" s="4">
        <f t="shared" si="17"/>
        <v>4.4665687846772391E-2</v>
      </c>
      <c r="O16" s="4">
        <f t="shared" si="10"/>
        <v>1.1166421961693098E-2</v>
      </c>
      <c r="P16" s="4">
        <f t="shared" si="11"/>
        <v>1.4847060436247846E-2</v>
      </c>
      <c r="Q16" s="4">
        <f>Z$11-0.0009372</f>
        <v>9.0627999999999993E-3</v>
      </c>
      <c r="R16" s="4">
        <f t="shared" si="13"/>
        <v>1.534434534089139E-2</v>
      </c>
      <c r="S16" s="16"/>
      <c r="T16" s="11">
        <v>0.9</v>
      </c>
      <c r="U16" s="10">
        <f t="shared" si="9"/>
        <v>14642.857142857143</v>
      </c>
      <c r="V16" s="10">
        <f t="shared" si="12"/>
        <v>2.6544612820276092E-2</v>
      </c>
      <c r="W16" s="10">
        <f t="shared" si="14"/>
        <v>7.1906810756295868E-3</v>
      </c>
      <c r="X16" s="17"/>
      <c r="Y16" s="3" t="s">
        <v>26</v>
      </c>
      <c r="Z16" s="3">
        <f>VLOOKUP(Z18, Seawater!A4:F34, 3, FALSE)</f>
        <v>1025</v>
      </c>
    </row>
    <row r="17" spans="1:32" ht="15.5" x14ac:dyDescent="0.35">
      <c r="A17" s="3" t="s">
        <v>83</v>
      </c>
      <c r="B17" s="3">
        <v>5250</v>
      </c>
      <c r="C17" s="7">
        <f t="shared" si="0"/>
        <v>87.500174999999999</v>
      </c>
      <c r="D17" s="7">
        <f t="shared" si="1"/>
        <v>1.4583345000000001</v>
      </c>
      <c r="E17" s="5">
        <f t="shared" si="2"/>
        <v>1.4583345000000001E-3</v>
      </c>
      <c r="F17" s="7">
        <f t="shared" si="3"/>
        <v>2.9166690000000002</v>
      </c>
      <c r="G17" s="7">
        <f t="shared" si="4"/>
        <v>8.5069580555610003</v>
      </c>
      <c r="H17" s="7">
        <f t="shared" si="5"/>
        <v>5.66953786896</v>
      </c>
      <c r="I17" s="3">
        <v>8.9876234163976427</v>
      </c>
      <c r="J17" s="16">
        <f t="shared" si="6"/>
        <v>89.87623416397642</v>
      </c>
      <c r="K17" s="15">
        <f t="shared" si="7"/>
        <v>8987.6234163976424</v>
      </c>
      <c r="L17" s="5">
        <f t="shared" si="15"/>
        <v>43639.079495168728</v>
      </c>
      <c r="M17" s="4">
        <f t="shared" si="16"/>
        <v>43.047581594463374</v>
      </c>
      <c r="N17" s="4">
        <f t="shared" si="17"/>
        <v>3.9494860847478046E-2</v>
      </c>
      <c r="O17" s="4">
        <f t="shared" si="10"/>
        <v>9.8737152118695114E-3</v>
      </c>
      <c r="P17" s="4">
        <f t="shared" si="11"/>
        <v>1.0208002969185895E-2</v>
      </c>
      <c r="Q17" s="4">
        <f>Z$11-0.00094938</f>
        <v>9.0506200000000005E-3</v>
      </c>
      <c r="R17" s="4">
        <f t="shared" si="13"/>
        <v>1.5326883951430146E-2</v>
      </c>
      <c r="T17" s="11">
        <v>1</v>
      </c>
      <c r="U17" s="10">
        <f t="shared" si="9"/>
        <v>16269.84126984127</v>
      </c>
      <c r="V17" s="10">
        <f t="shared" si="12"/>
        <v>2.5854552334357874E-2</v>
      </c>
      <c r="W17" s="10">
        <f t="shared" si="14"/>
        <v>7.0037503070126987E-3</v>
      </c>
      <c r="X17" s="17"/>
      <c r="Y17" s="3" t="s">
        <v>27</v>
      </c>
      <c r="Z17" s="3">
        <f>VLOOKUP(Z18, Seawater!A4:F34, 5, FALSE)</f>
        <v>1.0499999999999999E-3</v>
      </c>
      <c r="AC17" s="12"/>
      <c r="AD17" s="12"/>
      <c r="AE17" s="12"/>
      <c r="AF17" s="12"/>
    </row>
    <row r="18" spans="1:32" ht="15.5" x14ac:dyDescent="0.35">
      <c r="A18" s="3" t="s">
        <v>50</v>
      </c>
      <c r="B18" s="3">
        <v>5600</v>
      </c>
      <c r="C18" s="7">
        <f t="shared" si="0"/>
        <v>93.333519999999993</v>
      </c>
      <c r="D18" s="7">
        <f t="shared" si="1"/>
        <v>1.5555568</v>
      </c>
      <c r="E18" s="5">
        <f t="shared" si="2"/>
        <v>1.5555568000000001E-3</v>
      </c>
      <c r="F18" s="7">
        <f t="shared" si="3"/>
        <v>3.1111135999999999</v>
      </c>
      <c r="G18" s="7">
        <f t="shared" si="4"/>
        <v>9.6790278321049588</v>
      </c>
      <c r="H18" s="7">
        <f t="shared" si="5"/>
        <v>6.0475070602239995</v>
      </c>
      <c r="I18" s="3">
        <v>9.0543383466818543</v>
      </c>
      <c r="J18" s="16">
        <f t="shared" si="6"/>
        <v>90.54338346681854</v>
      </c>
      <c r="K18" s="15">
        <f t="shared" si="7"/>
        <v>9054.3383466818541</v>
      </c>
      <c r="L18" s="5">
        <f t="shared" si="15"/>
        <v>47969.923211297224</v>
      </c>
      <c r="M18" s="4">
        <f t="shared" si="16"/>
        <v>44.691540889010703</v>
      </c>
      <c r="N18" s="4">
        <f t="shared" si="17"/>
        <v>3.603791956190263E-2</v>
      </c>
      <c r="O18" s="4">
        <f t="shared" si="10"/>
        <v>9.0094798904756575E-3</v>
      </c>
      <c r="P18" s="4">
        <f t="shared" si="11"/>
        <v>7.5773745920065527E-3</v>
      </c>
      <c r="Q18" s="4">
        <f>Z$11-0.00062113</f>
        <v>9.378870000000001E-3</v>
      </c>
      <c r="R18" s="4">
        <f t="shared" si="13"/>
        <v>1.5794962079945275E-2</v>
      </c>
      <c r="S18" s="11"/>
      <c r="T18" s="11">
        <v>1.1000000000000001</v>
      </c>
      <c r="U18" s="10">
        <f t="shared" si="9"/>
        <v>17896.825396825396</v>
      </c>
      <c r="V18" s="10">
        <f t="shared" si="12"/>
        <v>2.5245783363633954E-2</v>
      </c>
      <c r="W18" s="10">
        <f t="shared" si="14"/>
        <v>6.8388406303542667E-3</v>
      </c>
      <c r="X18" s="17"/>
      <c r="Y18" s="3" t="s">
        <v>70</v>
      </c>
      <c r="Z18" s="3">
        <v>21</v>
      </c>
      <c r="AC18" s="12"/>
      <c r="AD18" s="12"/>
      <c r="AE18" s="12"/>
      <c r="AF18" s="12"/>
    </row>
    <row r="19" spans="1:32" ht="15.5" x14ac:dyDescent="0.35">
      <c r="A19" s="3" t="s">
        <v>82</v>
      </c>
      <c r="B19" s="3">
        <v>5200</v>
      </c>
      <c r="C19" s="7">
        <f t="shared" si="0"/>
        <v>86.666839999999993</v>
      </c>
      <c r="D19" s="7">
        <f t="shared" si="1"/>
        <v>1.4444456000000001</v>
      </c>
      <c r="E19" s="5">
        <f t="shared" si="2"/>
        <v>1.4444456000000001E-3</v>
      </c>
      <c r="F19" s="7">
        <f t="shared" si="3"/>
        <v>2.8888912000000002</v>
      </c>
      <c r="G19" s="7">
        <f t="shared" si="4"/>
        <v>8.3456923654374418</v>
      </c>
      <c r="H19" s="7">
        <f t="shared" si="5"/>
        <v>5.6155422702080005</v>
      </c>
      <c r="I19" s="3">
        <v>8.9335229239513136</v>
      </c>
      <c r="J19" s="16">
        <f t="shared" si="6"/>
        <v>89.33522923951314</v>
      </c>
      <c r="K19" s="15">
        <f t="shared" si="7"/>
        <v>8933.5229239513137</v>
      </c>
      <c r="L19" s="5">
        <f>(F19*R19)/Z$13</f>
        <v>43611.928136181232</v>
      </c>
      <c r="M19" s="4">
        <f t="shared" si="16"/>
        <v>43.173008493413825</v>
      </c>
      <c r="N19" s="4">
        <f t="shared" si="17"/>
        <v>4.0375327957873665E-2</v>
      </c>
      <c r="O19" s="4">
        <f t="shared" si="10"/>
        <v>1.0093831989468416E-2</v>
      </c>
      <c r="P19" s="4">
        <f t="shared" si="11"/>
        <v>1.0958688737167092E-2</v>
      </c>
      <c r="Q19" s="4">
        <f>Z$11-0.00085316</f>
        <v>9.1468399999999998E-3</v>
      </c>
      <c r="R19" s="4">
        <f t="shared" si="13"/>
        <v>1.546463006307691E-2</v>
      </c>
      <c r="T19" s="11">
        <v>1.2</v>
      </c>
      <c r="U19" s="10">
        <f t="shared" si="9"/>
        <v>19523.809523809523</v>
      </c>
      <c r="V19" s="10">
        <f t="shared" si="12"/>
        <v>2.4702545673532816E-2</v>
      </c>
      <c r="W19" s="10">
        <f t="shared" si="14"/>
        <v>6.6916827492344037E-3</v>
      </c>
      <c r="X19" s="17"/>
      <c r="Y19" s="9"/>
      <c r="Z19" s="9"/>
      <c r="AC19" s="14" t="s">
        <v>28</v>
      </c>
      <c r="AD19" s="14"/>
      <c r="AE19" s="14"/>
      <c r="AF19" s="14"/>
    </row>
    <row r="20" spans="1:32" ht="15.5" x14ac:dyDescent="0.35">
      <c r="A20" s="18" t="s">
        <v>45</v>
      </c>
      <c r="B20" s="3">
        <v>4800</v>
      </c>
      <c r="C20" s="7">
        <f t="shared" si="0"/>
        <v>80.000159999999994</v>
      </c>
      <c r="D20" s="7">
        <f t="shared" si="1"/>
        <v>1.3333344</v>
      </c>
      <c r="E20" s="5">
        <f t="shared" si="2"/>
        <v>1.3333344E-3</v>
      </c>
      <c r="F20" s="7">
        <f t="shared" si="3"/>
        <v>2.6666688000000001</v>
      </c>
      <c r="G20" s="7">
        <f t="shared" si="4"/>
        <v>7.1111224888934403</v>
      </c>
      <c r="H20" s="7">
        <f t="shared" si="5"/>
        <v>5.1835774801920005</v>
      </c>
      <c r="I20" s="16">
        <v>8.2762532696653199</v>
      </c>
      <c r="J20" s="16">
        <f t="shared" si="6"/>
        <v>82.762532696653196</v>
      </c>
      <c r="K20" s="15">
        <f t="shared" si="7"/>
        <v>8276.2532696653197</v>
      </c>
      <c r="L20" s="5">
        <f t="shared" si="15"/>
        <v>40313.293653784262</v>
      </c>
      <c r="M20" s="4">
        <f t="shared" si="16"/>
        <v>40.052389432985443</v>
      </c>
      <c r="N20" s="4">
        <f t="shared" si="17"/>
        <v>4.3959869285750394E-2</v>
      </c>
      <c r="O20" s="4">
        <f t="shared" si="10"/>
        <v>1.0989967321437599E-2</v>
      </c>
      <c r="P20" s="4">
        <f t="shared" si="11"/>
        <v>1.4157840172878702E-2</v>
      </c>
      <c r="Q20" s="4">
        <f>Z$11-0.00083807</f>
        <v>9.1619300000000004E-3</v>
      </c>
      <c r="R20" s="4">
        <f t="shared" si="13"/>
        <v>1.548619188048801E-2</v>
      </c>
      <c r="T20" s="11">
        <v>1.3</v>
      </c>
      <c r="U20" s="10">
        <f t="shared" si="9"/>
        <v>21150.79365079365</v>
      </c>
      <c r="V20" s="10">
        <f t="shared" si="12"/>
        <v>2.4213143973354254E-2</v>
      </c>
      <c r="W20" s="10">
        <f t="shared" si="14"/>
        <v>6.5591085215490471E-3</v>
      </c>
      <c r="X20" s="17"/>
      <c r="AC20" s="19" t="s">
        <v>29</v>
      </c>
      <c r="AD20" s="14" t="s">
        <v>30</v>
      </c>
      <c r="AE20" s="14" t="s">
        <v>31</v>
      </c>
      <c r="AF20" s="14" t="s">
        <v>32</v>
      </c>
    </row>
    <row r="21" spans="1:32" ht="15.5" x14ac:dyDescent="0.35">
      <c r="A21" s="18" t="s">
        <v>81</v>
      </c>
      <c r="B21" s="3">
        <v>4400</v>
      </c>
      <c r="C21" s="7">
        <f t="shared" si="0"/>
        <v>73.333479999999994</v>
      </c>
      <c r="D21" s="7">
        <f t="shared" si="1"/>
        <v>1.2222232</v>
      </c>
      <c r="E21" s="5">
        <f t="shared" si="2"/>
        <v>1.2222232E-3</v>
      </c>
      <c r="F21" s="7">
        <f t="shared" si="3"/>
        <v>2.4444463999999999</v>
      </c>
      <c r="G21" s="7">
        <f t="shared" si="4"/>
        <v>5.9753182024729599</v>
      </c>
      <c r="H21" s="7">
        <f t="shared" si="5"/>
        <v>4.7516126901759996</v>
      </c>
      <c r="I21" s="16">
        <v>7.0625725051897232</v>
      </c>
      <c r="J21" s="16">
        <f t="shared" si="6"/>
        <v>70.625725051897234</v>
      </c>
      <c r="K21" s="15">
        <f t="shared" si="7"/>
        <v>7062.5725051897234</v>
      </c>
      <c r="L21" s="5">
        <f t="shared" si="15"/>
        <v>36797.233366347027</v>
      </c>
      <c r="M21" s="4">
        <f t="shared" si="16"/>
        <v>34.034002230253975</v>
      </c>
      <c r="N21" s="4">
        <f t="shared" si="17"/>
        <v>4.4454743315447298E-2</v>
      </c>
      <c r="O21" s="4">
        <f t="shared" si="10"/>
        <v>1.1113685828861825E-2</v>
      </c>
      <c r="P21" s="4">
        <f t="shared" si="11"/>
        <v>1.453441124768561E-2</v>
      </c>
      <c r="Q21" s="4">
        <f>Z$11-0.00088398</f>
        <v>9.1160200000000007E-3</v>
      </c>
      <c r="R21" s="4">
        <f t="shared" si="13"/>
        <v>1.5420557743907657E-2</v>
      </c>
      <c r="T21" s="11">
        <v>1.4</v>
      </c>
      <c r="U21" s="10">
        <f t="shared" si="9"/>
        <v>22777.777777777774</v>
      </c>
      <c r="V21" s="10">
        <f t="shared" si="12"/>
        <v>2.3768677252946641E-2</v>
      </c>
      <c r="W21" s="10">
        <f t="shared" si="14"/>
        <v>6.4387067490002722E-3</v>
      </c>
      <c r="X21" s="17"/>
      <c r="Y21" s="9" t="s">
        <v>33</v>
      </c>
      <c r="Z21" s="9">
        <f>4*10^(-6)</f>
        <v>3.9999999999999998E-6</v>
      </c>
      <c r="AC21" s="19" t="s">
        <v>34</v>
      </c>
      <c r="AD21" s="14" t="s">
        <v>35</v>
      </c>
      <c r="AE21" s="14" t="s">
        <v>36</v>
      </c>
      <c r="AF21" s="14" t="s">
        <v>37</v>
      </c>
    </row>
    <row r="22" spans="1:32" ht="15.5" x14ac:dyDescent="0.35">
      <c r="A22" s="18" t="s">
        <v>46</v>
      </c>
      <c r="B22" s="3">
        <v>4000</v>
      </c>
      <c r="C22" s="7">
        <f t="shared" si="0"/>
        <v>66.666799999999995</v>
      </c>
      <c r="D22" s="7">
        <f t="shared" si="1"/>
        <v>1.1111120000000001</v>
      </c>
      <c r="E22" s="3">
        <f t="shared" si="2"/>
        <v>1.111112E-3</v>
      </c>
      <c r="F22" s="7">
        <f t="shared" si="3"/>
        <v>2.2222240000000002</v>
      </c>
      <c r="G22" s="7">
        <f t="shared" si="4"/>
        <v>4.9382795061760012</v>
      </c>
      <c r="H22" s="7">
        <f t="shared" si="5"/>
        <v>4.3196479001600006</v>
      </c>
      <c r="I22" s="16">
        <v>6.008647763977855</v>
      </c>
      <c r="J22" s="16">
        <f t="shared" si="6"/>
        <v>60.08647763977855</v>
      </c>
      <c r="K22" s="15">
        <f t="shared" si="7"/>
        <v>6008.647763977855</v>
      </c>
      <c r="L22" s="5">
        <f t="shared" si="15"/>
        <v>33702.034981768775</v>
      </c>
      <c r="M22" s="4">
        <f t="shared" si="16"/>
        <v>29.171616295679431</v>
      </c>
      <c r="N22" s="4">
        <f t="shared" si="17"/>
        <v>4.6105310035377531E-2</v>
      </c>
      <c r="O22" s="4">
        <f t="shared" si="10"/>
        <v>1.1526327508844383E-2</v>
      </c>
      <c r="P22" s="4">
        <f t="shared" si="11"/>
        <v>1.6078810223610188E-2</v>
      </c>
      <c r="Q22" s="4">
        <f>Z$11-0.00080332</f>
        <v>9.1966800000000005E-3</v>
      </c>
      <c r="R22" s="4">
        <f t="shared" si="13"/>
        <v>1.5535803697099232E-2</v>
      </c>
      <c r="T22" s="11">
        <v>1.5</v>
      </c>
      <c r="U22" s="10">
        <f t="shared" si="9"/>
        <v>24404.761904761905</v>
      </c>
      <c r="V22" s="10">
        <f t="shared" si="12"/>
        <v>2.3362225291761372E-2</v>
      </c>
      <c r="W22" s="10">
        <f t="shared" si="14"/>
        <v>6.3286028101997415E-3</v>
      </c>
      <c r="X22" s="17"/>
      <c r="Y22" s="9" t="s">
        <v>38</v>
      </c>
      <c r="Z22" s="3">
        <f>Z21/Z12</f>
        <v>2.3999999999999998E-4</v>
      </c>
      <c r="AC22" s="14">
        <v>0</v>
      </c>
      <c r="AD22" s="14">
        <v>1.792E-3</v>
      </c>
      <c r="AE22" s="14">
        <v>999.87</v>
      </c>
      <c r="AF22" s="13">
        <v>1.7922329902887374E-6</v>
      </c>
    </row>
    <row r="23" spans="1:32" ht="15.5" x14ac:dyDescent="0.35">
      <c r="A23" s="18" t="s">
        <v>80</v>
      </c>
      <c r="B23" s="3">
        <v>3600</v>
      </c>
      <c r="C23" s="7">
        <f t="shared" si="0"/>
        <v>60.000119999999995</v>
      </c>
      <c r="D23" s="7">
        <f t="shared" si="1"/>
        <v>1.0000008</v>
      </c>
      <c r="E23" s="5">
        <f t="shared" si="2"/>
        <v>1.0000008000000001E-3</v>
      </c>
      <c r="F23" s="7">
        <f t="shared" si="3"/>
        <v>2.0000016</v>
      </c>
      <c r="G23" s="7">
        <f t="shared" si="4"/>
        <v>4.0000064000025599</v>
      </c>
      <c r="H23" s="7">
        <f t="shared" si="5"/>
        <v>3.8876831101440001</v>
      </c>
      <c r="I23" s="16">
        <v>4.9577984643859745</v>
      </c>
      <c r="J23" s="16">
        <f t="shared" si="6"/>
        <v>49.577984643859743</v>
      </c>
      <c r="K23" s="15">
        <f t="shared" si="7"/>
        <v>4957.7984643859745</v>
      </c>
      <c r="L23" s="5">
        <f t="shared" si="15"/>
        <v>30538.635690142622</v>
      </c>
      <c r="M23" s="4">
        <f t="shared" si="16"/>
        <v>24.233916769190269</v>
      </c>
      <c r="N23" s="4">
        <f t="shared" si="17"/>
        <v>4.7285615599941405E-2</v>
      </c>
      <c r="O23" s="4">
        <f t="shared" si="10"/>
        <v>1.1821403899985351E-2</v>
      </c>
      <c r="P23" s="3">
        <f t="shared" si="11"/>
        <v>1.7173116588429019E-2</v>
      </c>
      <c r="Q23" s="4">
        <f>Z$11-0.00072899</f>
        <v>9.2710099999999997E-3</v>
      </c>
      <c r="R23" s="4">
        <f t="shared" si="13"/>
        <v>1.5641727718154291E-2</v>
      </c>
      <c r="T23" s="11">
        <v>1.6</v>
      </c>
      <c r="U23" s="10">
        <f t="shared" si="9"/>
        <v>26031.746031746032</v>
      </c>
      <c r="V23" s="10">
        <f t="shared" si="12"/>
        <v>2.2988309035981189E-2</v>
      </c>
      <c r="W23" s="10">
        <f t="shared" si="14"/>
        <v>6.2273124820072341E-3</v>
      </c>
      <c r="X23" s="17"/>
      <c r="AC23" s="14">
        <v>5</v>
      </c>
      <c r="AD23" s="14">
        <v>1.519E-3</v>
      </c>
      <c r="AE23" s="14">
        <v>999.99</v>
      </c>
      <c r="AF23" s="13">
        <v>1.5190151901519014E-6</v>
      </c>
    </row>
    <row r="24" spans="1:32" ht="15.5" x14ac:dyDescent="0.35">
      <c r="A24" s="3" t="s">
        <v>47</v>
      </c>
      <c r="B24" s="3">
        <v>3300</v>
      </c>
      <c r="C24" s="7">
        <f t="shared" si="0"/>
        <v>55.000109999999999</v>
      </c>
      <c r="D24" s="7">
        <f t="shared" si="1"/>
        <v>0.91666740000000002</v>
      </c>
      <c r="E24" s="5">
        <f t="shared" si="2"/>
        <v>9.1666740000000005E-4</v>
      </c>
      <c r="F24" s="5">
        <f t="shared" si="3"/>
        <v>1.8333348</v>
      </c>
      <c r="G24" s="7">
        <f t="shared" si="4"/>
        <v>3.3611164888910401</v>
      </c>
      <c r="H24" s="7">
        <f t="shared" si="5"/>
        <v>3.5637095176320002</v>
      </c>
      <c r="I24" s="7">
        <v>4.1246598268873242</v>
      </c>
      <c r="J24" s="16">
        <f t="shared" si="6"/>
        <v>41.246598268873242</v>
      </c>
      <c r="K24" s="15">
        <f t="shared" si="7"/>
        <v>4124.659826887324</v>
      </c>
      <c r="L24" s="5">
        <f t="shared" si="15"/>
        <v>27686.494361046414</v>
      </c>
      <c r="M24" s="4">
        <f t="shared" si="16"/>
        <v>19.940212361067601</v>
      </c>
      <c r="N24" s="4">
        <f t="shared" si="17"/>
        <v>4.6303341838731214E-2</v>
      </c>
      <c r="O24" s="4">
        <f t="shared" si="10"/>
        <v>1.1575835459682804E-2</v>
      </c>
      <c r="P24" s="5">
        <f>3.7*(10^(-1/(2*SQRT(N24)))-2.51/(L24*SQRT(N24)))</f>
        <v>1.6003749011323763E-2</v>
      </c>
      <c r="Q24" s="4">
        <f>Z$11-0.00084937</f>
        <v>9.1506299999999999E-3</v>
      </c>
      <c r="R24" s="4">
        <f t="shared" si="13"/>
        <v>1.5470046557407757E-2</v>
      </c>
      <c r="T24" s="11">
        <v>1.7</v>
      </c>
      <c r="U24" s="10">
        <f t="shared" si="9"/>
        <v>27658.730158730159</v>
      </c>
      <c r="V24" s="10">
        <f t="shared" si="12"/>
        <v>2.2642521673298031E-2</v>
      </c>
      <c r="W24" s="10">
        <f t="shared" si="14"/>
        <v>6.1336420012255977E-3</v>
      </c>
      <c r="X24" s="17"/>
      <c r="Y24" s="8"/>
      <c r="AC24" s="14">
        <f>AC23+5</f>
        <v>10</v>
      </c>
      <c r="AD24" s="14">
        <v>1.3079999999999999E-3</v>
      </c>
      <c r="AE24" s="14">
        <v>999.73</v>
      </c>
      <c r="AF24" s="13">
        <v>1.3083532553789522E-6</v>
      </c>
    </row>
    <row r="25" spans="1:32" ht="15.5" x14ac:dyDescent="0.35">
      <c r="A25" s="3" t="s">
        <v>79</v>
      </c>
      <c r="B25" s="3">
        <v>2900</v>
      </c>
      <c r="C25" s="7">
        <f t="shared" si="0"/>
        <v>48.33343</v>
      </c>
      <c r="D25" s="7">
        <f t="shared" si="1"/>
        <v>0.80555620000000006</v>
      </c>
      <c r="E25" s="5">
        <f t="shared" si="2"/>
        <v>8.0555620000000009E-4</v>
      </c>
      <c r="F25" s="5">
        <f t="shared" si="3"/>
        <v>1.6111124000000001</v>
      </c>
      <c r="G25" s="7">
        <f t="shared" si="4"/>
        <v>2.5956831654337602</v>
      </c>
      <c r="H25" s="7">
        <f t="shared" si="5"/>
        <v>3.1317447276160002</v>
      </c>
      <c r="I25" s="7">
        <v>3.2477643235505487</v>
      </c>
      <c r="J25" s="16">
        <f t="shared" si="6"/>
        <v>32.477643235505489</v>
      </c>
      <c r="K25" s="15">
        <f t="shared" si="7"/>
        <v>3247.7643235505489</v>
      </c>
      <c r="L25" s="5">
        <f t="shared" si="15"/>
        <v>24351.589501617567</v>
      </c>
      <c r="M25" s="4">
        <f t="shared" si="16"/>
        <v>15.71453143737843</v>
      </c>
      <c r="N25" s="4">
        <f t="shared" si="17"/>
        <v>4.7251530192811475E-2</v>
      </c>
      <c r="O25" s="4">
        <f t="shared" si="10"/>
        <v>1.1812882548202869E-2</v>
      </c>
      <c r="P25" s="4">
        <f t="shared" si="11"/>
        <v>1.6781741789985108E-2</v>
      </c>
      <c r="Q25" s="4">
        <f>Z$11-0.00084001</f>
        <v>9.1599899999999998E-3</v>
      </c>
      <c r="R25" s="4">
        <f t="shared" si="13"/>
        <v>1.5483420467109613E-2</v>
      </c>
      <c r="T25" s="11">
        <v>1.8</v>
      </c>
      <c r="U25" s="10">
        <f t="shared" si="9"/>
        <v>29285.714285714286</v>
      </c>
      <c r="V25" s="10">
        <f t="shared" si="12"/>
        <v>2.2321269764867958E-2</v>
      </c>
      <c r="W25" s="10">
        <f t="shared" si="14"/>
        <v>6.0466179397296429E-3</v>
      </c>
      <c r="X25" s="4"/>
      <c r="Y25" s="8"/>
      <c r="AC25" s="14" t="e">
        <f>#REF!+5</f>
        <v>#REF!</v>
      </c>
      <c r="AD25" s="14">
        <v>1.005E-3</v>
      </c>
      <c r="AE25" s="14">
        <v>998.23</v>
      </c>
      <c r="AF25" s="13">
        <v>1.0067820041473407E-6</v>
      </c>
    </row>
    <row r="26" spans="1:32" ht="15.5" x14ac:dyDescent="0.35">
      <c r="A26" s="3" t="s">
        <v>48</v>
      </c>
      <c r="B26" s="3">
        <v>2450</v>
      </c>
      <c r="C26" s="7">
        <f t="shared" si="0"/>
        <v>40.833415000000002</v>
      </c>
      <c r="D26" s="7">
        <f t="shared" si="1"/>
        <v>0.6805561</v>
      </c>
      <c r="E26" s="5">
        <f t="shared" si="2"/>
        <v>6.8055610000000006E-4</v>
      </c>
      <c r="F26" s="5">
        <f t="shared" si="3"/>
        <v>1.3611122</v>
      </c>
      <c r="G26" s="7">
        <f t="shared" si="4"/>
        <v>1.8526264209888399</v>
      </c>
      <c r="H26" s="7">
        <f t="shared" si="5"/>
        <v>2.6457843388479998</v>
      </c>
      <c r="I26" s="7">
        <v>2.4217634085091388</v>
      </c>
      <c r="J26" s="16">
        <f t="shared" si="6"/>
        <v>24.21763408509139</v>
      </c>
      <c r="K26" s="15">
        <f t="shared" si="7"/>
        <v>2421.763408509139</v>
      </c>
      <c r="L26" s="5">
        <f t="shared" si="15"/>
        <v>20772.249826407402</v>
      </c>
      <c r="M26" s="4">
        <f t="shared" si="16"/>
        <v>11.831417474187463</v>
      </c>
      <c r="N26" s="4">
        <f t="shared" si="17"/>
        <v>4.9844247865662862E-2</v>
      </c>
      <c r="O26" s="4">
        <f t="shared" si="10"/>
        <v>1.2461061966415716E-2</v>
      </c>
      <c r="P26" s="4">
        <f t="shared" si="11"/>
        <v>1.9310360915132684E-2</v>
      </c>
      <c r="Q26" s="4">
        <f>Z$11-0.0007348</f>
        <v>9.2651999999999995E-3</v>
      </c>
      <c r="R26" s="4">
        <f t="shared" si="13"/>
        <v>1.5633457745860977E-2</v>
      </c>
      <c r="T26" s="11">
        <v>1.9</v>
      </c>
      <c r="U26" s="10">
        <f t="shared" si="9"/>
        <v>30912.69841269841</v>
      </c>
      <c r="V26" s="10">
        <f t="shared" si="12"/>
        <v>2.202158744356239E-2</v>
      </c>
      <c r="W26" s="10">
        <f t="shared" si="14"/>
        <v>5.9654368725540596E-3</v>
      </c>
      <c r="X26" s="4"/>
      <c r="Y26" s="8"/>
      <c r="AC26" s="14">
        <v>25</v>
      </c>
      <c r="AD26" s="14">
        <v>8.9400000000000005E-4</v>
      </c>
      <c r="AE26" s="14">
        <v>997.07</v>
      </c>
      <c r="AF26" s="13">
        <v>8.9662711745414066E-7</v>
      </c>
    </row>
    <row r="27" spans="1:32" ht="15.5" x14ac:dyDescent="0.35">
      <c r="A27" s="3" t="s">
        <v>78</v>
      </c>
      <c r="B27" s="3">
        <v>2050</v>
      </c>
      <c r="C27" s="3">
        <f t="shared" si="0"/>
        <v>34.166734999999996</v>
      </c>
      <c r="D27" s="3">
        <f t="shared" si="1"/>
        <v>0.56944490000000003</v>
      </c>
      <c r="E27" s="3">
        <f t="shared" si="2"/>
        <v>5.6944490000000009E-4</v>
      </c>
      <c r="F27" s="3">
        <f t="shared" si="3"/>
        <v>1.1388898000000001</v>
      </c>
      <c r="G27" s="3">
        <f t="shared" si="4"/>
        <v>1.2970699765440401</v>
      </c>
      <c r="H27" s="3">
        <f t="shared" si="5"/>
        <v>2.2138195488320003</v>
      </c>
      <c r="I27" s="3">
        <v>1.7652743792681576</v>
      </c>
      <c r="J27" s="3">
        <f t="shared" si="6"/>
        <v>17.652743792681576</v>
      </c>
      <c r="K27" s="3">
        <f t="shared" si="7"/>
        <v>1765.2743792681576</v>
      </c>
      <c r="L27" s="5">
        <f t="shared" si="15"/>
        <v>17309.112901471584</v>
      </c>
      <c r="M27" s="4">
        <f t="shared" si="16"/>
        <v>8.588568438045364</v>
      </c>
      <c r="N27" s="4">
        <f t="shared" si="17"/>
        <v>5.168011786931774E-2</v>
      </c>
      <c r="O27" s="4">
        <f t="shared" si="10"/>
        <v>1.2920029467329435E-2</v>
      </c>
      <c r="P27" s="4">
        <f t="shared" si="11"/>
        <v>2.1016450646726491E-2</v>
      </c>
      <c r="Q27" s="4">
        <f>Z$11-0.0007801</f>
        <v>9.2198999999999996E-3</v>
      </c>
      <c r="R27" s="4">
        <f t="shared" si="13"/>
        <v>1.5568921933336597E-2</v>
      </c>
      <c r="T27" s="11">
        <v>2</v>
      </c>
      <c r="U27" s="10">
        <f t="shared" si="9"/>
        <v>32539.682539682541</v>
      </c>
      <c r="V27" s="10">
        <f t="shared" si="12"/>
        <v>2.1741000375951093E-2</v>
      </c>
      <c r="W27" s="10">
        <f t="shared" si="14"/>
        <v>5.8894285264990808E-3</v>
      </c>
      <c r="X27" s="4"/>
      <c r="Y27" s="8"/>
      <c r="AC27" s="12"/>
      <c r="AD27" s="12"/>
      <c r="AE27" s="12"/>
      <c r="AF27" s="12"/>
    </row>
    <row r="28" spans="1:32" ht="15.5" x14ac:dyDescent="0.35">
      <c r="A28" s="3" t="s">
        <v>49</v>
      </c>
      <c r="B28" s="3">
        <v>1650</v>
      </c>
      <c r="C28" s="3">
        <f t="shared" si="0"/>
        <v>27.500055</v>
      </c>
      <c r="D28" s="3">
        <f t="shared" si="1"/>
        <v>0.45833370000000001</v>
      </c>
      <c r="E28" s="3">
        <f t="shared" si="2"/>
        <v>4.5833370000000003E-4</v>
      </c>
      <c r="F28" s="3">
        <f t="shared" si="3"/>
        <v>0.91666740000000002</v>
      </c>
      <c r="G28" s="3">
        <f t="shared" si="4"/>
        <v>0.84027912222276002</v>
      </c>
      <c r="H28" s="3">
        <f t="shared" si="5"/>
        <v>1.7818547588160001</v>
      </c>
      <c r="I28" s="3">
        <v>1.1136262350226636</v>
      </c>
      <c r="J28" s="3">
        <f t="shared" si="6"/>
        <v>11.136262350226636</v>
      </c>
      <c r="K28" s="9">
        <f t="shared" si="7"/>
        <v>1113.6262350226636</v>
      </c>
      <c r="L28" s="5">
        <f t="shared" si="15"/>
        <v>13977.05233304158</v>
      </c>
      <c r="M28" s="4">
        <f t="shared" si="16"/>
        <v>5.4357404766884914</v>
      </c>
      <c r="N28" s="4">
        <f t="shared" si="17"/>
        <v>5.0489522354366601E-2</v>
      </c>
      <c r="O28" s="4">
        <f t="shared" si="10"/>
        <v>1.262238058859165E-2</v>
      </c>
      <c r="P28" s="4">
        <f t="shared" si="11"/>
        <v>1.9072214618880392E-2</v>
      </c>
      <c r="Q28" s="4">
        <f>Z$11-0.00074455</f>
        <v>9.2554500000000001E-3</v>
      </c>
      <c r="R28" s="4">
        <f t="shared" si="13"/>
        <v>1.5619575920864664E-2</v>
      </c>
      <c r="T28" s="11">
        <v>2.1</v>
      </c>
      <c r="U28" s="10">
        <f t="shared" si="9"/>
        <v>34166.666666666672</v>
      </c>
      <c r="V28" s="10">
        <f t="shared" si="12"/>
        <v>2.147742438891832E-2</v>
      </c>
      <c r="W28" s="10">
        <f t="shared" si="14"/>
        <v>5.8180283190528738E-3</v>
      </c>
      <c r="X28" s="4"/>
      <c r="Y28" s="8"/>
    </row>
    <row r="29" spans="1:32" ht="15.5" x14ac:dyDescent="0.35">
      <c r="G29" s="7"/>
      <c r="X29" s="4"/>
      <c r="Y29" s="8"/>
      <c r="Z29" s="9" t="s">
        <v>39</v>
      </c>
    </row>
    <row r="30" spans="1:32" x14ac:dyDescent="0.35">
      <c r="G30" s="7"/>
      <c r="R30" s="4">
        <f>AVERAGE(R8, R10:R28)</f>
        <v>1.5472640457492992E-2</v>
      </c>
      <c r="X30" s="4"/>
      <c r="Y30" s="8"/>
    </row>
    <row r="31" spans="1:32" x14ac:dyDescent="0.35">
      <c r="G31" s="7"/>
      <c r="X31" s="4"/>
      <c r="Y31" s="8"/>
    </row>
    <row r="32" spans="1:32" x14ac:dyDescent="0.35">
      <c r="G32" s="7"/>
      <c r="X32" s="4"/>
    </row>
    <row r="33" spans="7:24" x14ac:dyDescent="0.35">
      <c r="G33" s="7"/>
      <c r="X33" s="4"/>
    </row>
    <row r="34" spans="7:24" x14ac:dyDescent="0.35">
      <c r="X34" s="4"/>
    </row>
    <row r="35" spans="7:24" ht="15.5" x14ac:dyDescent="0.35">
      <c r="T35" s="4"/>
      <c r="U35" s="6"/>
      <c r="V35" s="6"/>
      <c r="W35" s="4"/>
      <c r="X35" s="4"/>
    </row>
    <row r="36" spans="7:24" ht="15.5" x14ac:dyDescent="0.35">
      <c r="T36" s="4"/>
      <c r="U36" s="6"/>
      <c r="V36" s="6"/>
      <c r="W36" s="4"/>
      <c r="X36" s="4"/>
    </row>
    <row r="37" spans="7:24" ht="15.5" x14ac:dyDescent="0.35">
      <c r="T37" s="4"/>
      <c r="U37" s="6"/>
      <c r="V37" s="6"/>
      <c r="W37" s="4"/>
      <c r="X37" s="4"/>
    </row>
    <row r="38" spans="7:24" ht="15.5" x14ac:dyDescent="0.35">
      <c r="T38" s="4"/>
      <c r="U38" s="6"/>
      <c r="V38" s="6"/>
      <c r="W38" s="4"/>
      <c r="X38" s="4"/>
    </row>
    <row r="39" spans="7:24" ht="15.5" x14ac:dyDescent="0.35">
      <c r="T39" s="4"/>
      <c r="U39" s="6"/>
      <c r="V39" s="6"/>
      <c r="W39" s="4"/>
      <c r="X39" s="4"/>
    </row>
    <row r="40" spans="7:24" ht="15.5" x14ac:dyDescent="0.35">
      <c r="T40" s="4"/>
      <c r="U40" s="6"/>
      <c r="V40" s="6"/>
    </row>
    <row r="41" spans="7:24" ht="15.5" x14ac:dyDescent="0.35">
      <c r="T41" s="4"/>
      <c r="U41" s="6"/>
      <c r="V41" s="6"/>
    </row>
    <row r="42" spans="7:24" ht="15.5" x14ac:dyDescent="0.35">
      <c r="T42" s="4"/>
      <c r="U42" s="6"/>
      <c r="V42" s="6"/>
    </row>
    <row r="43" spans="7:24" ht="15.5" x14ac:dyDescent="0.35">
      <c r="T43" s="4"/>
      <c r="U43" s="6"/>
      <c r="V43" s="6"/>
    </row>
    <row r="44" spans="7:24" ht="15.5" x14ac:dyDescent="0.35">
      <c r="T44" s="4"/>
      <c r="U44" s="6"/>
      <c r="V44" s="6"/>
    </row>
    <row r="45" spans="7:24" ht="15.5" x14ac:dyDescent="0.35">
      <c r="T45" s="4"/>
      <c r="U45" s="6"/>
      <c r="V45" s="6"/>
    </row>
    <row r="46" spans="7:24" ht="15.5" x14ac:dyDescent="0.35">
      <c r="T46" s="4"/>
      <c r="U46" s="6"/>
      <c r="V46" s="6"/>
    </row>
    <row r="47" spans="7:24" ht="15.5" x14ac:dyDescent="0.35">
      <c r="T47" s="4"/>
      <c r="U47" s="6"/>
      <c r="V47" s="6"/>
    </row>
    <row r="48" spans="7:24" ht="15.5" x14ac:dyDescent="0.35">
      <c r="T48" s="4"/>
      <c r="U48" s="6"/>
      <c r="V48" s="6"/>
    </row>
    <row r="49" spans="2:22" ht="15.5" x14ac:dyDescent="0.35">
      <c r="T49" s="4"/>
      <c r="U49" s="6"/>
      <c r="V49" s="6"/>
    </row>
    <row r="50" spans="2:22" x14ac:dyDescent="0.35">
      <c r="T50" s="4"/>
    </row>
    <row r="60" spans="2:22" x14ac:dyDescent="0.35">
      <c r="B60" s="3">
        <v>0</v>
      </c>
    </row>
  </sheetData>
  <mergeCells count="2">
    <mergeCell ref="A4:N4"/>
    <mergeCell ref="Y6:Z6"/>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42D9E-A74B-461A-B298-00283B4A715E}">
  <dimension ref="A1:AF50"/>
  <sheetViews>
    <sheetView zoomScale="69" zoomScaleNormal="69" workbookViewId="0"/>
  </sheetViews>
  <sheetFormatPr defaultColWidth="8.69140625" defaultRowHeight="14.5" x14ac:dyDescent="0.35"/>
  <cols>
    <col min="1" max="1" width="8.69140625" style="3"/>
    <col min="2" max="2" width="11" style="3" customWidth="1"/>
    <col min="3" max="4" width="8.69140625" style="3"/>
    <col min="5" max="5" width="12.3046875" style="3" customWidth="1"/>
    <col min="6" max="6" width="15.69140625" style="3" bestFit="1" customWidth="1"/>
    <col min="7" max="7" width="8.53515625" style="3" customWidth="1"/>
    <col min="8" max="8" width="8.69140625" style="3"/>
    <col min="9" max="9" width="15.69140625" style="3" bestFit="1" customWidth="1"/>
    <col min="10" max="10" width="12.23046875" style="3" customWidth="1"/>
    <col min="11" max="11" width="10.4609375" style="3" customWidth="1"/>
    <col min="12" max="12" width="8.53515625" style="5" customWidth="1"/>
    <col min="13" max="13" width="6.765625" style="4" customWidth="1"/>
    <col min="14" max="14" width="8.4609375" style="4" customWidth="1"/>
    <col min="15" max="15" width="9.07421875" style="4" customWidth="1"/>
    <col min="16" max="18" width="27.23046875" style="4" customWidth="1"/>
    <col min="19" max="19" width="8.4609375" style="4" customWidth="1"/>
    <col min="20" max="20" width="10.23046875" style="3" customWidth="1"/>
    <col min="21" max="21" width="13.84375" style="3" customWidth="1"/>
    <col min="22" max="24" width="10" style="3" customWidth="1"/>
    <col min="25" max="25" width="24.69140625" style="3" customWidth="1"/>
    <col min="26" max="27" width="8.69140625" style="3"/>
    <col min="28" max="28" width="22" style="3" customWidth="1"/>
    <col min="29" max="29" width="35.84375" style="3" customWidth="1"/>
    <col min="30" max="30" width="16.84375" style="3" customWidth="1"/>
    <col min="31" max="16384" width="8.69140625" style="3"/>
  </cols>
  <sheetData>
    <row r="1" spans="1:30" x14ac:dyDescent="0.35">
      <c r="A1" s="48" t="s">
        <v>106</v>
      </c>
    </row>
    <row r="2" spans="1:30" ht="15.5" x14ac:dyDescent="0.35">
      <c r="A2" s="9"/>
      <c r="I2" s="9"/>
      <c r="J2" s="9"/>
    </row>
    <row r="3" spans="1:30" ht="15.5" x14ac:dyDescent="0.35">
      <c r="A3" s="9"/>
      <c r="I3" s="9"/>
      <c r="J3" s="9"/>
    </row>
    <row r="4" spans="1:30" x14ac:dyDescent="0.35">
      <c r="A4" s="51" t="s">
        <v>3</v>
      </c>
      <c r="B4" s="51"/>
      <c r="C4" s="51"/>
      <c r="D4" s="51"/>
      <c r="E4" s="51"/>
      <c r="F4" s="51"/>
      <c r="G4" s="51"/>
      <c r="H4" s="51"/>
      <c r="I4" s="51"/>
      <c r="J4" s="51"/>
      <c r="K4" s="51"/>
      <c r="L4" s="51"/>
      <c r="M4" s="51"/>
      <c r="N4" s="51"/>
      <c r="O4" s="32"/>
      <c r="P4" s="32"/>
      <c r="Q4" s="39"/>
      <c r="R4" s="39"/>
      <c r="S4" s="33"/>
    </row>
    <row r="6" spans="1:30" ht="15.5" x14ac:dyDescent="0.35">
      <c r="A6" s="29"/>
      <c r="B6" s="27" t="s">
        <v>4</v>
      </c>
      <c r="C6" s="27" t="s">
        <v>5</v>
      </c>
      <c r="D6" s="28" t="s">
        <v>6</v>
      </c>
      <c r="E6" s="28" t="s">
        <v>93</v>
      </c>
      <c r="F6" s="28" t="s">
        <v>7</v>
      </c>
      <c r="G6" s="28" t="s">
        <v>92</v>
      </c>
      <c r="H6" s="28" t="s">
        <v>8</v>
      </c>
      <c r="I6" s="27" t="s">
        <v>91</v>
      </c>
      <c r="J6" s="27" t="s">
        <v>90</v>
      </c>
      <c r="K6" s="27" t="s">
        <v>9</v>
      </c>
      <c r="L6" s="26" t="s">
        <v>10</v>
      </c>
      <c r="M6" s="25" t="s">
        <v>89</v>
      </c>
      <c r="N6" s="24" t="s">
        <v>11</v>
      </c>
      <c r="O6" s="11" t="s">
        <v>88</v>
      </c>
      <c r="P6" s="11" t="s">
        <v>12</v>
      </c>
      <c r="Q6" s="11" t="s">
        <v>98</v>
      </c>
      <c r="R6" s="11" t="s">
        <v>97</v>
      </c>
      <c r="S6" s="11"/>
      <c r="T6" s="23" t="s">
        <v>13</v>
      </c>
      <c r="U6" s="6" t="s">
        <v>10</v>
      </c>
      <c r="V6" s="23" t="s">
        <v>14</v>
      </c>
      <c r="W6" s="6" t="s">
        <v>15</v>
      </c>
      <c r="X6" s="9"/>
      <c r="Y6" s="52" t="s">
        <v>16</v>
      </c>
      <c r="Z6" s="52"/>
    </row>
    <row r="7" spans="1:30" ht="15.5" x14ac:dyDescent="0.35">
      <c r="A7" s="22" t="s">
        <v>17</v>
      </c>
      <c r="C7" s="7">
        <f t="shared" ref="C7:C28" si="0">B7*0.0166667</f>
        <v>0</v>
      </c>
      <c r="D7" s="7">
        <f t="shared" ref="D7:D28" si="1">B7*0.000277778</f>
        <v>0</v>
      </c>
      <c r="E7" s="5">
        <f t="shared" ref="E7:E28" si="2">0.001*D7</f>
        <v>0</v>
      </c>
      <c r="F7" s="7">
        <f t="shared" ref="F7:F28" si="3">E7/Z$8</f>
        <v>0</v>
      </c>
      <c r="G7" s="7">
        <f t="shared" ref="G7:G28" si="4">F7^(2)</f>
        <v>0</v>
      </c>
      <c r="H7" s="7">
        <f t="shared" ref="H7:H28" si="5">F7*1.94384</f>
        <v>0</v>
      </c>
      <c r="I7" s="16"/>
      <c r="J7" s="16">
        <f t="shared" ref="J7:J28" si="6">I7 * 10</f>
        <v>0</v>
      </c>
      <c r="K7" s="15">
        <f t="shared" ref="K7:K28" si="7">J7*100</f>
        <v>0</v>
      </c>
      <c r="L7" s="5">
        <f>(F7*Z$12)/Z$13</f>
        <v>0</v>
      </c>
      <c r="T7" s="11">
        <v>0</v>
      </c>
      <c r="U7" s="10">
        <f t="shared" ref="U7:U28" si="8">(T7*Z$12)/Z$13</f>
        <v>0</v>
      </c>
      <c r="V7" s="10"/>
      <c r="W7" s="10"/>
    </row>
    <row r="8" spans="1:30" ht="15.5" x14ac:dyDescent="0.35">
      <c r="A8" s="3" t="s">
        <v>40</v>
      </c>
      <c r="B8" s="3">
        <v>1700</v>
      </c>
      <c r="C8" s="7">
        <f t="shared" si="0"/>
        <v>28.333389999999998</v>
      </c>
      <c r="D8" s="7">
        <f t="shared" si="1"/>
        <v>0.47222259999999999</v>
      </c>
      <c r="E8" s="5">
        <f t="shared" si="2"/>
        <v>4.7222259999999999E-4</v>
      </c>
      <c r="F8" s="7">
        <f t="shared" si="3"/>
        <v>0.94444519999999998</v>
      </c>
      <c r="G8" s="7">
        <f t="shared" si="4"/>
        <v>0.89197673580303993</v>
      </c>
      <c r="H8" s="7">
        <f t="shared" si="5"/>
        <v>1.8358503575680001</v>
      </c>
      <c r="I8" s="3">
        <v>1.0809427020821969</v>
      </c>
      <c r="J8" s="16">
        <f t="shared" si="6"/>
        <v>10.809427020821969</v>
      </c>
      <c r="K8" s="15">
        <f t="shared" si="7"/>
        <v>1080.942702082197</v>
      </c>
      <c r="L8" s="5">
        <f>(F8*R8)/Z$13</f>
        <v>14235.074615581883</v>
      </c>
      <c r="M8" s="4">
        <f t="shared" ref="M8:M28" si="9">(Z$16*G8*N8)/8</f>
        <v>5.2155620105657396</v>
      </c>
      <c r="N8" s="4">
        <f>(K8*2*R8)/(Z$14*Z$16*G8)</f>
        <v>4.5636644784989737E-2</v>
      </c>
      <c r="O8" s="4">
        <f t="shared" ref="O8:O28" si="10">N8/4</f>
        <v>1.1409161196247434E-2</v>
      </c>
      <c r="P8" s="4">
        <f t="shared" ref="P8:P28" si="11">3.7*(10^(-1/(2*SQRT(N8)))-2.51/(L8*SQRT(N8)))</f>
        <v>1.3837930544144962E-2</v>
      </c>
      <c r="Q8" s="4">
        <f>Z$11-0.00087036</f>
        <v>9.1296399999999996E-3</v>
      </c>
      <c r="R8" s="4">
        <f>2*(Q8*Z$10)/(Q8+Z$10)</f>
        <v>1.5440039885241987E-2</v>
      </c>
      <c r="T8" s="11">
        <v>0.1</v>
      </c>
      <c r="U8" s="10">
        <f t="shared" si="8"/>
        <v>1626.984126984127</v>
      </c>
      <c r="V8" s="10">
        <f t="shared" ref="V8:V28" si="12">0.292/(U8^(0.25))</f>
        <v>4.5976618071962377E-2</v>
      </c>
      <c r="W8" s="10">
        <f>0.0791/(U8^0.25)</f>
        <v>1.2454624964014468E-2</v>
      </c>
      <c r="X8" s="17"/>
      <c r="Y8" s="9" t="s">
        <v>18</v>
      </c>
      <c r="Z8" s="3">
        <f>Z$10*Z$11</f>
        <v>5.0000000000000001E-4</v>
      </c>
    </row>
    <row r="9" spans="1:30" ht="15.5" x14ac:dyDescent="0.35">
      <c r="A9" s="3" t="s">
        <v>87</v>
      </c>
      <c r="B9" s="3">
        <v>2100</v>
      </c>
      <c r="C9" s="7">
        <f t="shared" si="0"/>
        <v>35.000070000000001</v>
      </c>
      <c r="D9" s="7">
        <f t="shared" si="1"/>
        <v>0.58333380000000001</v>
      </c>
      <c r="E9" s="5">
        <f t="shared" si="2"/>
        <v>5.8333380000000006E-4</v>
      </c>
      <c r="F9" s="7">
        <f t="shared" si="3"/>
        <v>1.1666676</v>
      </c>
      <c r="G9" s="7">
        <f t="shared" si="4"/>
        <v>1.3611132888897601</v>
      </c>
      <c r="H9" s="7">
        <f t="shared" si="5"/>
        <v>2.2678151475840003</v>
      </c>
      <c r="I9" s="3">
        <v>1.6724947021987233</v>
      </c>
      <c r="J9" s="16">
        <f t="shared" si="6"/>
        <v>16.724947021987234</v>
      </c>
      <c r="K9" s="15">
        <f t="shared" si="7"/>
        <v>1672.4947021987234</v>
      </c>
      <c r="L9" s="5">
        <f t="shared" ref="L9:L28" si="13">(F9*R9)/Z$13</f>
        <v>17784.19117252437</v>
      </c>
      <c r="M9" s="4">
        <f t="shared" si="9"/>
        <v>8.1614474242087311</v>
      </c>
      <c r="N9" s="4">
        <f t="shared" ref="N9:N28" si="14">(K9*2*R9)/(Z$14*Z$16*G9)</f>
        <v>4.6799265253990127E-2</v>
      </c>
      <c r="O9" s="4">
        <f t="shared" si="10"/>
        <v>1.1699816313497532E-2</v>
      </c>
      <c r="P9" s="4">
        <f t="shared" si="11"/>
        <v>1.5655029549229742E-2</v>
      </c>
      <c r="Q9" s="4">
        <f>Z$11-0.0007475</f>
        <v>9.2525000000000003E-3</v>
      </c>
      <c r="R9" s="4">
        <f t="shared" ref="R9:R28" si="15">2*(Q9*Z$10)/(Q9+Z$10)</f>
        <v>1.5615374878697103E-2</v>
      </c>
      <c r="T9" s="11">
        <v>0.2</v>
      </c>
      <c r="U9" s="10">
        <f t="shared" si="8"/>
        <v>3253.968253968254</v>
      </c>
      <c r="V9" s="10">
        <f t="shared" si="12"/>
        <v>3.8661573322202318E-2</v>
      </c>
      <c r="W9" s="10">
        <f t="shared" ref="W9:W28" si="16">0.0791/(U9^0.25)</f>
        <v>1.0473049485569191E-2</v>
      </c>
      <c r="X9" s="17"/>
      <c r="Y9" s="3" t="s">
        <v>19</v>
      </c>
    </row>
    <row r="10" spans="1:30" ht="15.5" x14ac:dyDescent="0.35">
      <c r="A10" s="3" t="s">
        <v>41</v>
      </c>
      <c r="B10" s="3">
        <v>2450</v>
      </c>
      <c r="C10" s="7">
        <f t="shared" si="0"/>
        <v>40.833415000000002</v>
      </c>
      <c r="D10" s="7">
        <f t="shared" si="1"/>
        <v>0.6805561</v>
      </c>
      <c r="E10" s="5">
        <f t="shared" si="2"/>
        <v>6.8055610000000006E-4</v>
      </c>
      <c r="F10" s="7">
        <f t="shared" si="3"/>
        <v>1.3611122</v>
      </c>
      <c r="G10" s="7">
        <f t="shared" si="4"/>
        <v>1.8526264209888399</v>
      </c>
      <c r="H10" s="7">
        <f t="shared" si="5"/>
        <v>2.6457843388479998</v>
      </c>
      <c r="I10" s="3">
        <v>2.1930047719988242</v>
      </c>
      <c r="J10" s="16">
        <f t="shared" si="6"/>
        <v>21.930047719988242</v>
      </c>
      <c r="K10" s="15">
        <f t="shared" si="7"/>
        <v>2193.0047719988243</v>
      </c>
      <c r="L10" s="5">
        <f t="shared" si="13"/>
        <v>20635.121088169126</v>
      </c>
      <c r="M10" s="4">
        <f t="shared" si="9"/>
        <v>10.643099616726481</v>
      </c>
      <c r="N10" s="4">
        <f t="shared" si="14"/>
        <v>4.4838016789825824E-2</v>
      </c>
      <c r="O10" s="4">
        <f t="shared" si="10"/>
        <v>1.1209504197456456E-2</v>
      </c>
      <c r="P10" s="4">
        <f t="shared" si="11"/>
        <v>1.3978268853639314E-2</v>
      </c>
      <c r="Q10" s="4">
        <f>Z$11-0.00080721</f>
        <v>9.1927899999999993E-3</v>
      </c>
      <c r="R10" s="4">
        <f t="shared" si="15"/>
        <v>1.5530252924384877E-2</v>
      </c>
      <c r="T10" s="11">
        <v>0.3</v>
      </c>
      <c r="U10" s="10">
        <f>(T10*Z$12)/Z$13</f>
        <v>4880.9523809523807</v>
      </c>
      <c r="V10" s="10">
        <f t="shared" si="12"/>
        <v>3.493467511665093E-2</v>
      </c>
      <c r="W10" s="10">
        <f t="shared" si="16"/>
        <v>9.4634684990653733E-3</v>
      </c>
      <c r="X10" s="17"/>
      <c r="Y10" s="9" t="s">
        <v>20</v>
      </c>
      <c r="Z10" s="7">
        <v>0.05</v>
      </c>
      <c r="AC10" s="20" t="s">
        <v>73</v>
      </c>
    </row>
    <row r="11" spans="1:30" ht="15.5" x14ac:dyDescent="0.35">
      <c r="A11" s="3" t="s">
        <v>86</v>
      </c>
      <c r="B11" s="3">
        <v>2950</v>
      </c>
      <c r="C11" s="7">
        <f t="shared" si="0"/>
        <v>49.166764999999998</v>
      </c>
      <c r="D11" s="7">
        <f t="shared" si="1"/>
        <v>0.81944510000000004</v>
      </c>
      <c r="E11" s="5">
        <f t="shared" si="2"/>
        <v>8.1944510000000006E-4</v>
      </c>
      <c r="F11" s="7">
        <f t="shared" si="3"/>
        <v>1.6388902000000001</v>
      </c>
      <c r="G11" s="7">
        <f t="shared" si="4"/>
        <v>2.68596108765604</v>
      </c>
      <c r="H11" s="7">
        <f t="shared" si="5"/>
        <v>3.1857403263680002</v>
      </c>
      <c r="I11" s="3">
        <v>3.0658968307391907</v>
      </c>
      <c r="J11" s="16">
        <f t="shared" si="6"/>
        <v>30.658968307391909</v>
      </c>
      <c r="K11" s="15">
        <f t="shared" si="7"/>
        <v>3065.896830739191</v>
      </c>
      <c r="L11" s="5">
        <f t="shared" si="13"/>
        <v>25328.87781493273</v>
      </c>
      <c r="M11" s="4">
        <f t="shared" si="9"/>
        <v>15.168375892777259</v>
      </c>
      <c r="N11" s="4">
        <f t="shared" si="14"/>
        <v>4.4076336245251244E-2</v>
      </c>
      <c r="O11" s="4">
        <f t="shared" si="10"/>
        <v>1.1019084061312811E-2</v>
      </c>
      <c r="P11" s="4">
        <f t="shared" si="11"/>
        <v>1.362129752258882E-2</v>
      </c>
      <c r="Q11" s="4">
        <f>Z$11-0.00059511</f>
        <v>9.4048900000000008E-3</v>
      </c>
      <c r="R11" s="4">
        <f t="shared" si="15"/>
        <v>1.5831844819508969E-2</v>
      </c>
      <c r="T11" s="11">
        <v>0.4</v>
      </c>
      <c r="U11" s="10">
        <f t="shared" si="8"/>
        <v>6507.936507936508</v>
      </c>
      <c r="V11" s="10">
        <f t="shared" si="12"/>
        <v>3.2510378414708573E-2</v>
      </c>
      <c r="W11" s="10">
        <f t="shared" si="16"/>
        <v>8.8067497691898915E-3</v>
      </c>
      <c r="X11" s="17"/>
      <c r="Y11" s="9" t="s">
        <v>21</v>
      </c>
      <c r="Z11" s="7">
        <v>0.01</v>
      </c>
      <c r="AC11" s="21" t="s">
        <v>74</v>
      </c>
      <c r="AD11" s="3" t="s">
        <v>22</v>
      </c>
    </row>
    <row r="12" spans="1:30" ht="15.5" x14ac:dyDescent="0.35">
      <c r="A12" s="3" t="s">
        <v>42</v>
      </c>
      <c r="B12" s="3">
        <v>3350</v>
      </c>
      <c r="C12" s="7">
        <f t="shared" si="0"/>
        <v>55.833444999999998</v>
      </c>
      <c r="D12" s="7">
        <f t="shared" si="1"/>
        <v>0.9305563</v>
      </c>
      <c r="E12" s="5">
        <f t="shared" si="2"/>
        <v>9.3055630000000002E-4</v>
      </c>
      <c r="F12" s="7">
        <f t="shared" si="3"/>
        <v>1.8611126</v>
      </c>
      <c r="G12" s="7">
        <f t="shared" si="4"/>
        <v>3.4637401098787599</v>
      </c>
      <c r="H12" s="7">
        <f t="shared" si="5"/>
        <v>3.6177051163840002</v>
      </c>
      <c r="I12" s="3">
        <v>3.8396420427095137</v>
      </c>
      <c r="J12" s="16">
        <f t="shared" si="6"/>
        <v>38.396420427095137</v>
      </c>
      <c r="K12" s="15">
        <f t="shared" si="7"/>
        <v>3839.6420427095136</v>
      </c>
      <c r="L12" s="5">
        <f t="shared" si="13"/>
        <v>29245.84218112973</v>
      </c>
      <c r="M12" s="4">
        <f t="shared" si="9"/>
        <v>19.315131822447107</v>
      </c>
      <c r="N12" s="4">
        <f t="shared" si="14"/>
        <v>4.3522967540308793E-2</v>
      </c>
      <c r="O12" s="4">
        <f t="shared" si="10"/>
        <v>1.0880741885077198E-2</v>
      </c>
      <c r="P12" s="4">
        <f t="shared" si="11"/>
        <v>1.332073756197528E-2</v>
      </c>
      <c r="Q12" s="4">
        <f>Z$11-0.00040706</f>
        <v>9.5929399999999995E-3</v>
      </c>
      <c r="R12" s="4">
        <f t="shared" si="15"/>
        <v>1.6097443757599472E-2</v>
      </c>
      <c r="T12" s="11">
        <v>0.5</v>
      </c>
      <c r="U12" s="10">
        <f t="shared" si="8"/>
        <v>8134.9206349206352</v>
      </c>
      <c r="V12" s="10">
        <f t="shared" si="12"/>
        <v>3.0746417591228595E-2</v>
      </c>
      <c r="W12" s="10">
        <f t="shared" si="16"/>
        <v>8.3289096968019935E-3</v>
      </c>
      <c r="X12" s="17"/>
      <c r="Y12" s="9" t="s">
        <v>71</v>
      </c>
      <c r="Z12" s="4">
        <f>2*(Z10*Z11)/(Z10+Z11)</f>
        <v>1.6666666666666666E-2</v>
      </c>
      <c r="AA12" s="9">
        <f>10*Z12*100</f>
        <v>16.666666666666664</v>
      </c>
      <c r="AC12" s="20" t="s">
        <v>75</v>
      </c>
      <c r="AD12" s="3" t="s">
        <v>23</v>
      </c>
    </row>
    <row r="13" spans="1:30" ht="15.5" x14ac:dyDescent="0.35">
      <c r="A13" s="3" t="s">
        <v>85</v>
      </c>
      <c r="B13" s="3">
        <v>3700</v>
      </c>
      <c r="C13" s="7">
        <f t="shared" si="0"/>
        <v>61.666789999999999</v>
      </c>
      <c r="D13" s="7">
        <f t="shared" si="1"/>
        <v>1.0277786</v>
      </c>
      <c r="E13" s="5">
        <f t="shared" si="2"/>
        <v>1.0277786E-3</v>
      </c>
      <c r="F13" s="7">
        <f t="shared" si="3"/>
        <v>2.0555572</v>
      </c>
      <c r="G13" s="7">
        <f t="shared" si="4"/>
        <v>4.22531540247184</v>
      </c>
      <c r="H13" s="7">
        <f t="shared" si="5"/>
        <v>3.9956743076480001</v>
      </c>
      <c r="I13" s="3">
        <v>4.8180705226434588</v>
      </c>
      <c r="J13" s="16">
        <f t="shared" si="6"/>
        <v>48.18070522643459</v>
      </c>
      <c r="K13" s="15">
        <f t="shared" si="7"/>
        <v>4818.0705226434593</v>
      </c>
      <c r="L13" s="5">
        <f t="shared" si="13"/>
        <v>32490.733597588063</v>
      </c>
      <c r="M13" s="4">
        <f t="shared" si="9"/>
        <v>24.379149957176487</v>
      </c>
      <c r="N13" s="4">
        <f t="shared" si="14"/>
        <v>4.5032447101435676E-2</v>
      </c>
      <c r="O13" s="4">
        <f t="shared" si="10"/>
        <v>1.1258111775358919E-2</v>
      </c>
      <c r="P13" s="4">
        <f t="shared" si="11"/>
        <v>1.4947071448769915E-2</v>
      </c>
      <c r="Q13" s="4">
        <f>Z$11-0.00033996</f>
        <v>9.6600399999999999E-3</v>
      </c>
      <c r="R13" s="4">
        <f t="shared" si="15"/>
        <v>1.619180945906171E-2</v>
      </c>
      <c r="T13" s="11">
        <v>0.6</v>
      </c>
      <c r="U13" s="10">
        <f t="shared" si="8"/>
        <v>9761.9047619047615</v>
      </c>
      <c r="V13" s="10">
        <f t="shared" si="12"/>
        <v>2.9376443073644908E-2</v>
      </c>
      <c r="W13" s="10">
        <f t="shared" si="16"/>
        <v>7.9577967367305217E-3</v>
      </c>
      <c r="X13" s="17"/>
      <c r="Y13" s="9" t="s">
        <v>72</v>
      </c>
      <c r="Z13" s="8">
        <f>Z$17/Z$16</f>
        <v>1.024390243902439E-6</v>
      </c>
    </row>
    <row r="14" spans="1:30" ht="15.5" x14ac:dyDescent="0.35">
      <c r="A14" s="3" t="s">
        <v>43</v>
      </c>
      <c r="B14" s="3">
        <v>4100</v>
      </c>
      <c r="C14" s="7">
        <f t="shared" si="0"/>
        <v>68.333469999999991</v>
      </c>
      <c r="D14" s="7">
        <f t="shared" si="1"/>
        <v>1.1388898000000001</v>
      </c>
      <c r="E14" s="5">
        <f t="shared" si="2"/>
        <v>1.1388898000000002E-3</v>
      </c>
      <c r="F14" s="7">
        <f t="shared" si="3"/>
        <v>2.2777796000000001</v>
      </c>
      <c r="G14" s="7">
        <f t="shared" si="4"/>
        <v>5.1882799061761604</v>
      </c>
      <c r="H14" s="7">
        <f t="shared" si="5"/>
        <v>4.4276390976640005</v>
      </c>
      <c r="I14" s="3">
        <v>5.8140297108808765</v>
      </c>
      <c r="J14" s="16">
        <f t="shared" si="6"/>
        <v>58.140297108808767</v>
      </c>
      <c r="K14" s="15">
        <f t="shared" si="7"/>
        <v>5814.0297108808763</v>
      </c>
      <c r="L14" s="5">
        <f t="shared" si="13"/>
        <v>35642.4334047722</v>
      </c>
      <c r="M14" s="4">
        <f t="shared" si="9"/>
        <v>29.123820783386783</v>
      </c>
      <c r="N14" s="4">
        <f t="shared" si="14"/>
        <v>4.3811797674655865E-2</v>
      </c>
      <c r="O14" s="4">
        <f t="shared" si="10"/>
        <v>1.0952949418663966E-2</v>
      </c>
      <c r="P14" s="4">
        <f t="shared" si="11"/>
        <v>1.387095806064869E-2</v>
      </c>
      <c r="Q14" s="4">
        <f>Z$11-0.00045525</f>
        <v>9.5447499999999994E-3</v>
      </c>
      <c r="R14" s="4">
        <f t="shared" si="15"/>
        <v>1.6029540807543905E-2</v>
      </c>
      <c r="T14" s="11">
        <v>0.7</v>
      </c>
      <c r="U14" s="10">
        <f t="shared" si="8"/>
        <v>11388.888888888887</v>
      </c>
      <c r="V14" s="10">
        <f t="shared" si="12"/>
        <v>2.8265880103407474E-2</v>
      </c>
      <c r="W14" s="10">
        <f t="shared" si="16"/>
        <v>7.6569558773271623E-3</v>
      </c>
      <c r="X14" s="17"/>
      <c r="Y14" s="9" t="s">
        <v>24</v>
      </c>
      <c r="Z14" s="3">
        <v>0.8</v>
      </c>
      <c r="AC14" s="20" t="s">
        <v>76</v>
      </c>
      <c r="AD14" s="9" t="s">
        <v>25</v>
      </c>
    </row>
    <row r="15" spans="1:30" ht="15.5" x14ac:dyDescent="0.35">
      <c r="A15" s="3" t="s">
        <v>84</v>
      </c>
      <c r="B15" s="3">
        <v>4400</v>
      </c>
      <c r="C15" s="7">
        <f t="shared" si="0"/>
        <v>73.333479999999994</v>
      </c>
      <c r="D15" s="7">
        <f t="shared" si="1"/>
        <v>1.2222232</v>
      </c>
      <c r="E15" s="5">
        <f t="shared" si="2"/>
        <v>1.2222232E-3</v>
      </c>
      <c r="F15" s="7">
        <f t="shared" si="3"/>
        <v>2.4444463999999999</v>
      </c>
      <c r="G15" s="7">
        <f t="shared" si="4"/>
        <v>5.9753182024729599</v>
      </c>
      <c r="H15" s="7">
        <f t="shared" si="5"/>
        <v>4.7516126901759996</v>
      </c>
      <c r="I15" s="3">
        <v>6.6079101535451947</v>
      </c>
      <c r="J15" s="16">
        <f t="shared" si="6"/>
        <v>66.07910153545194</v>
      </c>
      <c r="K15" s="15">
        <f t="shared" si="7"/>
        <v>6607.9101535451937</v>
      </c>
      <c r="L15" s="5">
        <f t="shared" si="13"/>
        <v>38930.57589305914</v>
      </c>
      <c r="M15" s="4">
        <f t="shared" si="9"/>
        <v>33.689137627697157</v>
      </c>
      <c r="N15" s="4">
        <f t="shared" si="14"/>
        <v>4.4004285938100747E-2</v>
      </c>
      <c r="O15" s="4">
        <f t="shared" si="10"/>
        <v>1.1001071484525187E-2</v>
      </c>
      <c r="P15" s="4">
        <f t="shared" si="11"/>
        <v>1.4161739073143494E-2</v>
      </c>
      <c r="Q15" s="4">
        <f>Z$11-0.00025244</f>
        <v>9.7475600000000006E-3</v>
      </c>
      <c r="R15" s="4">
        <f t="shared" si="15"/>
        <v>1.6314574185121535E-2</v>
      </c>
      <c r="T15" s="11">
        <v>0.8</v>
      </c>
      <c r="U15" s="10">
        <f t="shared" si="8"/>
        <v>13015.873015873016</v>
      </c>
      <c r="V15" s="10">
        <f t="shared" si="12"/>
        <v>2.7337860667470175E-2</v>
      </c>
      <c r="W15" s="10">
        <f t="shared" si="16"/>
        <v>7.4055643109482575E-3</v>
      </c>
      <c r="X15" s="17"/>
    </row>
    <row r="16" spans="1:30" ht="15.5" x14ac:dyDescent="0.35">
      <c r="A16" s="3" t="s">
        <v>44</v>
      </c>
      <c r="B16" s="3">
        <v>4800</v>
      </c>
      <c r="C16" s="7">
        <f t="shared" si="0"/>
        <v>80.000159999999994</v>
      </c>
      <c r="D16" s="7">
        <f t="shared" si="1"/>
        <v>1.3333344</v>
      </c>
      <c r="E16" s="5">
        <f t="shared" si="2"/>
        <v>1.3333344E-3</v>
      </c>
      <c r="F16" s="7">
        <f t="shared" si="3"/>
        <v>2.6666688000000001</v>
      </c>
      <c r="G16" s="7">
        <f t="shared" si="4"/>
        <v>7.1111224888934403</v>
      </c>
      <c r="H16" s="7">
        <f t="shared" si="5"/>
        <v>5.1835774801920005</v>
      </c>
      <c r="I16" s="3">
        <v>7.6305105619447477</v>
      </c>
      <c r="J16" s="16">
        <f t="shared" si="6"/>
        <v>76.305105619447474</v>
      </c>
      <c r="K16" s="15">
        <f t="shared" si="7"/>
        <v>7630.5105619447477</v>
      </c>
      <c r="L16" s="5">
        <f t="shared" si="13"/>
        <v>40193.15185576061</v>
      </c>
      <c r="M16" s="4">
        <f t="shared" si="9"/>
        <v>36.817308569120982</v>
      </c>
      <c r="N16" s="4">
        <f t="shared" si="14"/>
        <v>4.0409176457741662E-2</v>
      </c>
      <c r="O16" s="4">
        <f t="shared" si="10"/>
        <v>1.0102294114435416E-2</v>
      </c>
      <c r="P16" s="4">
        <f t="shared" si="11"/>
        <v>1.0897909105995614E-2</v>
      </c>
      <c r="Q16" s="4">
        <f t="shared" ref="Q16" si="17">Z$11-0.00087036</f>
        <v>9.1296399999999996E-3</v>
      </c>
      <c r="R16" s="4">
        <f t="shared" si="15"/>
        <v>1.5440039885241987E-2</v>
      </c>
      <c r="S16" s="16"/>
      <c r="T16" s="11">
        <v>0.9</v>
      </c>
      <c r="U16" s="10">
        <f t="shared" si="8"/>
        <v>14642.857142857143</v>
      </c>
      <c r="V16" s="10">
        <f t="shared" si="12"/>
        <v>2.6544612820276092E-2</v>
      </c>
      <c r="W16" s="10">
        <f t="shared" si="16"/>
        <v>7.1906810756295868E-3</v>
      </c>
      <c r="X16" s="17"/>
      <c r="Y16" s="3" t="s">
        <v>26</v>
      </c>
      <c r="Z16" s="3">
        <f>VLOOKUP(Z18, Seawater!A4:F34, 3, FALSE)</f>
        <v>1025</v>
      </c>
    </row>
    <row r="17" spans="1:32" ht="15.5" x14ac:dyDescent="0.35">
      <c r="A17" s="3" t="s">
        <v>83</v>
      </c>
      <c r="B17" s="3">
        <v>5150</v>
      </c>
      <c r="C17" s="7">
        <f t="shared" si="0"/>
        <v>85.833505000000002</v>
      </c>
      <c r="D17" s="7">
        <f t="shared" si="1"/>
        <v>1.4305567000000001</v>
      </c>
      <c r="E17" s="5">
        <f t="shared" si="2"/>
        <v>1.4305567000000002E-3</v>
      </c>
      <c r="F17" s="7">
        <f t="shared" si="3"/>
        <v>2.8611134000000003</v>
      </c>
      <c r="G17" s="7">
        <f t="shared" si="4"/>
        <v>8.1859698876595619</v>
      </c>
      <c r="H17" s="7">
        <f t="shared" si="5"/>
        <v>5.5615466714560009</v>
      </c>
      <c r="I17" s="3">
        <v>8.1957261778734107</v>
      </c>
      <c r="J17" s="16">
        <f t="shared" si="6"/>
        <v>81.957261778734107</v>
      </c>
      <c r="K17" s="15">
        <f t="shared" si="7"/>
        <v>8195.7261778734101</v>
      </c>
      <c r="L17" s="5">
        <f t="shared" si="13"/>
        <v>45478.337961884761</v>
      </c>
      <c r="M17" s="4">
        <f t="shared" si="9"/>
        <v>41.703490753661491</v>
      </c>
      <c r="N17" s="4">
        <f t="shared" si="14"/>
        <v>3.976201525386177E-2</v>
      </c>
      <c r="O17" s="4">
        <f t="shared" si="10"/>
        <v>9.9405038134654424E-3</v>
      </c>
      <c r="P17" s="4">
        <f t="shared" si="11"/>
        <v>1.0476800793151273E-2</v>
      </c>
      <c r="Q17" s="4">
        <f>Z$11-0.00027496</f>
        <v>9.7250400000000008E-3</v>
      </c>
      <c r="R17" s="4">
        <f t="shared" si="15"/>
        <v>1.6283019651389098E-2</v>
      </c>
      <c r="T17" s="11">
        <v>1</v>
      </c>
      <c r="U17" s="10">
        <f t="shared" si="8"/>
        <v>16269.84126984127</v>
      </c>
      <c r="V17" s="10">
        <f t="shared" si="12"/>
        <v>2.5854552334357874E-2</v>
      </c>
      <c r="W17" s="10">
        <f t="shared" si="16"/>
        <v>7.0037503070126987E-3</v>
      </c>
      <c r="X17" s="17"/>
      <c r="Y17" s="3" t="s">
        <v>27</v>
      </c>
      <c r="Z17" s="3">
        <f>VLOOKUP(Z18, Seawater!A4:F34, 5, FALSE)</f>
        <v>1.0499999999999999E-3</v>
      </c>
      <c r="AC17" s="12"/>
      <c r="AD17" s="12"/>
      <c r="AE17" s="12"/>
      <c r="AF17" s="12"/>
    </row>
    <row r="18" spans="1:32" ht="15.5" x14ac:dyDescent="0.35">
      <c r="A18" s="3" t="s">
        <v>50</v>
      </c>
      <c r="B18" s="37">
        <v>5500</v>
      </c>
      <c r="C18" s="7">
        <f t="shared" si="0"/>
        <v>91.666849999999997</v>
      </c>
      <c r="D18" s="7">
        <f t="shared" si="1"/>
        <v>1.527779</v>
      </c>
      <c r="E18" s="5">
        <f t="shared" si="2"/>
        <v>1.5277789999999999E-3</v>
      </c>
      <c r="F18" s="7">
        <f t="shared" si="3"/>
        <v>3.055558</v>
      </c>
      <c r="G18" s="7">
        <f t="shared" si="4"/>
        <v>9.3364346913639995</v>
      </c>
      <c r="H18" s="7">
        <f t="shared" si="5"/>
        <v>5.9395158627200004</v>
      </c>
      <c r="I18" s="3">
        <v>8.4923423787613732</v>
      </c>
      <c r="J18" s="16">
        <f t="shared" si="6"/>
        <v>84.923423787613729</v>
      </c>
      <c r="K18" s="15">
        <f t="shared" si="7"/>
        <v>8492.3423787613719</v>
      </c>
      <c r="L18" s="5">
        <f t="shared" si="13"/>
        <v>48810.402891542297</v>
      </c>
      <c r="M18" s="4">
        <f t="shared" si="9"/>
        <v>43.427498194281576</v>
      </c>
      <c r="N18" s="4">
        <f t="shared" si="14"/>
        <v>3.6303614663905977E-2</v>
      </c>
      <c r="O18" s="4">
        <f t="shared" si="10"/>
        <v>9.0759036659764942E-3</v>
      </c>
      <c r="P18" s="4">
        <f t="shared" si="11"/>
        <v>7.791895615189357E-3</v>
      </c>
      <c r="Q18" s="4">
        <f>Z$11-0.00021719</f>
        <v>9.7828099999999994E-3</v>
      </c>
      <c r="R18" s="4">
        <f t="shared" si="15"/>
        <v>1.6363917989134332E-2</v>
      </c>
      <c r="S18" s="11"/>
      <c r="T18" s="11">
        <v>1.1000000000000001</v>
      </c>
      <c r="U18" s="10">
        <f t="shared" si="8"/>
        <v>17896.825396825396</v>
      </c>
      <c r="V18" s="10">
        <f t="shared" si="12"/>
        <v>2.5245783363633954E-2</v>
      </c>
      <c r="W18" s="10">
        <f t="shared" si="16"/>
        <v>6.8388406303542667E-3</v>
      </c>
      <c r="X18" s="17"/>
      <c r="Y18" s="3" t="s">
        <v>70</v>
      </c>
      <c r="Z18" s="3">
        <v>21</v>
      </c>
      <c r="AC18" s="12"/>
      <c r="AD18" s="12"/>
      <c r="AE18" s="12"/>
      <c r="AF18" s="12"/>
    </row>
    <row r="19" spans="1:32" ht="15.5" x14ac:dyDescent="0.35">
      <c r="A19" s="3" t="s">
        <v>82</v>
      </c>
      <c r="B19" s="3">
        <v>5050</v>
      </c>
      <c r="C19" s="7">
        <f t="shared" si="0"/>
        <v>84.166834999999992</v>
      </c>
      <c r="D19" s="7">
        <f t="shared" si="1"/>
        <v>1.4027788999999999</v>
      </c>
      <c r="E19" s="5">
        <f t="shared" si="2"/>
        <v>1.4027789E-3</v>
      </c>
      <c r="F19" s="7">
        <f t="shared" si="3"/>
        <v>2.8055577999999999</v>
      </c>
      <c r="G19" s="7">
        <f t="shared" si="4"/>
        <v>7.8711545691408391</v>
      </c>
      <c r="H19" s="7">
        <f t="shared" si="5"/>
        <v>5.453555473952</v>
      </c>
      <c r="I19" s="3">
        <v>7.819861300822911</v>
      </c>
      <c r="J19" s="16">
        <f t="shared" si="6"/>
        <v>78.198613008229103</v>
      </c>
      <c r="K19" s="15">
        <f t="shared" si="7"/>
        <v>7819.8613008229104</v>
      </c>
      <c r="L19" s="5">
        <f t="shared" si="13"/>
        <v>44814.793749328863</v>
      </c>
      <c r="M19" s="4">
        <f t="shared" si="9"/>
        <v>39.986803366845244</v>
      </c>
      <c r="N19" s="4">
        <f t="shared" si="14"/>
        <v>3.9650107375906601E-2</v>
      </c>
      <c r="O19" s="4">
        <f t="shared" si="10"/>
        <v>9.9125268439766503E-3</v>
      </c>
      <c r="P19" s="4">
        <f t="shared" si="11"/>
        <v>1.0366912072132733E-2</v>
      </c>
      <c r="Q19" s="4">
        <f>Z$11-0.00021772</f>
        <v>9.7822800000000008E-3</v>
      </c>
      <c r="R19" s="4">
        <f t="shared" si="15"/>
        <v>1.6363176513174135E-2</v>
      </c>
      <c r="T19" s="11">
        <v>1.2</v>
      </c>
      <c r="U19" s="10">
        <f t="shared" si="8"/>
        <v>19523.809523809523</v>
      </c>
      <c r="V19" s="10">
        <f t="shared" si="12"/>
        <v>2.4702545673532816E-2</v>
      </c>
      <c r="W19" s="10">
        <f t="shared" si="16"/>
        <v>6.6916827492344037E-3</v>
      </c>
      <c r="X19" s="17"/>
      <c r="Y19" s="9"/>
      <c r="Z19" s="9"/>
      <c r="AC19" s="14" t="s">
        <v>28</v>
      </c>
      <c r="AD19" s="14"/>
      <c r="AE19" s="14"/>
      <c r="AF19" s="14"/>
    </row>
    <row r="20" spans="1:32" ht="15.5" x14ac:dyDescent="0.35">
      <c r="A20" s="18" t="s">
        <v>45</v>
      </c>
      <c r="B20" s="3">
        <v>4700</v>
      </c>
      <c r="C20" s="7">
        <f t="shared" si="0"/>
        <v>78.333489999999998</v>
      </c>
      <c r="D20" s="7">
        <f t="shared" si="1"/>
        <v>1.3055566000000001</v>
      </c>
      <c r="E20" s="5">
        <f t="shared" si="2"/>
        <v>1.3055566E-3</v>
      </c>
      <c r="F20" s="7">
        <f t="shared" si="3"/>
        <v>2.6111132000000001</v>
      </c>
      <c r="G20" s="7">
        <f t="shared" si="4"/>
        <v>6.8179121432142411</v>
      </c>
      <c r="H20" s="7">
        <f t="shared" si="5"/>
        <v>5.0755862826880005</v>
      </c>
      <c r="I20" s="16">
        <v>6.9606065532732746</v>
      </c>
      <c r="J20" s="16">
        <f t="shared" si="6"/>
        <v>69.606065532732742</v>
      </c>
      <c r="K20" s="15">
        <f t="shared" si="7"/>
        <v>6960.6065532732746</v>
      </c>
      <c r="L20" s="5">
        <f t="shared" si="13"/>
        <v>41632.834375826598</v>
      </c>
      <c r="M20" s="4">
        <f t="shared" si="9"/>
        <v>35.528168502659135</v>
      </c>
      <c r="N20" s="4">
        <f t="shared" si="14"/>
        <v>4.0671251936821147E-2</v>
      </c>
      <c r="O20" s="4">
        <f t="shared" si="10"/>
        <v>1.0167812984205287E-2</v>
      </c>
      <c r="P20" s="4">
        <f t="shared" si="11"/>
        <v>1.1165970936566934E-2</v>
      </c>
      <c r="Q20" s="4">
        <f>Z$11-0.00023902</f>
        <v>9.7609800000000007E-3</v>
      </c>
      <c r="R20" s="4">
        <f t="shared" si="15"/>
        <v>1.6333366688431147E-2</v>
      </c>
      <c r="T20" s="11">
        <v>1.3</v>
      </c>
      <c r="U20" s="10">
        <f t="shared" si="8"/>
        <v>21150.79365079365</v>
      </c>
      <c r="V20" s="10">
        <f t="shared" si="12"/>
        <v>2.4213143973354254E-2</v>
      </c>
      <c r="W20" s="10">
        <f t="shared" si="16"/>
        <v>6.5591085215490471E-3</v>
      </c>
      <c r="X20" s="17"/>
      <c r="AC20" s="19" t="s">
        <v>29</v>
      </c>
      <c r="AD20" s="14" t="s">
        <v>30</v>
      </c>
      <c r="AE20" s="14" t="s">
        <v>31</v>
      </c>
      <c r="AF20" s="14" t="s">
        <v>32</v>
      </c>
    </row>
    <row r="21" spans="1:32" ht="15.5" x14ac:dyDescent="0.35">
      <c r="A21" s="18" t="s">
        <v>81</v>
      </c>
      <c r="B21" s="3">
        <v>4250</v>
      </c>
      <c r="C21" s="7">
        <f t="shared" si="0"/>
        <v>70.833474999999993</v>
      </c>
      <c r="D21" s="7">
        <f t="shared" si="1"/>
        <v>1.1805565</v>
      </c>
      <c r="E21" s="5">
        <f t="shared" si="2"/>
        <v>1.1805565000000001E-3</v>
      </c>
      <c r="F21" s="7">
        <f t="shared" si="3"/>
        <v>2.361113</v>
      </c>
      <c r="G21" s="7">
        <f t="shared" si="4"/>
        <v>5.5748545987689999</v>
      </c>
      <c r="H21" s="7">
        <f t="shared" si="5"/>
        <v>4.5896258939200001</v>
      </c>
      <c r="I21" s="16">
        <v>5.6777337962001271</v>
      </c>
      <c r="J21" s="16">
        <f t="shared" si="6"/>
        <v>56.777337962001269</v>
      </c>
      <c r="K21" s="15">
        <f t="shared" si="7"/>
        <v>5677.7337962001266</v>
      </c>
      <c r="L21" s="5">
        <f t="shared" si="13"/>
        <v>37577.470011520971</v>
      </c>
      <c r="M21" s="4">
        <f t="shared" si="9"/>
        <v>28.926856848443272</v>
      </c>
      <c r="N21" s="4">
        <f t="shared" si="14"/>
        <v>4.049802304915423E-2</v>
      </c>
      <c r="O21" s="4">
        <f t="shared" si="10"/>
        <v>1.0124505762288558E-2</v>
      </c>
      <c r="P21" s="4">
        <f t="shared" si="11"/>
        <v>1.089521486242361E-2</v>
      </c>
      <c r="Q21" s="4">
        <f>Z$11-0.00026047</f>
        <v>9.7395299999999997E-3</v>
      </c>
      <c r="R21" s="4">
        <f t="shared" si="15"/>
        <v>1.6303325453012437E-2</v>
      </c>
      <c r="T21" s="11">
        <v>1.4</v>
      </c>
      <c r="U21" s="10">
        <f t="shared" si="8"/>
        <v>22777.777777777774</v>
      </c>
      <c r="V21" s="10">
        <f t="shared" si="12"/>
        <v>2.3768677252946641E-2</v>
      </c>
      <c r="W21" s="10">
        <f t="shared" si="16"/>
        <v>6.4387067490002722E-3</v>
      </c>
      <c r="X21" s="17"/>
      <c r="Y21" s="9" t="s">
        <v>33</v>
      </c>
      <c r="Z21" s="9">
        <f>4*10^(-6)</f>
        <v>3.9999999999999998E-6</v>
      </c>
      <c r="AC21" s="19" t="s">
        <v>34</v>
      </c>
      <c r="AD21" s="14" t="s">
        <v>35</v>
      </c>
      <c r="AE21" s="14" t="s">
        <v>36</v>
      </c>
      <c r="AF21" s="14" t="s">
        <v>37</v>
      </c>
    </row>
    <row r="22" spans="1:32" ht="15.5" x14ac:dyDescent="0.35">
      <c r="A22" s="18" t="s">
        <v>46</v>
      </c>
      <c r="B22" s="3">
        <v>3800</v>
      </c>
      <c r="C22" s="7">
        <f t="shared" si="0"/>
        <v>63.333459999999995</v>
      </c>
      <c r="D22" s="7">
        <f t="shared" si="1"/>
        <v>1.0555564</v>
      </c>
      <c r="E22" s="3">
        <f t="shared" si="2"/>
        <v>1.0555563999999999E-3</v>
      </c>
      <c r="F22" s="7">
        <f t="shared" si="3"/>
        <v>2.1111127999999999</v>
      </c>
      <c r="G22" s="7">
        <f t="shared" si="4"/>
        <v>4.4567972543238392</v>
      </c>
      <c r="H22" s="7">
        <f t="shared" si="5"/>
        <v>4.1036655051519997</v>
      </c>
      <c r="I22" s="16">
        <v>4.5884284063201024</v>
      </c>
      <c r="J22" s="16">
        <f t="shared" si="6"/>
        <v>45.884284063201022</v>
      </c>
      <c r="K22" s="15">
        <f t="shared" si="7"/>
        <v>4588.4284063201021</v>
      </c>
      <c r="L22" s="5">
        <f t="shared" si="13"/>
        <v>33705.154792674723</v>
      </c>
      <c r="M22" s="4">
        <f t="shared" si="9"/>
        <v>23.451158510762536</v>
      </c>
      <c r="N22" s="4">
        <f t="shared" si="14"/>
        <v>4.1068377544333921E-2</v>
      </c>
      <c r="O22" s="4">
        <f t="shared" si="10"/>
        <v>1.026709438608348E-2</v>
      </c>
      <c r="P22" s="4">
        <f t="shared" si="11"/>
        <v>1.12567210645545E-2</v>
      </c>
      <c r="Q22" s="4">
        <f>Z$11-0.00022357</f>
        <v>9.7764300000000009E-3</v>
      </c>
      <c r="R22" s="4">
        <f t="shared" si="15"/>
        <v>1.6354991423877269E-2</v>
      </c>
      <c r="T22" s="11">
        <v>1.5</v>
      </c>
      <c r="U22" s="10">
        <f t="shared" si="8"/>
        <v>24404.761904761905</v>
      </c>
      <c r="V22" s="10">
        <f t="shared" si="12"/>
        <v>2.3362225291761372E-2</v>
      </c>
      <c r="W22" s="10">
        <f t="shared" si="16"/>
        <v>6.3286028101997415E-3</v>
      </c>
      <c r="X22" s="17"/>
      <c r="Y22" s="9" t="s">
        <v>38</v>
      </c>
      <c r="Z22" s="3">
        <f>Z21/Z12</f>
        <v>2.3999999999999998E-4</v>
      </c>
      <c r="AC22" s="14">
        <v>0</v>
      </c>
      <c r="AD22" s="14">
        <v>1.792E-3</v>
      </c>
      <c r="AE22" s="14">
        <v>999.87</v>
      </c>
      <c r="AF22" s="13">
        <v>1.7922329902887374E-6</v>
      </c>
    </row>
    <row r="23" spans="1:32" ht="15.5" x14ac:dyDescent="0.35">
      <c r="A23" s="18" t="s">
        <v>80</v>
      </c>
      <c r="B23" s="3">
        <v>3600</v>
      </c>
      <c r="C23" s="7">
        <f t="shared" si="0"/>
        <v>60.000119999999995</v>
      </c>
      <c r="D23" s="7">
        <f t="shared" si="1"/>
        <v>1.0000008</v>
      </c>
      <c r="E23" s="5">
        <f t="shared" si="2"/>
        <v>1.0000008000000001E-3</v>
      </c>
      <c r="F23" s="7">
        <f t="shared" si="3"/>
        <v>2.0000016</v>
      </c>
      <c r="G23" s="7">
        <f t="shared" si="4"/>
        <v>4.0000064000025599</v>
      </c>
      <c r="H23" s="7">
        <f t="shared" si="5"/>
        <v>3.8876831101440001</v>
      </c>
      <c r="I23" s="16">
        <v>3.9625102615726746</v>
      </c>
      <c r="J23" s="16">
        <f t="shared" si="6"/>
        <v>39.625102615726746</v>
      </c>
      <c r="K23" s="15">
        <f t="shared" si="7"/>
        <v>3962.5102615726746</v>
      </c>
      <c r="L23" s="5">
        <f t="shared" si="13"/>
        <v>27348.270545901618</v>
      </c>
      <c r="M23" s="4">
        <f t="shared" si="9"/>
        <v>17.345442344396268</v>
      </c>
      <c r="N23" s="4">
        <f t="shared" si="14"/>
        <v>3.3844711398481601E-2</v>
      </c>
      <c r="O23" s="4">
        <f t="shared" si="10"/>
        <v>8.4611778496204004E-3</v>
      </c>
      <c r="P23" s="3">
        <f t="shared" si="11"/>
        <v>5.2394182264939937E-3</v>
      </c>
      <c r="Q23" s="4">
        <f>Z$11-0.0018553</f>
        <v>8.1446999999999995E-3</v>
      </c>
      <c r="R23" s="4">
        <f t="shared" si="15"/>
        <v>1.4007639561301374E-2</v>
      </c>
      <c r="T23" s="11">
        <v>1.6</v>
      </c>
      <c r="U23" s="10">
        <f t="shared" si="8"/>
        <v>26031.746031746032</v>
      </c>
      <c r="V23" s="10">
        <f t="shared" si="12"/>
        <v>2.2988309035981189E-2</v>
      </c>
      <c r="W23" s="10">
        <f t="shared" si="16"/>
        <v>6.2273124820072341E-3</v>
      </c>
      <c r="X23" s="17"/>
      <c r="AC23" s="14">
        <v>5</v>
      </c>
      <c r="AD23" s="14">
        <v>1.519E-3</v>
      </c>
      <c r="AE23" s="14">
        <v>999.99</v>
      </c>
      <c r="AF23" s="13">
        <v>1.5190151901519014E-6</v>
      </c>
    </row>
    <row r="24" spans="1:32" ht="15.5" x14ac:dyDescent="0.35">
      <c r="A24" s="3" t="s">
        <v>47</v>
      </c>
      <c r="B24" s="3">
        <v>3150</v>
      </c>
      <c r="C24" s="7">
        <f t="shared" si="0"/>
        <v>52.500104999999998</v>
      </c>
      <c r="D24" s="7">
        <f t="shared" si="1"/>
        <v>0.87500070000000008</v>
      </c>
      <c r="E24" s="5">
        <f t="shared" si="2"/>
        <v>8.7500070000000004E-4</v>
      </c>
      <c r="F24" s="5">
        <f t="shared" si="3"/>
        <v>1.7500014000000002</v>
      </c>
      <c r="G24" s="7">
        <f t="shared" si="4"/>
        <v>3.0625049000019606</v>
      </c>
      <c r="H24" s="7">
        <f t="shared" si="5"/>
        <v>3.4017227213760002</v>
      </c>
      <c r="I24" s="7">
        <v>3.1588879311805522</v>
      </c>
      <c r="J24" s="16">
        <f t="shared" si="6"/>
        <v>31.58887931180552</v>
      </c>
      <c r="K24" s="15">
        <f t="shared" si="7"/>
        <v>3158.8879311805522</v>
      </c>
      <c r="L24" s="5">
        <f t="shared" si="13"/>
        <v>27879.60593085736</v>
      </c>
      <c r="M24" s="4">
        <f t="shared" si="9"/>
        <v>16.110087849927595</v>
      </c>
      <c r="N24" s="4">
        <f t="shared" si="14"/>
        <v>4.105700239818217E-2</v>
      </c>
      <c r="O24" s="4">
        <f t="shared" si="10"/>
        <v>1.0264250599545542E-2</v>
      </c>
      <c r="P24" s="4">
        <f t="shared" si="11"/>
        <v>1.0962466124202068E-2</v>
      </c>
      <c r="Q24" s="4">
        <f>Z$11-0.00024874</f>
        <v>9.7512599999999994E-3</v>
      </c>
      <c r="R24" s="4">
        <f t="shared" si="15"/>
        <v>1.6319756269574902E-2</v>
      </c>
      <c r="T24" s="11">
        <v>1.7</v>
      </c>
      <c r="U24" s="10">
        <f t="shared" si="8"/>
        <v>27658.730158730159</v>
      </c>
      <c r="V24" s="10">
        <f t="shared" si="12"/>
        <v>2.2642521673298031E-2</v>
      </c>
      <c r="W24" s="10">
        <f t="shared" si="16"/>
        <v>6.1336420012255977E-3</v>
      </c>
      <c r="X24" s="17"/>
      <c r="Y24" s="8"/>
      <c r="AC24" s="14">
        <f>AC23+5</f>
        <v>10</v>
      </c>
      <c r="AD24" s="14">
        <v>1.3079999999999999E-3</v>
      </c>
      <c r="AE24" s="14">
        <v>999.73</v>
      </c>
      <c r="AF24" s="13">
        <v>1.3083532553789522E-6</v>
      </c>
    </row>
    <row r="25" spans="1:32" ht="15.5" x14ac:dyDescent="0.35">
      <c r="A25" s="3" t="s">
        <v>79</v>
      </c>
      <c r="B25" s="3">
        <v>2750</v>
      </c>
      <c r="C25" s="7">
        <f t="shared" si="0"/>
        <v>45.833424999999998</v>
      </c>
      <c r="D25" s="7">
        <f t="shared" si="1"/>
        <v>0.7638895</v>
      </c>
      <c r="E25" s="5">
        <f t="shared" si="2"/>
        <v>7.6388949999999997E-4</v>
      </c>
      <c r="F25" s="5">
        <f t="shared" si="3"/>
        <v>1.527779</v>
      </c>
      <c r="G25" s="7">
        <f t="shared" si="4"/>
        <v>2.3341086728409999</v>
      </c>
      <c r="H25" s="7">
        <f t="shared" si="5"/>
        <v>2.9697579313600002</v>
      </c>
      <c r="I25" s="7">
        <v>2.3680708061681521</v>
      </c>
      <c r="J25" s="16">
        <f t="shared" si="6"/>
        <v>23.680708061681521</v>
      </c>
      <c r="K25" s="15">
        <f t="shared" si="7"/>
        <v>2368.0708061681521</v>
      </c>
      <c r="L25" s="5">
        <f t="shared" si="13"/>
        <v>24271.440524479513</v>
      </c>
      <c r="M25" s="4">
        <f t="shared" si="9"/>
        <v>12.043290319810071</v>
      </c>
      <c r="N25" s="4">
        <f t="shared" si="14"/>
        <v>4.0270795163006204E-2</v>
      </c>
      <c r="O25" s="4">
        <f t="shared" si="10"/>
        <v>1.0067698790751551E-2</v>
      </c>
      <c r="P25" s="4">
        <f t="shared" si="11"/>
        <v>1.0022764790037709E-2</v>
      </c>
      <c r="Q25" s="4">
        <f>Z$11-0.00028123</f>
        <v>9.7187699999999998E-3</v>
      </c>
      <c r="R25" s="4">
        <f t="shared" si="15"/>
        <v>1.6274230028515323E-2</v>
      </c>
      <c r="T25" s="11">
        <v>1.8</v>
      </c>
      <c r="U25" s="10">
        <f t="shared" si="8"/>
        <v>29285.714285714286</v>
      </c>
      <c r="V25" s="10">
        <f t="shared" si="12"/>
        <v>2.2321269764867958E-2</v>
      </c>
      <c r="W25" s="10">
        <f t="shared" si="16"/>
        <v>6.0466179397296429E-3</v>
      </c>
      <c r="X25" s="4"/>
      <c r="Y25" s="8"/>
      <c r="AC25" s="14" t="e">
        <f>#REF!+5</f>
        <v>#REF!</v>
      </c>
      <c r="AD25" s="14">
        <v>1.005E-3</v>
      </c>
      <c r="AE25" s="14">
        <v>998.23</v>
      </c>
      <c r="AF25" s="13">
        <v>1.0067820041473407E-6</v>
      </c>
    </row>
    <row r="26" spans="1:32" ht="15.5" x14ac:dyDescent="0.35">
      <c r="A26" s="3" t="s">
        <v>48</v>
      </c>
      <c r="B26" s="3">
        <v>2400</v>
      </c>
      <c r="C26" s="7">
        <f t="shared" si="0"/>
        <v>40.000079999999997</v>
      </c>
      <c r="D26" s="7">
        <f t="shared" si="1"/>
        <v>0.66666720000000002</v>
      </c>
      <c r="E26" s="5">
        <f t="shared" si="2"/>
        <v>6.6666719999999998E-4</v>
      </c>
      <c r="F26" s="5">
        <f t="shared" si="3"/>
        <v>1.3333344</v>
      </c>
      <c r="G26" s="7">
        <f t="shared" si="4"/>
        <v>1.7777806222233601</v>
      </c>
      <c r="H26" s="7">
        <f t="shared" si="5"/>
        <v>2.5917887400960002</v>
      </c>
      <c r="I26" s="7">
        <v>1.798472423062641</v>
      </c>
      <c r="J26" s="16">
        <f t="shared" si="6"/>
        <v>17.984724230626409</v>
      </c>
      <c r="K26" s="15">
        <f t="shared" si="7"/>
        <v>1798.4724230626409</v>
      </c>
      <c r="L26" s="5">
        <f t="shared" si="13"/>
        <v>21247.127456201055</v>
      </c>
      <c r="M26" s="4">
        <f t="shared" si="9"/>
        <v>9.1744571663576835</v>
      </c>
      <c r="N26" s="4">
        <f t="shared" si="14"/>
        <v>4.0278040187899745E-2</v>
      </c>
      <c r="O26" s="4">
        <f t="shared" si="10"/>
        <v>1.0069510046974936E-2</v>
      </c>
      <c r="P26" s="4">
        <f t="shared" si="11"/>
        <v>9.7577170002478338E-3</v>
      </c>
      <c r="Q26" s="4">
        <f>Z$11-0.00024571</f>
        <v>9.7542900000000005E-3</v>
      </c>
      <c r="R26" s="4">
        <f t="shared" si="15"/>
        <v>1.6323999498613406E-2</v>
      </c>
      <c r="T26" s="11">
        <v>1.9</v>
      </c>
      <c r="U26" s="10">
        <f t="shared" si="8"/>
        <v>30912.69841269841</v>
      </c>
      <c r="V26" s="10">
        <f t="shared" si="12"/>
        <v>2.202158744356239E-2</v>
      </c>
      <c r="W26" s="10">
        <f t="shared" si="16"/>
        <v>5.9654368725540596E-3</v>
      </c>
      <c r="X26" s="4"/>
      <c r="Y26" s="8"/>
      <c r="AC26" s="14">
        <v>25</v>
      </c>
      <c r="AD26" s="14">
        <v>8.9400000000000005E-4</v>
      </c>
      <c r="AE26" s="14">
        <v>997.07</v>
      </c>
      <c r="AF26" s="13">
        <v>8.9662711745414066E-7</v>
      </c>
    </row>
    <row r="27" spans="1:32" ht="15.5" x14ac:dyDescent="0.35">
      <c r="A27" s="3" t="s">
        <v>78</v>
      </c>
      <c r="B27" s="3">
        <v>2000</v>
      </c>
      <c r="C27" s="3">
        <f t="shared" si="0"/>
        <v>33.333399999999997</v>
      </c>
      <c r="D27" s="3">
        <f t="shared" si="1"/>
        <v>0.55555600000000005</v>
      </c>
      <c r="E27" s="3">
        <f t="shared" si="2"/>
        <v>5.5555600000000002E-4</v>
      </c>
      <c r="F27" s="3">
        <f t="shared" si="3"/>
        <v>1.1111120000000001</v>
      </c>
      <c r="G27" s="3">
        <f t="shared" si="4"/>
        <v>1.2345698765440003</v>
      </c>
      <c r="H27" s="3">
        <f t="shared" si="5"/>
        <v>2.1598239500800003</v>
      </c>
      <c r="I27" s="3">
        <v>1.1683254349690244</v>
      </c>
      <c r="J27" s="3">
        <f t="shared" si="6"/>
        <v>11.683254349690245</v>
      </c>
      <c r="K27" s="3">
        <f t="shared" si="7"/>
        <v>1168.3254349690244</v>
      </c>
      <c r="L27" s="5">
        <f t="shared" si="13"/>
        <v>17639.181151768829</v>
      </c>
      <c r="M27" s="4">
        <f t="shared" si="9"/>
        <v>5.9374486866561895</v>
      </c>
      <c r="N27" s="4">
        <f t="shared" si="14"/>
        <v>3.7536200907451696E-2</v>
      </c>
      <c r="O27" s="4">
        <f t="shared" si="10"/>
        <v>9.384050226862924E-3</v>
      </c>
      <c r="P27" s="4">
        <f t="shared" si="11"/>
        <v>6.9978298178603243E-3</v>
      </c>
      <c r="Q27" s="4">
        <f>Z$11-0.00028963</f>
        <v>9.7103699999999994E-3</v>
      </c>
      <c r="R27" s="4">
        <f t="shared" si="15"/>
        <v>1.6262451564108545E-2</v>
      </c>
      <c r="T27" s="11">
        <v>2</v>
      </c>
      <c r="U27" s="10">
        <f t="shared" si="8"/>
        <v>32539.682539682541</v>
      </c>
      <c r="V27" s="10">
        <f t="shared" si="12"/>
        <v>2.1741000375951093E-2</v>
      </c>
      <c r="W27" s="10">
        <f t="shared" si="16"/>
        <v>5.8894285264990808E-3</v>
      </c>
      <c r="X27" s="4"/>
      <c r="Y27" s="8"/>
      <c r="AC27" s="12"/>
      <c r="AD27" s="12"/>
      <c r="AE27" s="12"/>
      <c r="AF27" s="12"/>
    </row>
    <row r="28" spans="1:32" ht="15.5" x14ac:dyDescent="0.35">
      <c r="A28" s="3" t="s">
        <v>49</v>
      </c>
      <c r="B28" s="3">
        <v>1500</v>
      </c>
      <c r="C28" s="3">
        <f t="shared" si="0"/>
        <v>25.000049999999998</v>
      </c>
      <c r="D28" s="3">
        <f t="shared" si="1"/>
        <v>0.41666700000000001</v>
      </c>
      <c r="E28" s="3">
        <f t="shared" si="2"/>
        <v>4.1666700000000001E-4</v>
      </c>
      <c r="F28" s="3">
        <f t="shared" si="3"/>
        <v>0.83333400000000002</v>
      </c>
      <c r="G28" s="3">
        <f t="shared" si="4"/>
        <v>0.69444555555600007</v>
      </c>
      <c r="H28" s="3">
        <f t="shared" si="5"/>
        <v>1.6198679625600001</v>
      </c>
      <c r="I28" s="3">
        <v>0.53260401745273778</v>
      </c>
      <c r="J28" s="3">
        <f t="shared" si="6"/>
        <v>5.3260401745273782</v>
      </c>
      <c r="K28" s="9">
        <f t="shared" si="7"/>
        <v>532.60401745273782</v>
      </c>
      <c r="L28" s="5">
        <f t="shared" si="13"/>
        <v>13198.637803316118</v>
      </c>
      <c r="M28" s="4">
        <f t="shared" si="9"/>
        <v>2.7004112158529407</v>
      </c>
      <c r="N28" s="4">
        <f t="shared" si="14"/>
        <v>3.0349938958737634E-2</v>
      </c>
      <c r="O28" s="4">
        <f t="shared" si="10"/>
        <v>7.5874847396844086E-3</v>
      </c>
      <c r="P28" s="4">
        <f t="shared" si="11"/>
        <v>9.5152404019453176E-4</v>
      </c>
      <c r="Q28" s="4">
        <f>Z$11-0.00031657</f>
        <v>9.6834299999999998E-3</v>
      </c>
      <c r="R28" s="4">
        <f t="shared" si="15"/>
        <v>1.6224653978499558E-2</v>
      </c>
      <c r="T28" s="11">
        <v>2.1</v>
      </c>
      <c r="U28" s="10">
        <f t="shared" si="8"/>
        <v>34166.666666666672</v>
      </c>
      <c r="V28" s="10">
        <f t="shared" si="12"/>
        <v>2.147742438891832E-2</v>
      </c>
      <c r="W28" s="10">
        <f t="shared" si="16"/>
        <v>5.8180283190528738E-3</v>
      </c>
      <c r="X28" s="4"/>
      <c r="Y28" s="8"/>
    </row>
    <row r="29" spans="1:32" ht="15.5" x14ac:dyDescent="0.35">
      <c r="G29" s="7"/>
      <c r="X29" s="4"/>
      <c r="Y29" s="8"/>
      <c r="Z29" s="9" t="s">
        <v>39</v>
      </c>
    </row>
    <row r="30" spans="1:32" x14ac:dyDescent="0.35">
      <c r="G30" s="7"/>
      <c r="X30" s="4"/>
      <c r="Y30" s="8"/>
    </row>
    <row r="31" spans="1:32" x14ac:dyDescent="0.35">
      <c r="G31" s="7"/>
      <c r="X31" s="4"/>
      <c r="Y31" s="8"/>
    </row>
    <row r="32" spans="1:32" x14ac:dyDescent="0.35">
      <c r="G32" s="7"/>
      <c r="X32" s="4"/>
    </row>
    <row r="33" spans="7:24" x14ac:dyDescent="0.35">
      <c r="G33" s="7"/>
      <c r="X33" s="4"/>
    </row>
    <row r="34" spans="7:24" x14ac:dyDescent="0.35">
      <c r="X34" s="4"/>
    </row>
    <row r="35" spans="7:24" ht="15.5" x14ac:dyDescent="0.35">
      <c r="T35" s="4"/>
      <c r="U35" s="6"/>
      <c r="V35" s="6"/>
      <c r="W35" s="4"/>
      <c r="X35" s="4"/>
    </row>
    <row r="36" spans="7:24" ht="15.5" x14ac:dyDescent="0.35">
      <c r="T36" s="4"/>
      <c r="U36" s="6"/>
      <c r="V36" s="6"/>
      <c r="W36" s="4"/>
      <c r="X36" s="4"/>
    </row>
    <row r="37" spans="7:24" ht="15.5" x14ac:dyDescent="0.35">
      <c r="T37" s="4"/>
      <c r="U37" s="6"/>
      <c r="V37" s="6"/>
      <c r="W37" s="4"/>
      <c r="X37" s="4"/>
    </row>
    <row r="38" spans="7:24" ht="15.5" x14ac:dyDescent="0.35">
      <c r="T38" s="4"/>
      <c r="U38" s="6"/>
      <c r="V38" s="6"/>
      <c r="W38" s="4"/>
      <c r="X38" s="4"/>
    </row>
    <row r="39" spans="7:24" ht="15.5" x14ac:dyDescent="0.35">
      <c r="T39" s="4"/>
      <c r="U39" s="6"/>
      <c r="V39" s="6"/>
      <c r="W39" s="4"/>
      <c r="X39" s="4"/>
    </row>
    <row r="40" spans="7:24" ht="15.5" x14ac:dyDescent="0.35">
      <c r="T40" s="4"/>
      <c r="U40" s="6"/>
      <c r="V40" s="6"/>
    </row>
    <row r="41" spans="7:24" ht="15.5" x14ac:dyDescent="0.35">
      <c r="T41" s="4"/>
      <c r="U41" s="6"/>
      <c r="V41" s="6"/>
    </row>
    <row r="42" spans="7:24" ht="15.5" x14ac:dyDescent="0.35">
      <c r="T42" s="4"/>
      <c r="U42" s="6"/>
      <c r="V42" s="6"/>
    </row>
    <row r="43" spans="7:24" ht="15.5" x14ac:dyDescent="0.35">
      <c r="T43" s="4"/>
      <c r="U43" s="6"/>
      <c r="V43" s="6"/>
    </row>
    <row r="44" spans="7:24" ht="15.5" x14ac:dyDescent="0.35">
      <c r="T44" s="4"/>
      <c r="U44" s="6"/>
      <c r="V44" s="6"/>
    </row>
    <row r="45" spans="7:24" ht="15.5" x14ac:dyDescent="0.35">
      <c r="T45" s="4"/>
      <c r="U45" s="6"/>
      <c r="V45" s="6"/>
    </row>
    <row r="46" spans="7:24" ht="15.5" x14ac:dyDescent="0.35">
      <c r="T46" s="4"/>
      <c r="U46" s="6"/>
      <c r="V46" s="6"/>
    </row>
    <row r="47" spans="7:24" ht="15.5" x14ac:dyDescent="0.35">
      <c r="T47" s="4"/>
      <c r="U47" s="6"/>
      <c r="V47" s="6"/>
    </row>
    <row r="48" spans="7:24" ht="15.5" x14ac:dyDescent="0.35">
      <c r="T48" s="4"/>
      <c r="U48" s="6"/>
      <c r="V48" s="6"/>
    </row>
    <row r="49" spans="20:22" ht="15.5" x14ac:dyDescent="0.35">
      <c r="T49" s="4"/>
      <c r="U49" s="6"/>
      <c r="V49" s="6"/>
    </row>
    <row r="50" spans="20:22" x14ac:dyDescent="0.35">
      <c r="T50" s="4"/>
    </row>
  </sheetData>
  <mergeCells count="2">
    <mergeCell ref="A4:N4"/>
    <mergeCell ref="Y6:Z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CE5C58-E155-4E40-A160-1778124D30DF}">
  <dimension ref="A1:AF60"/>
  <sheetViews>
    <sheetView topLeftCell="J1" zoomScale="55" zoomScaleNormal="55" workbookViewId="0">
      <selection activeCell="R30" sqref="R30"/>
    </sheetView>
  </sheetViews>
  <sheetFormatPr defaultColWidth="8.69140625" defaultRowHeight="14.5" x14ac:dyDescent="0.35"/>
  <cols>
    <col min="1" max="1" width="8.69140625" style="3"/>
    <col min="2" max="2" width="11" style="3" customWidth="1"/>
    <col min="3" max="4" width="8.69140625" style="3"/>
    <col min="5" max="5" width="12.3046875" style="3" customWidth="1"/>
    <col min="6" max="6" width="15.69140625" style="3" bestFit="1" customWidth="1"/>
    <col min="7" max="7" width="8.53515625" style="3" customWidth="1"/>
    <col min="8" max="8" width="8.69140625" style="3"/>
    <col min="9" max="9" width="15.69140625" style="3" bestFit="1" customWidth="1"/>
    <col min="10" max="10" width="12.23046875" style="3" customWidth="1"/>
    <col min="11" max="11" width="10.4609375" style="3" customWidth="1"/>
    <col min="12" max="12" width="8.53515625" style="5" customWidth="1"/>
    <col min="13" max="13" width="6.765625" style="4" customWidth="1"/>
    <col min="14" max="14" width="8.4609375" style="4" customWidth="1"/>
    <col min="15" max="15" width="9.07421875" style="4" customWidth="1"/>
    <col min="16" max="18" width="27.23046875" style="4" customWidth="1"/>
    <col min="19" max="19" width="8.4609375" style="4" customWidth="1"/>
    <col min="20" max="20" width="10.23046875" style="3" customWidth="1"/>
    <col min="21" max="21" width="13.84375" style="3" customWidth="1"/>
    <col min="22" max="24" width="10" style="3" customWidth="1"/>
    <col min="25" max="25" width="24.69140625" style="3" customWidth="1"/>
    <col min="26" max="27" width="8.69140625" style="3"/>
    <col min="28" max="28" width="22" style="3" customWidth="1"/>
    <col min="29" max="29" width="35.84375" style="3" customWidth="1"/>
    <col min="30" max="30" width="16.84375" style="3" customWidth="1"/>
    <col min="31" max="16384" width="8.69140625" style="3"/>
  </cols>
  <sheetData>
    <row r="1" spans="1:30" x14ac:dyDescent="0.35">
      <c r="A1" s="48" t="s">
        <v>100</v>
      </c>
    </row>
    <row r="2" spans="1:30" ht="15.5" x14ac:dyDescent="0.35">
      <c r="A2" s="9"/>
      <c r="I2" s="9"/>
      <c r="J2" s="9"/>
    </row>
    <row r="3" spans="1:30" ht="15.5" x14ac:dyDescent="0.35">
      <c r="A3" s="9"/>
      <c r="I3" s="9"/>
      <c r="J3" s="9"/>
    </row>
    <row r="4" spans="1:30" x14ac:dyDescent="0.35">
      <c r="A4" s="51" t="s">
        <v>3</v>
      </c>
      <c r="B4" s="51"/>
      <c r="C4" s="51"/>
      <c r="D4" s="51"/>
      <c r="E4" s="51"/>
      <c r="F4" s="51"/>
      <c r="G4" s="51"/>
      <c r="H4" s="51"/>
      <c r="I4" s="51"/>
      <c r="J4" s="51"/>
      <c r="K4" s="51"/>
      <c r="L4" s="51"/>
      <c r="M4" s="51"/>
      <c r="N4" s="51"/>
      <c r="O4" s="42"/>
      <c r="P4" s="42"/>
      <c r="Q4" s="42"/>
      <c r="R4" s="42"/>
      <c r="S4" s="43"/>
    </row>
    <row r="6" spans="1:30" ht="15.5" x14ac:dyDescent="0.35">
      <c r="A6" s="29"/>
      <c r="B6" s="27" t="s">
        <v>4</v>
      </c>
      <c r="C6" s="27" t="s">
        <v>5</v>
      </c>
      <c r="D6" s="28" t="s">
        <v>6</v>
      </c>
      <c r="E6" s="28" t="s">
        <v>93</v>
      </c>
      <c r="F6" s="28" t="s">
        <v>7</v>
      </c>
      <c r="G6" s="28" t="s">
        <v>92</v>
      </c>
      <c r="H6" s="28" t="s">
        <v>8</v>
      </c>
      <c r="I6" s="27" t="s">
        <v>91</v>
      </c>
      <c r="J6" s="27" t="s">
        <v>90</v>
      </c>
      <c r="K6" s="27" t="s">
        <v>9</v>
      </c>
      <c r="L6" s="26" t="s">
        <v>10</v>
      </c>
      <c r="M6" s="25" t="s">
        <v>89</v>
      </c>
      <c r="N6" s="24" t="s">
        <v>11</v>
      </c>
      <c r="O6" s="11" t="s">
        <v>88</v>
      </c>
      <c r="P6" s="11" t="s">
        <v>12</v>
      </c>
      <c r="Q6" s="11" t="s">
        <v>98</v>
      </c>
      <c r="R6" s="11" t="s">
        <v>97</v>
      </c>
      <c r="S6" s="11"/>
      <c r="T6" s="23" t="s">
        <v>13</v>
      </c>
      <c r="U6" s="6" t="s">
        <v>10</v>
      </c>
      <c r="V6" s="23" t="s">
        <v>14</v>
      </c>
      <c r="W6" s="6" t="s">
        <v>15</v>
      </c>
      <c r="X6" s="9"/>
      <c r="Y6" s="52" t="s">
        <v>16</v>
      </c>
      <c r="Z6" s="52"/>
    </row>
    <row r="7" spans="1:30" ht="15.5" x14ac:dyDescent="0.35">
      <c r="A7" s="22" t="s">
        <v>17</v>
      </c>
      <c r="B7" s="3" t="e">
        <f>AVERAGE('1highflow'!B7,'2highflow'!B7)</f>
        <v>#DIV/0!</v>
      </c>
      <c r="C7" s="7" t="e">
        <f t="shared" ref="C7" si="0">B7*0.0166667</f>
        <v>#DIV/0!</v>
      </c>
      <c r="D7" s="7" t="e">
        <f t="shared" ref="D7" si="1">B7*0.000277778</f>
        <v>#DIV/0!</v>
      </c>
      <c r="E7" s="5" t="e">
        <f t="shared" ref="E7" si="2">0.001*D7</f>
        <v>#DIV/0!</v>
      </c>
      <c r="F7" s="7" t="e">
        <f t="shared" ref="F7" si="3">E7/Z$8</f>
        <v>#DIV/0!</v>
      </c>
      <c r="G7" s="7" t="e">
        <f t="shared" ref="G7" si="4">F7^(2)</f>
        <v>#DIV/0!</v>
      </c>
      <c r="H7" s="7" t="e">
        <f t="shared" ref="H7" si="5">F7*1.94384</f>
        <v>#DIV/0!</v>
      </c>
      <c r="I7" s="16"/>
      <c r="J7" s="16">
        <f t="shared" ref="J7" si="6">I7 * 10</f>
        <v>0</v>
      </c>
      <c r="K7" s="15">
        <f t="shared" ref="K7" si="7">J7*100</f>
        <v>0</v>
      </c>
      <c r="L7" s="5" t="e">
        <f>(F7*Z$12)/Z$13</f>
        <v>#DIV/0!</v>
      </c>
      <c r="T7" s="11">
        <v>0</v>
      </c>
      <c r="U7" s="10">
        <f t="shared" ref="U7:U28" si="8">(T7*Z$12)/Z$13</f>
        <v>0</v>
      </c>
      <c r="V7" s="10"/>
      <c r="W7" s="10"/>
    </row>
    <row r="8" spans="1:30" ht="15.5" x14ac:dyDescent="0.35">
      <c r="A8" s="3" t="s">
        <v>40</v>
      </c>
      <c r="B8" s="3">
        <f>AVERAGE('1highflow'!B8,'2highflow'!B8)</f>
        <v>1750</v>
      </c>
      <c r="C8" s="3">
        <f>AVERAGE('1highflow'!C8,'2highflow'!C8)</f>
        <v>29.166725</v>
      </c>
      <c r="D8" s="3">
        <f>AVERAGE('1highflow'!D8,'2highflow'!D8)</f>
        <v>0.48611150000000003</v>
      </c>
      <c r="E8" s="3">
        <f>AVERAGE('1highflow'!E8,'2highflow'!E8)</f>
        <v>4.8611150000000002E-4</v>
      </c>
      <c r="F8" s="3">
        <f>AVERAGE('1highflow'!F8,'2highflow'!F8)</f>
        <v>0.97222300000000006</v>
      </c>
      <c r="G8" s="3">
        <f>AVERAGE('1highflow'!G8,'2highflow'!G8)</f>
        <v>0.94598916790183996</v>
      </c>
      <c r="H8" s="3">
        <f>AVERAGE('1highflow'!H8,'2highflow'!H8)</f>
        <v>1.8898459563200001</v>
      </c>
      <c r="I8" s="3">
        <f>AVERAGE('1highflow'!I8,'2highflow'!I8)</f>
        <v>1.2145911822168323</v>
      </c>
      <c r="J8" s="3">
        <f>AVERAGE('1highflow'!J8,'2highflow'!J8)</f>
        <v>12.145911822168323</v>
      </c>
      <c r="K8" s="3">
        <f>AVERAGE('1highflow'!K8,'2highflow'!K8)</f>
        <v>1214.5911822168323</v>
      </c>
      <c r="L8" s="3">
        <f>AVERAGE('1highflow'!L8,'2highflow'!L8)</f>
        <v>14845.005387630999</v>
      </c>
      <c r="M8" s="3">
        <f>AVERAGE('1highflow'!M8,'2highflow'!M8)</f>
        <v>5.9429621488864512</v>
      </c>
      <c r="N8" s="3">
        <f>AVERAGE('1highflow'!N8,'2highflow'!N8)</f>
        <v>4.8848962839871689E-2</v>
      </c>
      <c r="O8" s="3">
        <f>AVERAGE('1highflow'!O8,'2highflow'!O8)</f>
        <v>1.2212240709967922E-2</v>
      </c>
      <c r="P8" s="3">
        <f>AVERAGE('1highflow'!P8,'2highflow'!P8)</f>
        <v>1.7509578418139462E-2</v>
      </c>
      <c r="Q8" s="3">
        <f>AVERAGE('1highflow'!Q8,'2highflow'!Q8)</f>
        <v>9.2672750000000002E-3</v>
      </c>
      <c r="R8" s="3">
        <f>AVERAGE('1highflow'!R8,'2highflow'!R8)</f>
        <v>1.5635956520927398E-2</v>
      </c>
      <c r="T8" s="11">
        <v>0.1</v>
      </c>
      <c r="U8" s="10">
        <f t="shared" si="8"/>
        <v>1626.984126984127</v>
      </c>
      <c r="V8" s="10">
        <f t="shared" ref="V8:V28" si="9">0.292/(U8^(0.25))</f>
        <v>4.5976618071962377E-2</v>
      </c>
      <c r="W8" s="10">
        <f>0.0791/(U8^0.25)</f>
        <v>1.2454624964014468E-2</v>
      </c>
      <c r="X8" s="17"/>
      <c r="Y8" s="9" t="s">
        <v>18</v>
      </c>
      <c r="Z8" s="3">
        <f>Z$10*Z$11</f>
        <v>5.0000000000000001E-4</v>
      </c>
    </row>
    <row r="9" spans="1:30" ht="15.5" x14ac:dyDescent="0.35">
      <c r="A9" s="3" t="s">
        <v>87</v>
      </c>
      <c r="B9" s="3">
        <f>AVERAGE('1highflow'!B9,'2highflow'!B9)</f>
        <v>2125</v>
      </c>
      <c r="C9" s="3">
        <f>AVERAGE('1highflow'!C9,'2highflow'!C9)</f>
        <v>35.416737499999996</v>
      </c>
      <c r="D9" s="3">
        <f>AVERAGE('1highflow'!D9,'2highflow'!D9)</f>
        <v>0.59027825</v>
      </c>
      <c r="E9" s="3">
        <f>AVERAGE('1highflow'!E9,'2highflow'!E9)</f>
        <v>5.9027825000000005E-4</v>
      </c>
      <c r="F9" s="3">
        <f>AVERAGE('1highflow'!F9,'2highflow'!F9)</f>
        <v>1.1805565</v>
      </c>
      <c r="G9" s="3">
        <f>AVERAGE('1highflow'!G9,'2highflow'!G9)</f>
        <v>1.39390655123546</v>
      </c>
      <c r="H9" s="3">
        <f>AVERAGE('1highflow'!H9,'2highflow'!H9)</f>
        <v>2.29481294696</v>
      </c>
      <c r="I9" s="3">
        <f>AVERAGE('1highflow'!I9,'2highflow'!I9)</f>
        <v>1.8504253484496505</v>
      </c>
      <c r="J9" s="3">
        <f>AVERAGE('1highflow'!J9,'2highflow'!J9)</f>
        <v>18.504253484496502</v>
      </c>
      <c r="K9" s="3">
        <f>AVERAGE('1highflow'!K9,'2highflow'!K9)</f>
        <v>1850.4253484496503</v>
      </c>
      <c r="L9" s="3">
        <f>AVERAGE('1highflow'!L9,'2highflow'!L9)</f>
        <v>18154.279718303584</v>
      </c>
      <c r="M9" s="3">
        <f>AVERAGE('1highflow'!M9,'2highflow'!M9)</f>
        <v>9.1158079821915621</v>
      </c>
      <c r="N9" s="3">
        <f>AVERAGE('1highflow'!N9,'2highflow'!N9)</f>
        <v>5.0944473047714683E-2</v>
      </c>
      <c r="O9" s="3">
        <f>AVERAGE('1highflow'!O9,'2highflow'!O9)</f>
        <v>1.2736118261928671E-2</v>
      </c>
      <c r="P9" s="3">
        <f>AVERAGE('1highflow'!P9,'2highflow'!P9)</f>
        <v>2.0465206638732462E-2</v>
      </c>
      <c r="Q9" s="3">
        <f>AVERAGE('1highflow'!Q9,'2highflow'!Q9)</f>
        <v>9.3481800000000011E-3</v>
      </c>
      <c r="R9" s="3">
        <f>AVERAGE('1highflow'!R9,'2highflow'!R9)</f>
        <v>1.5751199183034106E-2</v>
      </c>
      <c r="T9" s="11">
        <v>0.2</v>
      </c>
      <c r="U9" s="10">
        <f t="shared" si="8"/>
        <v>3253.968253968254</v>
      </c>
      <c r="V9" s="10">
        <f t="shared" si="9"/>
        <v>3.8661573322202318E-2</v>
      </c>
      <c r="W9" s="10">
        <f t="shared" ref="W9:W28" si="10">0.0791/(U9^0.25)</f>
        <v>1.0473049485569191E-2</v>
      </c>
      <c r="X9" s="17"/>
      <c r="Y9" s="3" t="s">
        <v>19</v>
      </c>
    </row>
    <row r="10" spans="1:30" ht="15.5" x14ac:dyDescent="0.35">
      <c r="A10" s="3" t="s">
        <v>41</v>
      </c>
      <c r="B10" s="3">
        <f>AVERAGE('1highflow'!B10,'2highflow'!B10)</f>
        <v>2475</v>
      </c>
      <c r="C10" s="3">
        <f>AVERAGE('1highflow'!C10,'2highflow'!C10)</f>
        <v>41.250082500000005</v>
      </c>
      <c r="D10" s="3">
        <f>AVERAGE('1highflow'!D10,'2highflow'!D10)</f>
        <v>0.68750054999999999</v>
      </c>
      <c r="E10" s="3">
        <f>AVERAGE('1highflow'!E10,'2highflow'!E10)</f>
        <v>6.8750055000000004E-4</v>
      </c>
      <c r="F10" s="3">
        <f>AVERAGE('1highflow'!F10,'2highflow'!F10)</f>
        <v>1.3750011</v>
      </c>
      <c r="G10" s="3">
        <f>AVERAGE('1highflow'!G10,'2highflow'!G10)</f>
        <v>1.89082092654442</v>
      </c>
      <c r="H10" s="3">
        <f>AVERAGE('1highflow'!H10,'2highflow'!H10)</f>
        <v>2.672782138224</v>
      </c>
      <c r="I10" s="3">
        <f>AVERAGE('1highflow'!I10,'2highflow'!I10)</f>
        <v>2.4404348566286513</v>
      </c>
      <c r="J10" s="3">
        <f>AVERAGE('1highflow'!J10,'2highflow'!J10)</f>
        <v>24.404348566286512</v>
      </c>
      <c r="K10" s="3">
        <f>AVERAGE('1highflow'!K10,'2highflow'!K10)</f>
        <v>2440.4348566286512</v>
      </c>
      <c r="L10" s="3">
        <f>AVERAGE('1highflow'!L10,'2highflow'!L10)</f>
        <v>20633.436408082234</v>
      </c>
      <c r="M10" s="3">
        <f>AVERAGE('1highflow'!M10,'2highflow'!M10)</f>
        <v>11.712437040577136</v>
      </c>
      <c r="N10" s="3">
        <f>AVERAGE('1highflow'!N10,'2highflow'!N10)</f>
        <v>4.8276808514550282E-2</v>
      </c>
      <c r="O10" s="3">
        <f>AVERAGE('1highflow'!O10,'2highflow'!O10)</f>
        <v>1.206920212863757E-2</v>
      </c>
      <c r="P10" s="3">
        <f>AVERAGE('1highflow'!P10,'2highflow'!P10)</f>
        <v>1.7708071908260119E-2</v>
      </c>
      <c r="Q10" s="3">
        <f>AVERAGE('1highflow'!Q10,'2highflow'!Q10)</f>
        <v>9.0834950000000005E-3</v>
      </c>
      <c r="R10" s="3">
        <f>AVERAGE('1highflow'!R10,'2highflow'!R10)</f>
        <v>1.5373707841846593E-2</v>
      </c>
      <c r="T10" s="11">
        <v>0.3</v>
      </c>
      <c r="U10" s="10">
        <f>(T10*Z$12)/Z$13</f>
        <v>4880.9523809523807</v>
      </c>
      <c r="V10" s="10">
        <f t="shared" si="9"/>
        <v>3.493467511665093E-2</v>
      </c>
      <c r="W10" s="10">
        <f t="shared" si="10"/>
        <v>9.4634684990653733E-3</v>
      </c>
      <c r="X10" s="17"/>
      <c r="Y10" s="9" t="s">
        <v>20</v>
      </c>
      <c r="Z10" s="7">
        <v>0.05</v>
      </c>
      <c r="AC10" s="20" t="s">
        <v>73</v>
      </c>
    </row>
    <row r="11" spans="1:30" ht="15.5" x14ac:dyDescent="0.35">
      <c r="A11" s="3" t="s">
        <v>86</v>
      </c>
      <c r="B11" s="3">
        <f>AVERAGE('1highflow'!B11,'2highflow'!B11)</f>
        <v>2975</v>
      </c>
      <c r="C11" s="3">
        <f>AVERAGE('1highflow'!C11,'2highflow'!C11)</f>
        <v>49.583432500000001</v>
      </c>
      <c r="D11" s="3">
        <f>AVERAGE('1highflow'!D11,'2highflow'!D11)</f>
        <v>0.82638955000000003</v>
      </c>
      <c r="E11" s="3">
        <f>AVERAGE('1highflow'!E11,'2highflow'!E11)</f>
        <v>8.2638955000000004E-4</v>
      </c>
      <c r="F11" s="3">
        <f>AVERAGE('1highflow'!F11,'2highflow'!F11)</f>
        <v>1.6527791000000001</v>
      </c>
      <c r="G11" s="3">
        <f>AVERAGE('1highflow'!G11,'2highflow'!G11)</f>
        <v>2.7318716549400204</v>
      </c>
      <c r="H11" s="3">
        <f>AVERAGE('1highflow'!H11,'2highflow'!H11)</f>
        <v>3.212738125744</v>
      </c>
      <c r="I11" s="3">
        <f>AVERAGE('1highflow'!I11,'2highflow'!I11)</f>
        <v>3.3902534982826014</v>
      </c>
      <c r="J11" s="3">
        <f>AVERAGE('1highflow'!J11,'2highflow'!J11)</f>
        <v>33.902534982826012</v>
      </c>
      <c r="K11" s="3">
        <f>AVERAGE('1highflow'!K11,'2highflow'!K11)</f>
        <v>3390.2534982826019</v>
      </c>
      <c r="L11" s="3">
        <f>AVERAGE('1highflow'!L11,'2highflow'!L11)</f>
        <v>25188.937131076353</v>
      </c>
      <c r="M11" s="3">
        <f>AVERAGE('1highflow'!M11,'2highflow'!M11)</f>
        <v>16.520121622847064</v>
      </c>
      <c r="N11" s="3">
        <f>AVERAGE('1highflow'!N11,'2highflow'!N11)</f>
        <v>4.7145922085032765E-2</v>
      </c>
      <c r="O11" s="3">
        <f>AVERAGE('1highflow'!O11,'2highflow'!O11)</f>
        <v>1.1786480521258191E-2</v>
      </c>
      <c r="P11" s="3">
        <f>AVERAGE('1highflow'!P11,'2highflow'!P11)</f>
        <v>1.6845333206376684E-2</v>
      </c>
      <c r="Q11" s="3">
        <f>AVERAGE('1highflow'!Q11,'2highflow'!Q11)</f>
        <v>9.2518600000000006E-3</v>
      </c>
      <c r="R11" s="3">
        <f>AVERAGE('1highflow'!R11,'2highflow'!R11)</f>
        <v>1.5613900525395692E-2</v>
      </c>
      <c r="T11" s="11">
        <v>0.4</v>
      </c>
      <c r="U11" s="10">
        <f t="shared" si="8"/>
        <v>6507.936507936508</v>
      </c>
      <c r="V11" s="10">
        <f t="shared" si="9"/>
        <v>3.2510378414708573E-2</v>
      </c>
      <c r="W11" s="10">
        <f t="shared" si="10"/>
        <v>8.8067497691898915E-3</v>
      </c>
      <c r="X11" s="17"/>
      <c r="Y11" s="9" t="s">
        <v>21</v>
      </c>
      <c r="Z11" s="7">
        <v>0.01</v>
      </c>
      <c r="AC11" s="21" t="s">
        <v>74</v>
      </c>
      <c r="AD11" s="3" t="s">
        <v>22</v>
      </c>
    </row>
    <row r="12" spans="1:30" ht="15.5" x14ac:dyDescent="0.35">
      <c r="A12" s="3" t="s">
        <v>42</v>
      </c>
      <c r="B12" s="3">
        <f>AVERAGE('1highflow'!B12,'2highflow'!B12)</f>
        <v>3375</v>
      </c>
      <c r="C12" s="3">
        <f>AVERAGE('1highflow'!C12,'2highflow'!C12)</f>
        <v>56.2501125</v>
      </c>
      <c r="D12" s="3">
        <f>AVERAGE('1highflow'!D12,'2highflow'!D12)</f>
        <v>0.93750074999999999</v>
      </c>
      <c r="E12" s="3">
        <f>AVERAGE('1highflow'!E12,'2highflow'!E12)</f>
        <v>9.3750075E-4</v>
      </c>
      <c r="F12" s="3">
        <f>AVERAGE('1highflow'!F12,'2highflow'!F12)</f>
        <v>1.8750015</v>
      </c>
      <c r="G12" s="3">
        <f>AVERAGE('1highflow'!G12,'2highflow'!G12)</f>
        <v>3.5158235265454598</v>
      </c>
      <c r="H12" s="3">
        <f>AVERAGE('1highflow'!H12,'2highflow'!H12)</f>
        <v>3.6447029157599999</v>
      </c>
      <c r="I12" s="3">
        <f>AVERAGE('1highflow'!I12,'2highflow'!I12)</f>
        <v>4.2820564131081902</v>
      </c>
      <c r="J12" s="3">
        <f>AVERAGE('1highflow'!J12,'2highflow'!J12)</f>
        <v>42.820564131081909</v>
      </c>
      <c r="K12" s="3">
        <f>AVERAGE('1highflow'!K12,'2highflow'!K12)</f>
        <v>4282.0564131081901</v>
      </c>
      <c r="L12" s="3">
        <f>AVERAGE('1highflow'!L12,'2highflow'!L12)</f>
        <v>28722.313361843459</v>
      </c>
      <c r="M12" s="3">
        <f>AVERAGE('1highflow'!M12,'2highflow'!M12)</f>
        <v>20.946742259018244</v>
      </c>
      <c r="N12" s="3">
        <f>AVERAGE('1highflow'!N12,'2highflow'!N12)</f>
        <v>4.6456815253881192E-2</v>
      </c>
      <c r="O12" s="3">
        <f>AVERAGE('1highflow'!O12,'2highflow'!O12)</f>
        <v>1.1614203813470298E-2</v>
      </c>
      <c r="P12" s="3">
        <f>AVERAGE('1highflow'!P12,'2highflow'!P12)</f>
        <v>1.6327064056156335E-2</v>
      </c>
      <c r="Q12" s="3">
        <f>AVERAGE('1highflow'!Q12,'2highflow'!Q12)</f>
        <v>9.3099250000000001E-3</v>
      </c>
      <c r="R12" s="3">
        <f>AVERAGE('1highflow'!R12,'2highflow'!R12)</f>
        <v>1.569515805511322E-2</v>
      </c>
      <c r="T12" s="11">
        <v>0.5</v>
      </c>
      <c r="U12" s="10">
        <f t="shared" si="8"/>
        <v>8134.9206349206352</v>
      </c>
      <c r="V12" s="10">
        <f t="shared" si="9"/>
        <v>3.0746417591228595E-2</v>
      </c>
      <c r="W12" s="10">
        <f t="shared" si="10"/>
        <v>8.3289096968019935E-3</v>
      </c>
      <c r="X12" s="17"/>
      <c r="Y12" s="9" t="s">
        <v>71</v>
      </c>
      <c r="Z12" s="4">
        <f>2*(Z10*Z11)/(Z10+Z11)</f>
        <v>1.6666666666666666E-2</v>
      </c>
      <c r="AA12" s="9">
        <f>10*Z12*100</f>
        <v>16.666666666666664</v>
      </c>
      <c r="AC12" s="20" t="s">
        <v>75</v>
      </c>
      <c r="AD12" s="3" t="s">
        <v>23</v>
      </c>
    </row>
    <row r="13" spans="1:30" ht="15.5" x14ac:dyDescent="0.35">
      <c r="A13" s="3" t="s">
        <v>85</v>
      </c>
      <c r="B13" s="3">
        <f>AVERAGE('1highflow'!B13,'2highflow'!B13)</f>
        <v>3750</v>
      </c>
      <c r="C13" s="3">
        <f>AVERAGE('1highflow'!C13,'2highflow'!C13)</f>
        <v>62.500124999999997</v>
      </c>
      <c r="D13" s="3">
        <f>AVERAGE('1highflow'!D13,'2highflow'!D13)</f>
        <v>1.0416675</v>
      </c>
      <c r="E13" s="3">
        <f>AVERAGE('1highflow'!E13,'2highflow'!E13)</f>
        <v>1.0416675E-3</v>
      </c>
      <c r="F13" s="3">
        <f>AVERAGE('1highflow'!F13,'2highflow'!F13)</f>
        <v>2.0833349999999999</v>
      </c>
      <c r="G13" s="3">
        <f>AVERAGE('1highflow'!G13,'2highflow'!G13)</f>
        <v>4.3410563283978396</v>
      </c>
      <c r="H13" s="3">
        <f>AVERAGE('1highflow'!H13,'2highflow'!H13)</f>
        <v>4.0496699064000001</v>
      </c>
      <c r="I13" s="3">
        <f>AVERAGE('1highflow'!I13,'2highflow'!I13)</f>
        <v>5.2644312730122067</v>
      </c>
      <c r="J13" s="3">
        <f>AVERAGE('1highflow'!J13,'2highflow'!J13)</f>
        <v>52.644312730122067</v>
      </c>
      <c r="K13" s="3">
        <f>AVERAGE('1highflow'!K13,'2highflow'!K13)</f>
        <v>5264.4312730122074</v>
      </c>
      <c r="L13" s="3">
        <f>AVERAGE('1highflow'!L13,'2highflow'!L13)</f>
        <v>31878.068716268957</v>
      </c>
      <c r="M13" s="3">
        <f>AVERAGE('1highflow'!M13,'2highflow'!M13)</f>
        <v>25.726948358642446</v>
      </c>
      <c r="N13" s="3">
        <f>AVERAGE('1highflow'!N13,'2highflow'!N13)</f>
        <v>4.6223280951550885E-2</v>
      </c>
      <c r="O13" s="3">
        <f>AVERAGE('1highflow'!O13,'2highflow'!O13)</f>
        <v>1.1555820237887721E-2</v>
      </c>
      <c r="P13" s="3">
        <f>AVERAGE('1highflow'!P13,'2highflow'!P13)</f>
        <v>1.614417917510701E-2</v>
      </c>
      <c r="Q13" s="3">
        <f>AVERAGE('1highflow'!Q13,'2highflow'!Q13)</f>
        <v>9.3011199999999995E-3</v>
      </c>
      <c r="R13" s="3">
        <f>AVERAGE('1highflow'!R13,'2highflow'!R13)</f>
        <v>1.5681471606912425E-2</v>
      </c>
      <c r="T13" s="11">
        <v>0.6</v>
      </c>
      <c r="U13" s="10">
        <f t="shared" si="8"/>
        <v>9761.9047619047615</v>
      </c>
      <c r="V13" s="10">
        <f t="shared" si="9"/>
        <v>2.9376443073644908E-2</v>
      </c>
      <c r="W13" s="10">
        <f t="shared" si="10"/>
        <v>7.9577967367305217E-3</v>
      </c>
      <c r="X13" s="17"/>
      <c r="Y13" s="9" t="s">
        <v>72</v>
      </c>
      <c r="Z13" s="8">
        <f>Z$17/Z$16</f>
        <v>1.024390243902439E-6</v>
      </c>
    </row>
    <row r="14" spans="1:30" ht="15.5" x14ac:dyDescent="0.35">
      <c r="A14" s="3" t="s">
        <v>43</v>
      </c>
      <c r="B14" s="3">
        <f>AVERAGE('1highflow'!B14,'2highflow'!B14)</f>
        <v>4100</v>
      </c>
      <c r="C14" s="3">
        <f>AVERAGE('1highflow'!C14,'2highflow'!C14)</f>
        <v>68.333469999999991</v>
      </c>
      <c r="D14" s="3">
        <f>AVERAGE('1highflow'!D14,'2highflow'!D14)</f>
        <v>1.1388898000000001</v>
      </c>
      <c r="E14" s="3">
        <f>AVERAGE('1highflow'!E14,'2highflow'!E14)</f>
        <v>1.1388898000000002E-3</v>
      </c>
      <c r="F14" s="3">
        <f>AVERAGE('1highflow'!F14,'2highflow'!F14)</f>
        <v>2.2777796000000001</v>
      </c>
      <c r="G14" s="3">
        <f>AVERAGE('1highflow'!G14,'2highflow'!G14)</f>
        <v>5.1882799061761604</v>
      </c>
      <c r="H14" s="3">
        <f>AVERAGE('1highflow'!H14,'2highflow'!H14)</f>
        <v>4.4276390976640005</v>
      </c>
      <c r="I14" s="3">
        <f>AVERAGE('1highflow'!I14,'2highflow'!I14)</f>
        <v>6.2821801452331467</v>
      </c>
      <c r="J14" s="3">
        <f>AVERAGE('1highflow'!J14,'2highflow'!J14)</f>
        <v>62.821801452331471</v>
      </c>
      <c r="K14" s="3">
        <f>AVERAGE('1highflow'!K14,'2highflow'!K14)</f>
        <v>6282.1801452331474</v>
      </c>
      <c r="L14" s="3">
        <f>AVERAGE('1highflow'!L14,'2highflow'!L14)</f>
        <v>34951.064176398817</v>
      </c>
      <c r="M14" s="3">
        <f>AVERAGE('1highflow'!M14,'2highflow'!M14)</f>
        <v>30.812992854829751</v>
      </c>
      <c r="N14" s="3">
        <f>AVERAGE('1highflow'!N14,'2highflow'!N14)</f>
        <v>4.6352867597526493E-2</v>
      </c>
      <c r="O14" s="3">
        <f>AVERAGE('1highflow'!O14,'2highflow'!O14)</f>
        <v>1.1588216899381623E-2</v>
      </c>
      <c r="P14" s="3">
        <f>AVERAGE('1highflow'!P14,'2highflow'!P14)</f>
        <v>1.6460541655417306E-2</v>
      </c>
      <c r="Q14" s="3">
        <f>AVERAGE('1highflow'!Q14,'2highflow'!Q14)</f>
        <v>9.325884999999999E-3</v>
      </c>
      <c r="R14" s="3">
        <f>AVERAGE('1highflow'!R14,'2highflow'!R14)</f>
        <v>1.5718609981541225E-2</v>
      </c>
      <c r="T14" s="11">
        <v>0.7</v>
      </c>
      <c r="U14" s="10">
        <f t="shared" si="8"/>
        <v>11388.888888888887</v>
      </c>
      <c r="V14" s="10">
        <f t="shared" si="9"/>
        <v>2.8265880103407474E-2</v>
      </c>
      <c r="W14" s="10">
        <f t="shared" si="10"/>
        <v>7.6569558773271623E-3</v>
      </c>
      <c r="X14" s="17"/>
      <c r="Y14" s="9" t="s">
        <v>24</v>
      </c>
      <c r="Z14" s="3">
        <v>0.8</v>
      </c>
      <c r="AC14" s="20" t="s">
        <v>76</v>
      </c>
      <c r="AD14" s="9" t="s">
        <v>25</v>
      </c>
    </row>
    <row r="15" spans="1:30" ht="15.5" x14ac:dyDescent="0.35">
      <c r="A15" s="3" t="s">
        <v>84</v>
      </c>
      <c r="B15" s="3">
        <f>AVERAGE('1highflow'!B15,'2highflow'!B15)</f>
        <v>4425</v>
      </c>
      <c r="C15" s="3">
        <f>AVERAGE('1highflow'!C15,'2highflow'!C15)</f>
        <v>73.750147499999997</v>
      </c>
      <c r="D15" s="3">
        <f>AVERAGE('1highflow'!D15,'2highflow'!D15)</f>
        <v>1.2291676499999999</v>
      </c>
      <c r="E15" s="3">
        <f>AVERAGE('1highflow'!E15,'2highflow'!E15)</f>
        <v>1.22916765E-3</v>
      </c>
      <c r="F15" s="3">
        <f>AVERAGE('1highflow'!F15,'2highflow'!F15)</f>
        <v>2.4583352999999999</v>
      </c>
      <c r="G15" s="3">
        <f>AVERAGE('1highflow'!G15,'2highflow'!G15)</f>
        <v>6.0436053487692991</v>
      </c>
      <c r="H15" s="3">
        <f>AVERAGE('1highflow'!H15,'2highflow'!H15)</f>
        <v>4.7786104895519994</v>
      </c>
      <c r="I15" s="3">
        <f>AVERAGE('1highflow'!I15,'2highflow'!I15)</f>
        <v>7.2112135640127857</v>
      </c>
      <c r="J15" s="3">
        <f>AVERAGE('1highflow'!J15,'2highflow'!J15)</f>
        <v>72.11213564012786</v>
      </c>
      <c r="K15" s="3">
        <f>AVERAGE('1highflow'!K15,'2highflow'!K15)</f>
        <v>7211.2135640127854</v>
      </c>
      <c r="L15" s="3">
        <f>AVERAGE('1highflow'!L15,'2highflow'!L15)</f>
        <v>37982.53775698629</v>
      </c>
      <c r="M15" s="3">
        <f>AVERAGE('1highflow'!M15,'2highflow'!M15)</f>
        <v>35.581834997159731</v>
      </c>
      <c r="N15" s="3">
        <f>AVERAGE('1highflow'!N15,'2highflow'!N15)</f>
        <v>4.5929605313381347E-2</v>
      </c>
      <c r="O15" s="3">
        <f>AVERAGE('1highflow'!O15,'2highflow'!O15)</f>
        <v>1.1482401328345337E-2</v>
      </c>
      <c r="P15" s="3">
        <f>AVERAGE('1highflow'!P15,'2highflow'!P15)</f>
        <v>1.6091509762498801E-2</v>
      </c>
      <c r="Q15" s="3">
        <f>AVERAGE('1highflow'!Q15,'2highflow'!Q15)</f>
        <v>9.40562E-3</v>
      </c>
      <c r="R15" s="3">
        <f>AVERAGE('1highflow'!R15,'2highflow'!R15)</f>
        <v>1.5830090412638352E-2</v>
      </c>
      <c r="T15" s="11">
        <v>0.8</v>
      </c>
      <c r="U15" s="10">
        <f t="shared" si="8"/>
        <v>13015.873015873016</v>
      </c>
      <c r="V15" s="10">
        <f t="shared" si="9"/>
        <v>2.7337860667470175E-2</v>
      </c>
      <c r="W15" s="10">
        <f t="shared" si="10"/>
        <v>7.4055643109482575E-3</v>
      </c>
      <c r="X15" s="17"/>
    </row>
    <row r="16" spans="1:30" ht="15.5" x14ac:dyDescent="0.35">
      <c r="A16" s="3" t="s">
        <v>44</v>
      </c>
      <c r="B16" s="3">
        <f>AVERAGE('1highflow'!B16,'2highflow'!B16)</f>
        <v>4825</v>
      </c>
      <c r="C16" s="3">
        <f>AVERAGE('1highflow'!C16,'2highflow'!C16)</f>
        <v>80.416827499999997</v>
      </c>
      <c r="D16" s="3">
        <f>AVERAGE('1highflow'!D16,'2highflow'!D16)</f>
        <v>1.34027885</v>
      </c>
      <c r="E16" s="3">
        <f>AVERAGE('1highflow'!E16,'2highflow'!E16)</f>
        <v>1.3402788499999999E-3</v>
      </c>
      <c r="F16" s="3">
        <f>AVERAGE('1highflow'!F16,'2highflow'!F16)</f>
        <v>2.6805577</v>
      </c>
      <c r="G16" s="3">
        <f>AVERAGE('1highflow'!G16,'2highflow'!G16)</f>
        <v>7.1855824845724996</v>
      </c>
      <c r="H16" s="3">
        <f>AVERAGE('1highflow'!H16,'2highflow'!H16)</f>
        <v>5.2105752795680003</v>
      </c>
      <c r="I16" s="3">
        <f>AVERAGE('1highflow'!I16,'2highflow'!I16)</f>
        <v>8.1475569018292084</v>
      </c>
      <c r="J16" s="3">
        <f>AVERAGE('1highflow'!J16,'2highflow'!J16)</f>
        <v>81.475569018292092</v>
      </c>
      <c r="K16" s="3">
        <f>AVERAGE('1highflow'!K16,'2highflow'!K16)</f>
        <v>8147.556901829209</v>
      </c>
      <c r="L16" s="3">
        <f>AVERAGE('1highflow'!L16,'2highflow'!L16)</f>
        <v>40276.6388380305</v>
      </c>
      <c r="M16" s="3">
        <f>AVERAGE('1highflow'!M16,'2highflow'!M16)</f>
        <v>39.182508094351363</v>
      </c>
      <c r="N16" s="3">
        <f>AVERAGE('1highflow'!N16,'2highflow'!N16)</f>
        <v>4.2537432152257026E-2</v>
      </c>
      <c r="O16" s="3">
        <f>AVERAGE('1highflow'!O16,'2highflow'!O16)</f>
        <v>1.0634358038064257E-2</v>
      </c>
      <c r="P16" s="3">
        <f>AVERAGE('1highflow'!P16,'2highflow'!P16)</f>
        <v>1.2872484771121729E-2</v>
      </c>
      <c r="Q16" s="3">
        <f>AVERAGE('1highflow'!Q16,'2highflow'!Q16)</f>
        <v>9.0962199999999986E-3</v>
      </c>
      <c r="R16" s="3">
        <f>AVERAGE('1highflow'!R16,'2highflow'!R16)</f>
        <v>1.5392192613066688E-2</v>
      </c>
      <c r="S16" s="16"/>
      <c r="T16" s="11">
        <v>0.9</v>
      </c>
      <c r="U16" s="10">
        <f t="shared" si="8"/>
        <v>14642.857142857143</v>
      </c>
      <c r="V16" s="10">
        <f t="shared" si="9"/>
        <v>2.6544612820276092E-2</v>
      </c>
      <c r="W16" s="10">
        <f t="shared" si="10"/>
        <v>7.1906810756295868E-3</v>
      </c>
      <c r="X16" s="17"/>
      <c r="Y16" s="3" t="s">
        <v>26</v>
      </c>
      <c r="Z16" s="3">
        <f>VLOOKUP(Z18, Seawater!A4:F34, 3, FALSE)</f>
        <v>1025</v>
      </c>
    </row>
    <row r="17" spans="1:32" ht="15.5" x14ac:dyDescent="0.35">
      <c r="A17" s="3" t="s">
        <v>83</v>
      </c>
      <c r="B17" s="3">
        <f>AVERAGE('1highflow'!B17,'2highflow'!B17)</f>
        <v>5200</v>
      </c>
      <c r="C17" s="3">
        <f>AVERAGE('1highflow'!C17,'2highflow'!C17)</f>
        <v>86.666840000000008</v>
      </c>
      <c r="D17" s="3">
        <f>AVERAGE('1highflow'!D17,'2highflow'!D17)</f>
        <v>1.4444456000000001</v>
      </c>
      <c r="E17" s="3">
        <f>AVERAGE('1highflow'!E17,'2highflow'!E17)</f>
        <v>1.4444456000000001E-3</v>
      </c>
      <c r="F17" s="3">
        <f>AVERAGE('1highflow'!F17,'2highflow'!F17)</f>
        <v>2.8888912000000002</v>
      </c>
      <c r="G17" s="3">
        <f>AVERAGE('1highflow'!G17,'2highflow'!G17)</f>
        <v>8.3464639716102802</v>
      </c>
      <c r="H17" s="3">
        <f>AVERAGE('1highflow'!H17,'2highflow'!H17)</f>
        <v>5.6155422702080005</v>
      </c>
      <c r="I17" s="3">
        <f>AVERAGE('1highflow'!I17,'2highflow'!I17)</f>
        <v>8.5916747971355267</v>
      </c>
      <c r="J17" s="3">
        <f>AVERAGE('1highflow'!J17,'2highflow'!J17)</f>
        <v>85.916747971355264</v>
      </c>
      <c r="K17" s="3">
        <f>AVERAGE('1highflow'!K17,'2highflow'!K17)</f>
        <v>8591.6747971355253</v>
      </c>
      <c r="L17" s="3">
        <f>AVERAGE('1highflow'!L17,'2highflow'!L17)</f>
        <v>44558.708728526748</v>
      </c>
      <c r="M17" s="3">
        <f>AVERAGE('1highflow'!M17,'2highflow'!M17)</f>
        <v>42.375536174062432</v>
      </c>
      <c r="N17" s="3">
        <f>AVERAGE('1highflow'!N17,'2highflow'!N17)</f>
        <v>3.9628438050669908E-2</v>
      </c>
      <c r="O17" s="3">
        <f>AVERAGE('1highflow'!O17,'2highflow'!O17)</f>
        <v>9.9071095126674769E-3</v>
      </c>
      <c r="P17" s="3">
        <f>AVERAGE('1highflow'!P17,'2highflow'!P17)</f>
        <v>1.0342401881168584E-2</v>
      </c>
      <c r="Q17" s="3">
        <f>AVERAGE('1highflow'!Q17,'2highflow'!Q17)</f>
        <v>9.3878299999999998E-3</v>
      </c>
      <c r="R17" s="3">
        <f>AVERAGE('1highflow'!R17,'2highflow'!R17)</f>
        <v>1.5804951801409624E-2</v>
      </c>
      <c r="T17" s="11">
        <v>1</v>
      </c>
      <c r="U17" s="10">
        <f t="shared" si="8"/>
        <v>16269.84126984127</v>
      </c>
      <c r="V17" s="10">
        <f t="shared" si="9"/>
        <v>2.5854552334357874E-2</v>
      </c>
      <c r="W17" s="10">
        <f t="shared" si="10"/>
        <v>7.0037503070126987E-3</v>
      </c>
      <c r="X17" s="17"/>
      <c r="Y17" s="3" t="s">
        <v>27</v>
      </c>
      <c r="Z17" s="3">
        <f>VLOOKUP(Z18, Seawater!A4:F34, 5, FALSE)</f>
        <v>1.0499999999999999E-3</v>
      </c>
      <c r="AC17" s="12"/>
      <c r="AD17" s="12"/>
      <c r="AE17" s="12"/>
      <c r="AF17" s="12"/>
    </row>
    <row r="18" spans="1:32" ht="15.5" x14ac:dyDescent="0.35">
      <c r="A18" s="3" t="s">
        <v>50</v>
      </c>
      <c r="B18" s="3">
        <f>AVERAGE('1highflow'!B18,'2highflow'!B18)</f>
        <v>5550</v>
      </c>
      <c r="C18" s="3">
        <f>AVERAGE('1highflow'!C18,'2highflow'!C18)</f>
        <v>92.500184999999988</v>
      </c>
      <c r="D18" s="3">
        <f>AVERAGE('1highflow'!D18,'2highflow'!D18)</f>
        <v>1.5416679</v>
      </c>
      <c r="E18" s="3">
        <f>AVERAGE('1highflow'!E18,'2highflow'!E18)</f>
        <v>1.5416678999999999E-3</v>
      </c>
      <c r="F18" s="3">
        <f>AVERAGE('1highflow'!F18,'2highflow'!F18)</f>
        <v>3.0833358</v>
      </c>
      <c r="G18" s="3">
        <f>AVERAGE('1highflow'!G18,'2highflow'!G18)</f>
        <v>9.5077312617344791</v>
      </c>
      <c r="H18" s="3">
        <f>AVERAGE('1highflow'!H18,'2highflow'!H18)</f>
        <v>5.993511461472</v>
      </c>
      <c r="I18" s="3">
        <f>AVERAGE('1highflow'!I18,'2highflow'!I18)</f>
        <v>8.7733403627216138</v>
      </c>
      <c r="J18" s="3">
        <f>AVERAGE('1highflow'!J18,'2highflow'!J18)</f>
        <v>87.733403627216134</v>
      </c>
      <c r="K18" s="3">
        <f>AVERAGE('1highflow'!K18,'2highflow'!K18)</f>
        <v>8773.3403627216139</v>
      </c>
      <c r="L18" s="3">
        <f>AVERAGE('1highflow'!L18,'2highflow'!L18)</f>
        <v>48390.16305141976</v>
      </c>
      <c r="M18" s="3">
        <f>AVERAGE('1highflow'!M18,'2highflow'!M18)</f>
        <v>44.059519541646139</v>
      </c>
      <c r="N18" s="3">
        <f>AVERAGE('1highflow'!N18,'2highflow'!N18)</f>
        <v>3.6170767112904303E-2</v>
      </c>
      <c r="O18" s="3">
        <f>AVERAGE('1highflow'!O18,'2highflow'!O18)</f>
        <v>9.0426917782260759E-3</v>
      </c>
      <c r="P18" s="3">
        <f>AVERAGE('1highflow'!P18,'2highflow'!P18)</f>
        <v>7.6846351035979553E-3</v>
      </c>
      <c r="Q18" s="3">
        <f>AVERAGE('1highflow'!Q18,'2highflow'!Q18)</f>
        <v>9.5808400000000002E-3</v>
      </c>
      <c r="R18" s="3">
        <f>AVERAGE('1highflow'!R18,'2highflow'!R18)</f>
        <v>1.6079440034539802E-2</v>
      </c>
      <c r="S18" s="11"/>
      <c r="T18" s="11">
        <v>1.1000000000000001</v>
      </c>
      <c r="U18" s="10">
        <f t="shared" si="8"/>
        <v>17896.825396825396</v>
      </c>
      <c r="V18" s="10">
        <f t="shared" si="9"/>
        <v>2.5245783363633954E-2</v>
      </c>
      <c r="W18" s="10">
        <f t="shared" si="10"/>
        <v>6.8388406303542667E-3</v>
      </c>
      <c r="X18" s="17"/>
      <c r="Y18" s="3" t="s">
        <v>70</v>
      </c>
      <c r="Z18" s="3">
        <v>21</v>
      </c>
      <c r="AC18" s="12"/>
      <c r="AD18" s="12"/>
      <c r="AE18" s="12"/>
      <c r="AF18" s="12"/>
    </row>
    <row r="19" spans="1:32" ht="15.5" x14ac:dyDescent="0.35">
      <c r="A19" s="3" t="s">
        <v>82</v>
      </c>
      <c r="B19" s="3">
        <f>AVERAGE('1highflow'!B19,'2highflow'!B19)</f>
        <v>5125</v>
      </c>
      <c r="C19" s="3">
        <f>AVERAGE('1highflow'!C19,'2highflow'!C19)</f>
        <v>85.416837499999986</v>
      </c>
      <c r="D19" s="3">
        <f>AVERAGE('1highflow'!D19,'2highflow'!D19)</f>
        <v>1.4236122500000001</v>
      </c>
      <c r="E19" s="3">
        <f>AVERAGE('1highflow'!E19,'2highflow'!E19)</f>
        <v>1.4236122500000002E-3</v>
      </c>
      <c r="F19" s="3">
        <f>AVERAGE('1highflow'!F19,'2highflow'!F19)</f>
        <v>2.8472245000000003</v>
      </c>
      <c r="G19" s="3">
        <f>AVERAGE('1highflow'!G19,'2highflow'!G19)</f>
        <v>8.1084234672891409</v>
      </c>
      <c r="H19" s="3">
        <f>AVERAGE('1highflow'!H19,'2highflow'!H19)</f>
        <v>5.5345488720800002</v>
      </c>
      <c r="I19" s="3">
        <f>AVERAGE('1highflow'!I19,'2highflow'!I19)</f>
        <v>8.3766921123871114</v>
      </c>
      <c r="J19" s="3">
        <f>AVERAGE('1highflow'!J19,'2highflow'!J19)</f>
        <v>83.766921123871128</v>
      </c>
      <c r="K19" s="3">
        <f>AVERAGE('1highflow'!K19,'2highflow'!K19)</f>
        <v>8376.6921123871125</v>
      </c>
      <c r="L19" s="3">
        <f>AVERAGE('1highflow'!L19,'2highflow'!L19)</f>
        <v>44213.360942755047</v>
      </c>
      <c r="M19" s="3">
        <f>AVERAGE('1highflow'!M19,'2highflow'!M19)</f>
        <v>41.579905930129534</v>
      </c>
      <c r="N19" s="3">
        <f>AVERAGE('1highflow'!N19,'2highflow'!N19)</f>
        <v>4.001271766689013E-2</v>
      </c>
      <c r="O19" s="3">
        <f>AVERAGE('1highflow'!O19,'2highflow'!O19)</f>
        <v>1.0003179416722532E-2</v>
      </c>
      <c r="P19" s="3">
        <f>AVERAGE('1highflow'!P19,'2highflow'!P19)</f>
        <v>1.0662800404649913E-2</v>
      </c>
      <c r="Q19" s="3">
        <f>AVERAGE('1highflow'!Q19,'2highflow'!Q19)</f>
        <v>9.4645600000000003E-3</v>
      </c>
      <c r="R19" s="3">
        <f>AVERAGE('1highflow'!R19,'2highflow'!R19)</f>
        <v>1.5913903288125524E-2</v>
      </c>
      <c r="T19" s="11">
        <v>1.2</v>
      </c>
      <c r="U19" s="10">
        <f t="shared" si="8"/>
        <v>19523.809523809523</v>
      </c>
      <c r="V19" s="10">
        <f t="shared" si="9"/>
        <v>2.4702545673532816E-2</v>
      </c>
      <c r="W19" s="10">
        <f t="shared" si="10"/>
        <v>6.6916827492344037E-3</v>
      </c>
      <c r="X19" s="17"/>
      <c r="Y19" s="9"/>
      <c r="Z19" s="9"/>
      <c r="AC19" s="14" t="s">
        <v>28</v>
      </c>
      <c r="AD19" s="14"/>
      <c r="AE19" s="14"/>
      <c r="AF19" s="14"/>
    </row>
    <row r="20" spans="1:32" ht="15.5" x14ac:dyDescent="0.35">
      <c r="A20" s="18" t="s">
        <v>45</v>
      </c>
      <c r="B20" s="3">
        <f>AVERAGE('1highflow'!B20,'2highflow'!B20)</f>
        <v>4750</v>
      </c>
      <c r="C20" s="3">
        <f>AVERAGE('1highflow'!C20,'2highflow'!C20)</f>
        <v>79.166824999999989</v>
      </c>
      <c r="D20" s="3">
        <f>AVERAGE('1highflow'!D20,'2highflow'!D20)</f>
        <v>1.3194455</v>
      </c>
      <c r="E20" s="3">
        <f>AVERAGE('1highflow'!E20,'2highflow'!E20)</f>
        <v>1.3194455E-3</v>
      </c>
      <c r="F20" s="3">
        <f>AVERAGE('1highflow'!F20,'2highflow'!F20)</f>
        <v>2.6388910000000001</v>
      </c>
      <c r="G20" s="3">
        <f>AVERAGE('1highflow'!G20,'2highflow'!G20)</f>
        <v>6.9645173160538407</v>
      </c>
      <c r="H20" s="3">
        <f>AVERAGE('1highflow'!H20,'2highflow'!H20)</f>
        <v>5.12958188144</v>
      </c>
      <c r="I20" s="3">
        <f>AVERAGE('1highflow'!I20,'2highflow'!I20)</f>
        <v>7.6184299114692973</v>
      </c>
      <c r="J20" s="3">
        <f>AVERAGE('1highflow'!J20,'2highflow'!J20)</f>
        <v>76.184299114692976</v>
      </c>
      <c r="K20" s="3">
        <f>AVERAGE('1highflow'!K20,'2highflow'!K20)</f>
        <v>7618.4299114692967</v>
      </c>
      <c r="L20" s="3">
        <f>AVERAGE('1highflow'!L20,'2highflow'!L20)</f>
        <v>40973.06401480543</v>
      </c>
      <c r="M20" s="3">
        <f>AVERAGE('1highflow'!M20,'2highflow'!M20)</f>
        <v>37.790278967822289</v>
      </c>
      <c r="N20" s="3">
        <f>AVERAGE('1highflow'!N20,'2highflow'!N20)</f>
        <v>4.2315560611285774E-2</v>
      </c>
      <c r="O20" s="3">
        <f>AVERAGE('1highflow'!O20,'2highflow'!O20)</f>
        <v>1.0578890152821444E-2</v>
      </c>
      <c r="P20" s="3">
        <f>AVERAGE('1highflow'!P20,'2highflow'!P20)</f>
        <v>1.2661905554722817E-2</v>
      </c>
      <c r="Q20" s="3">
        <f>AVERAGE('1highflow'!Q20,'2highflow'!Q20)</f>
        <v>9.4614550000000006E-3</v>
      </c>
      <c r="R20" s="3">
        <f>AVERAGE('1highflow'!R20,'2highflow'!R20)</f>
        <v>1.590977928445958E-2</v>
      </c>
      <c r="T20" s="11">
        <v>1.3</v>
      </c>
      <c r="U20" s="10">
        <f t="shared" si="8"/>
        <v>21150.79365079365</v>
      </c>
      <c r="V20" s="10">
        <f t="shared" si="9"/>
        <v>2.4213143973354254E-2</v>
      </c>
      <c r="W20" s="10">
        <f t="shared" si="10"/>
        <v>6.5591085215490471E-3</v>
      </c>
      <c r="X20" s="17"/>
      <c r="AC20" s="19" t="s">
        <v>29</v>
      </c>
      <c r="AD20" s="14" t="s">
        <v>30</v>
      </c>
      <c r="AE20" s="14" t="s">
        <v>31</v>
      </c>
      <c r="AF20" s="14" t="s">
        <v>32</v>
      </c>
    </row>
    <row r="21" spans="1:32" ht="15.5" x14ac:dyDescent="0.35">
      <c r="A21" s="18" t="s">
        <v>81</v>
      </c>
      <c r="B21" s="3">
        <f>AVERAGE('1highflow'!B21,'2highflow'!B21)</f>
        <v>4325</v>
      </c>
      <c r="C21" s="3">
        <f>AVERAGE('1highflow'!C21,'2highflow'!C21)</f>
        <v>72.083477499999987</v>
      </c>
      <c r="D21" s="3">
        <f>AVERAGE('1highflow'!D21,'2highflow'!D21)</f>
        <v>1.20138985</v>
      </c>
      <c r="E21" s="3">
        <f>AVERAGE('1highflow'!E21,'2highflow'!E21)</f>
        <v>1.20138985E-3</v>
      </c>
      <c r="F21" s="3">
        <f>AVERAGE('1highflow'!F21,'2highflow'!F21)</f>
        <v>2.4027797</v>
      </c>
      <c r="G21" s="3">
        <f>AVERAGE('1highflow'!G21,'2highflow'!G21)</f>
        <v>5.7750864006209799</v>
      </c>
      <c r="H21" s="3">
        <f>AVERAGE('1highflow'!H21,'2highflow'!H21)</f>
        <v>4.6706192920480003</v>
      </c>
      <c r="I21" s="3">
        <f>AVERAGE('1highflow'!I21,'2highflow'!I21)</f>
        <v>6.3701531506949252</v>
      </c>
      <c r="J21" s="3">
        <f>AVERAGE('1highflow'!J21,'2highflow'!J21)</f>
        <v>63.701531506949252</v>
      </c>
      <c r="K21" s="3">
        <f>AVERAGE('1highflow'!K21,'2highflow'!K21)</f>
        <v>6370.153150694925</v>
      </c>
      <c r="L21" s="3">
        <f>AVERAGE('1highflow'!L21,'2highflow'!L21)</f>
        <v>37187.351688933995</v>
      </c>
      <c r="M21" s="3">
        <f>AVERAGE('1highflow'!M21,'2highflow'!M21)</f>
        <v>31.480429539348624</v>
      </c>
      <c r="N21" s="3">
        <f>AVERAGE('1highflow'!N21,'2highflow'!N21)</f>
        <v>4.2476383182300764E-2</v>
      </c>
      <c r="O21" s="3">
        <f>AVERAGE('1highflow'!O21,'2highflow'!O21)</f>
        <v>1.0619095795575191E-2</v>
      </c>
      <c r="P21" s="3">
        <f>AVERAGE('1highflow'!P21,'2highflow'!P21)</f>
        <v>1.271481305505461E-2</v>
      </c>
      <c r="Q21" s="3">
        <f>AVERAGE('1highflow'!Q21,'2highflow'!Q21)</f>
        <v>9.4277749999999994E-3</v>
      </c>
      <c r="R21" s="3">
        <f>AVERAGE('1highflow'!R21,'2highflow'!R21)</f>
        <v>1.5861941598460046E-2</v>
      </c>
      <c r="T21" s="11">
        <v>1.4</v>
      </c>
      <c r="U21" s="10">
        <f t="shared" si="8"/>
        <v>22777.777777777774</v>
      </c>
      <c r="V21" s="10">
        <f t="shared" si="9"/>
        <v>2.3768677252946641E-2</v>
      </c>
      <c r="W21" s="10">
        <f t="shared" si="10"/>
        <v>6.4387067490002722E-3</v>
      </c>
      <c r="X21" s="17"/>
      <c r="Y21" s="9" t="s">
        <v>33</v>
      </c>
      <c r="Z21" s="9">
        <f>4*10^(-6)</f>
        <v>3.9999999999999998E-6</v>
      </c>
      <c r="AC21" s="19" t="s">
        <v>34</v>
      </c>
      <c r="AD21" s="14" t="s">
        <v>35</v>
      </c>
      <c r="AE21" s="14" t="s">
        <v>36</v>
      </c>
      <c r="AF21" s="14" t="s">
        <v>37</v>
      </c>
    </row>
    <row r="22" spans="1:32" ht="15.5" x14ac:dyDescent="0.35">
      <c r="A22" s="18" t="s">
        <v>46</v>
      </c>
      <c r="B22" s="3">
        <f>AVERAGE('1highflow'!B22,'2highflow'!B22)</f>
        <v>3900</v>
      </c>
      <c r="C22" s="3">
        <f>AVERAGE('1highflow'!C22,'2highflow'!C22)</f>
        <v>65.000129999999999</v>
      </c>
      <c r="D22" s="3">
        <f>AVERAGE('1highflow'!D22,'2highflow'!D22)</f>
        <v>1.0833341999999999</v>
      </c>
      <c r="E22" s="3">
        <f>AVERAGE('1highflow'!E22,'2highflow'!E22)</f>
        <v>1.0833342000000001E-3</v>
      </c>
      <c r="F22" s="3">
        <f>AVERAGE('1highflow'!F22,'2highflow'!F22)</f>
        <v>2.1666683999999998</v>
      </c>
      <c r="G22" s="3">
        <f>AVERAGE('1highflow'!G22,'2highflow'!G22)</f>
        <v>4.6975383802499202</v>
      </c>
      <c r="H22" s="3">
        <f>AVERAGE('1highflow'!H22,'2highflow'!H22)</f>
        <v>4.2116567026560006</v>
      </c>
      <c r="I22" s="3">
        <f>AVERAGE('1highflow'!I22,'2highflow'!I22)</f>
        <v>5.2985380851489783</v>
      </c>
      <c r="J22" s="3">
        <f>AVERAGE('1highflow'!J22,'2highflow'!J22)</f>
        <v>52.985380851489786</v>
      </c>
      <c r="K22" s="3">
        <f>AVERAGE('1highflow'!K22,'2highflow'!K22)</f>
        <v>5298.538085148979</v>
      </c>
      <c r="L22" s="3">
        <f>AVERAGE('1highflow'!L22,'2highflow'!L22)</f>
        <v>33703.594887221749</v>
      </c>
      <c r="M22" s="3">
        <f>AVERAGE('1highflow'!M22,'2highflow'!M22)</f>
        <v>26.311387403220984</v>
      </c>
      <c r="N22" s="3">
        <f>AVERAGE('1highflow'!N22,'2highflow'!N22)</f>
        <v>4.3586843789855723E-2</v>
      </c>
      <c r="O22" s="3">
        <f>AVERAGE('1highflow'!O22,'2highflow'!O22)</f>
        <v>1.0896710947463931E-2</v>
      </c>
      <c r="P22" s="3">
        <f>AVERAGE('1highflow'!P22,'2highflow'!P22)</f>
        <v>1.3667765644082345E-2</v>
      </c>
      <c r="Q22" s="3">
        <f>AVERAGE('1highflow'!Q22,'2highflow'!Q22)</f>
        <v>9.4865550000000007E-3</v>
      </c>
      <c r="R22" s="3">
        <f>AVERAGE('1highflow'!R22,'2highflow'!R22)</f>
        <v>1.594539756048825E-2</v>
      </c>
      <c r="T22" s="11">
        <v>1.5</v>
      </c>
      <c r="U22" s="10">
        <f t="shared" si="8"/>
        <v>24404.761904761905</v>
      </c>
      <c r="V22" s="10">
        <f t="shared" si="9"/>
        <v>2.3362225291761372E-2</v>
      </c>
      <c r="W22" s="10">
        <f t="shared" si="10"/>
        <v>6.3286028101997415E-3</v>
      </c>
      <c r="X22" s="17"/>
      <c r="Y22" s="9" t="s">
        <v>38</v>
      </c>
      <c r="Z22" s="3">
        <f>Z21/Z12</f>
        <v>2.3999999999999998E-4</v>
      </c>
      <c r="AC22" s="14">
        <v>0</v>
      </c>
      <c r="AD22" s="14">
        <v>1.792E-3</v>
      </c>
      <c r="AE22" s="14">
        <v>999.87</v>
      </c>
      <c r="AF22" s="13">
        <v>1.7922329902887374E-6</v>
      </c>
    </row>
    <row r="23" spans="1:32" ht="15.5" x14ac:dyDescent="0.35">
      <c r="A23" s="18" t="s">
        <v>80</v>
      </c>
      <c r="B23" s="3">
        <f>AVERAGE('1highflow'!B23,'2highflow'!B23)</f>
        <v>3600</v>
      </c>
      <c r="C23" s="3">
        <f>AVERAGE('1highflow'!C23,'2highflow'!C23)</f>
        <v>60.000119999999995</v>
      </c>
      <c r="D23" s="3">
        <f>AVERAGE('1highflow'!D23,'2highflow'!D23)</f>
        <v>1.0000008</v>
      </c>
      <c r="E23" s="3">
        <f>AVERAGE('1highflow'!E23,'2highflow'!E23)</f>
        <v>1.0000008000000001E-3</v>
      </c>
      <c r="F23" s="3">
        <f>AVERAGE('1highflow'!F23,'2highflow'!F23)</f>
        <v>2.0000016</v>
      </c>
      <c r="G23" s="3">
        <f>AVERAGE('1highflow'!G23,'2highflow'!G23)</f>
        <v>4.0000064000025599</v>
      </c>
      <c r="H23" s="3">
        <f>AVERAGE('1highflow'!H23,'2highflow'!H23)</f>
        <v>3.8876831101440001</v>
      </c>
      <c r="I23" s="3">
        <f>AVERAGE('1highflow'!I23,'2highflow'!I23)</f>
        <v>4.4601543629793241</v>
      </c>
      <c r="J23" s="3">
        <f>AVERAGE('1highflow'!J23,'2highflow'!J23)</f>
        <v>44.601543629793241</v>
      </c>
      <c r="K23" s="3">
        <f>AVERAGE('1highflow'!K23,'2highflow'!K23)</f>
        <v>4460.154362979325</v>
      </c>
      <c r="L23" s="3">
        <f>AVERAGE('1highflow'!L23,'2highflow'!L23)</f>
        <v>28943.45311802212</v>
      </c>
      <c r="M23" s="3">
        <f>AVERAGE('1highflow'!M23,'2highflow'!M23)</f>
        <v>20.789679556793267</v>
      </c>
      <c r="N23" s="3">
        <f>AVERAGE('1highflow'!N23,'2highflow'!N23)</f>
        <v>4.0565163499211507E-2</v>
      </c>
      <c r="O23" s="3">
        <f>AVERAGE('1highflow'!O23,'2highflow'!O23)</f>
        <v>1.0141290874802877E-2</v>
      </c>
      <c r="P23" s="3">
        <f>AVERAGE('1highflow'!P23,'2highflow'!P23)</f>
        <v>1.1206267407461506E-2</v>
      </c>
      <c r="Q23" s="3">
        <f>AVERAGE('1highflow'!Q23,'2highflow'!Q23)</f>
        <v>8.7078550000000005E-3</v>
      </c>
      <c r="R23" s="3">
        <f>AVERAGE('1highflow'!R23,'2highflow'!R23)</f>
        <v>1.4824683639727831E-2</v>
      </c>
      <c r="T23" s="11">
        <v>1.6</v>
      </c>
      <c r="U23" s="10">
        <f t="shared" si="8"/>
        <v>26031.746031746032</v>
      </c>
      <c r="V23" s="10">
        <f t="shared" si="9"/>
        <v>2.2988309035981189E-2</v>
      </c>
      <c r="W23" s="10">
        <f t="shared" si="10"/>
        <v>6.2273124820072341E-3</v>
      </c>
      <c r="X23" s="17"/>
      <c r="AC23" s="14">
        <v>5</v>
      </c>
      <c r="AD23" s="14">
        <v>1.519E-3</v>
      </c>
      <c r="AE23" s="14">
        <v>999.99</v>
      </c>
      <c r="AF23" s="13">
        <v>1.5190151901519014E-6</v>
      </c>
    </row>
    <row r="24" spans="1:32" ht="15.5" x14ac:dyDescent="0.35">
      <c r="A24" s="3" t="s">
        <v>47</v>
      </c>
      <c r="B24" s="3">
        <f>AVERAGE('1highflow'!B24,'2highflow'!B24)</f>
        <v>3225</v>
      </c>
      <c r="C24" s="3">
        <f>AVERAGE('1highflow'!C24,'2highflow'!C24)</f>
        <v>53.750107499999999</v>
      </c>
      <c r="D24" s="3">
        <f>AVERAGE('1highflow'!D24,'2highflow'!D24)</f>
        <v>0.89583405000000005</v>
      </c>
      <c r="E24" s="3">
        <f>AVERAGE('1highflow'!E24,'2highflow'!E24)</f>
        <v>8.958340500000001E-4</v>
      </c>
      <c r="F24" s="3">
        <f>AVERAGE('1highflow'!F24,'2highflow'!F24)</f>
        <v>1.7916681000000001</v>
      </c>
      <c r="G24" s="3">
        <f>AVERAGE('1highflow'!G24,'2highflow'!G24)</f>
        <v>3.2118106944465001</v>
      </c>
      <c r="H24" s="3">
        <f>AVERAGE('1highflow'!H24,'2highflow'!H24)</f>
        <v>3.4827161195040004</v>
      </c>
      <c r="I24" s="3">
        <f>AVERAGE('1highflow'!I24,'2highflow'!I24)</f>
        <v>3.6417738790339382</v>
      </c>
      <c r="J24" s="3">
        <f>AVERAGE('1highflow'!J24,'2highflow'!J24)</f>
        <v>36.417738790339385</v>
      </c>
      <c r="K24" s="3">
        <f>AVERAGE('1highflow'!K24,'2highflow'!K24)</f>
        <v>3641.7738790339381</v>
      </c>
      <c r="L24" s="3">
        <f>AVERAGE('1highflow'!L24,'2highflow'!L24)</f>
        <v>27783.050145951885</v>
      </c>
      <c r="M24" s="3">
        <f>AVERAGE('1highflow'!M24,'2highflow'!M24)</f>
        <v>18.025150105497598</v>
      </c>
      <c r="N24" s="3">
        <f>AVERAGE('1highflow'!N24,'2highflow'!N24)</f>
        <v>4.3680172118456692E-2</v>
      </c>
      <c r="O24" s="3">
        <f>AVERAGE('1highflow'!O24,'2highflow'!O24)</f>
        <v>1.0920043029614173E-2</v>
      </c>
      <c r="P24" s="3">
        <f>AVERAGE('1highflow'!P24,'2highflow'!P24)</f>
        <v>1.3483107567762914E-2</v>
      </c>
      <c r="Q24" s="3">
        <f>AVERAGE('1highflow'!Q24,'2highflow'!Q24)</f>
        <v>9.4509449999999988E-3</v>
      </c>
      <c r="R24" s="3">
        <f>AVERAGE('1highflow'!R24,'2highflow'!R24)</f>
        <v>1.5894901413491327E-2</v>
      </c>
      <c r="T24" s="11">
        <v>1.7</v>
      </c>
      <c r="U24" s="10">
        <f t="shared" si="8"/>
        <v>27658.730158730159</v>
      </c>
      <c r="V24" s="10">
        <f t="shared" si="9"/>
        <v>2.2642521673298031E-2</v>
      </c>
      <c r="W24" s="10">
        <f t="shared" si="10"/>
        <v>6.1336420012255977E-3</v>
      </c>
      <c r="X24" s="17"/>
      <c r="Y24" s="8"/>
      <c r="AC24" s="14">
        <f>AC23+5</f>
        <v>10</v>
      </c>
      <c r="AD24" s="14">
        <v>1.3079999999999999E-3</v>
      </c>
      <c r="AE24" s="14">
        <v>999.73</v>
      </c>
      <c r="AF24" s="13">
        <v>1.3083532553789522E-6</v>
      </c>
    </row>
    <row r="25" spans="1:32" ht="15.5" x14ac:dyDescent="0.35">
      <c r="A25" s="3" t="s">
        <v>79</v>
      </c>
      <c r="B25" s="3">
        <f>AVERAGE('1highflow'!B25,'2highflow'!B25)</f>
        <v>2825</v>
      </c>
      <c r="C25" s="3">
        <f>AVERAGE('1highflow'!C25,'2highflow'!C25)</f>
        <v>47.083427499999999</v>
      </c>
      <c r="D25" s="3">
        <f>AVERAGE('1highflow'!D25,'2highflow'!D25)</f>
        <v>0.78472285000000008</v>
      </c>
      <c r="E25" s="3">
        <f>AVERAGE('1highflow'!E25,'2highflow'!E25)</f>
        <v>7.8472285000000003E-4</v>
      </c>
      <c r="F25" s="3">
        <f>AVERAGE('1highflow'!F25,'2highflow'!F25)</f>
        <v>1.5694457000000002</v>
      </c>
      <c r="G25" s="3">
        <f>AVERAGE('1highflow'!G25,'2highflow'!G25)</f>
        <v>2.4648959191373798</v>
      </c>
      <c r="H25" s="3">
        <f>AVERAGE('1highflow'!H25,'2highflow'!H25)</f>
        <v>3.0507513294880004</v>
      </c>
      <c r="I25" s="3">
        <f>AVERAGE('1highflow'!I25,'2highflow'!I25)</f>
        <v>2.8079175648593502</v>
      </c>
      <c r="J25" s="3">
        <f>AVERAGE('1highflow'!J25,'2highflow'!J25)</f>
        <v>28.079175648593505</v>
      </c>
      <c r="K25" s="3">
        <f>AVERAGE('1highflow'!K25,'2highflow'!K25)</f>
        <v>2807.9175648593505</v>
      </c>
      <c r="L25" s="3">
        <f>AVERAGE('1highflow'!L25,'2highflow'!L25)</f>
        <v>24311.515013048542</v>
      </c>
      <c r="M25" s="3">
        <f>AVERAGE('1highflow'!M25,'2highflow'!M25)</f>
        <v>13.878910878594251</v>
      </c>
      <c r="N25" s="3">
        <f>AVERAGE('1highflow'!N25,'2highflow'!N25)</f>
        <v>4.3761162677908839E-2</v>
      </c>
      <c r="O25" s="3">
        <f>AVERAGE('1highflow'!O25,'2highflow'!O25)</f>
        <v>1.094029066947721E-2</v>
      </c>
      <c r="P25" s="3">
        <f>AVERAGE('1highflow'!P25,'2highflow'!P25)</f>
        <v>1.3402253290011408E-2</v>
      </c>
      <c r="Q25" s="3">
        <f>AVERAGE('1highflow'!Q25,'2highflow'!Q25)</f>
        <v>9.4393800000000007E-3</v>
      </c>
      <c r="R25" s="3">
        <f>AVERAGE('1highflow'!R25,'2highflow'!R25)</f>
        <v>1.5878825247812468E-2</v>
      </c>
      <c r="T25" s="11">
        <v>1.8</v>
      </c>
      <c r="U25" s="10">
        <f t="shared" si="8"/>
        <v>29285.714285714286</v>
      </c>
      <c r="V25" s="10">
        <f t="shared" si="9"/>
        <v>2.2321269764867958E-2</v>
      </c>
      <c r="W25" s="10">
        <f t="shared" si="10"/>
        <v>6.0466179397296429E-3</v>
      </c>
      <c r="X25" s="4"/>
      <c r="Y25" s="8"/>
      <c r="AC25" s="14" t="e">
        <f>#REF!+5</f>
        <v>#REF!</v>
      </c>
      <c r="AD25" s="14">
        <v>1.005E-3</v>
      </c>
      <c r="AE25" s="14">
        <v>998.23</v>
      </c>
      <c r="AF25" s="13">
        <v>1.0067820041473407E-6</v>
      </c>
    </row>
    <row r="26" spans="1:32" ht="15.5" x14ac:dyDescent="0.35">
      <c r="A26" s="3" t="s">
        <v>48</v>
      </c>
      <c r="B26" s="3">
        <f>AVERAGE('1highflow'!B26,'2highflow'!B26)</f>
        <v>2425</v>
      </c>
      <c r="C26" s="3">
        <f>AVERAGE('1highflow'!C26,'2highflow'!C26)</f>
        <v>40.4167475</v>
      </c>
      <c r="D26" s="3">
        <f>AVERAGE('1highflow'!D26,'2highflow'!D26)</f>
        <v>0.67361165000000001</v>
      </c>
      <c r="E26" s="3">
        <f>AVERAGE('1highflow'!E26,'2highflow'!E26)</f>
        <v>6.7361164999999996E-4</v>
      </c>
      <c r="F26" s="3">
        <f>AVERAGE('1highflow'!F26,'2highflow'!F26)</f>
        <v>1.3472233</v>
      </c>
      <c r="G26" s="3">
        <f>AVERAGE('1highflow'!G26,'2highflow'!G26)</f>
        <v>1.8152035216061</v>
      </c>
      <c r="H26" s="3">
        <f>AVERAGE('1highflow'!H26,'2highflow'!H26)</f>
        <v>2.618786539472</v>
      </c>
      <c r="I26" s="3">
        <f>AVERAGE('1highflow'!I26,'2highflow'!I26)</f>
        <v>2.11011791578589</v>
      </c>
      <c r="J26" s="3">
        <f>AVERAGE('1highflow'!J26,'2highflow'!J26)</f>
        <v>21.101179157858901</v>
      </c>
      <c r="K26" s="3">
        <f>AVERAGE('1highflow'!K26,'2highflow'!K26)</f>
        <v>2110.1179157858901</v>
      </c>
      <c r="L26" s="3">
        <f>AVERAGE('1highflow'!L26,'2highflow'!L26)</f>
        <v>21009.68864130423</v>
      </c>
      <c r="M26" s="3">
        <f>AVERAGE('1highflow'!M26,'2highflow'!M26)</f>
        <v>10.502937320272572</v>
      </c>
      <c r="N26" s="3">
        <f>AVERAGE('1highflow'!N26,'2highflow'!N26)</f>
        <v>4.5061144026781304E-2</v>
      </c>
      <c r="O26" s="3">
        <f>AVERAGE('1highflow'!O26,'2highflow'!O26)</f>
        <v>1.1265286006695326E-2</v>
      </c>
      <c r="P26" s="3">
        <f>AVERAGE('1highflow'!P26,'2highflow'!P26)</f>
        <v>1.453403895769026E-2</v>
      </c>
      <c r="Q26" s="3">
        <f>AVERAGE('1highflow'!Q26,'2highflow'!Q26)</f>
        <v>9.509745E-3</v>
      </c>
      <c r="R26" s="3">
        <f>AVERAGE('1highflow'!R26,'2highflow'!R26)</f>
        <v>1.597872862223719E-2</v>
      </c>
      <c r="T26" s="11">
        <v>1.9</v>
      </c>
      <c r="U26" s="10">
        <f t="shared" si="8"/>
        <v>30912.69841269841</v>
      </c>
      <c r="V26" s="10">
        <f t="shared" si="9"/>
        <v>2.202158744356239E-2</v>
      </c>
      <c r="W26" s="10">
        <f t="shared" si="10"/>
        <v>5.9654368725540596E-3</v>
      </c>
      <c r="X26" s="4"/>
      <c r="Y26" s="8"/>
      <c r="AC26" s="14">
        <v>25</v>
      </c>
      <c r="AD26" s="14">
        <v>8.9400000000000005E-4</v>
      </c>
      <c r="AE26" s="14">
        <v>997.07</v>
      </c>
      <c r="AF26" s="13">
        <v>8.9662711745414066E-7</v>
      </c>
    </row>
    <row r="27" spans="1:32" ht="15.5" x14ac:dyDescent="0.35">
      <c r="A27" s="3" t="s">
        <v>78</v>
      </c>
      <c r="B27" s="3">
        <f>AVERAGE('1highflow'!B27,'2highflow'!B27)</f>
        <v>2025</v>
      </c>
      <c r="C27" s="3">
        <f>AVERAGE('1highflow'!C27,'2highflow'!C27)</f>
        <v>33.7500675</v>
      </c>
      <c r="D27" s="3">
        <f>AVERAGE('1highflow'!D27,'2highflow'!D27)</f>
        <v>0.56250045000000004</v>
      </c>
      <c r="E27" s="3">
        <f>AVERAGE('1highflow'!E27,'2highflow'!E27)</f>
        <v>5.6250045E-4</v>
      </c>
      <c r="F27" s="3">
        <f>AVERAGE('1highflow'!F27,'2highflow'!F27)</f>
        <v>1.1250009000000001</v>
      </c>
      <c r="G27" s="3">
        <f>AVERAGE('1highflow'!G27,'2highflow'!G27)</f>
        <v>1.2658199265440202</v>
      </c>
      <c r="H27" s="3">
        <f>AVERAGE('1highflow'!H27,'2highflow'!H27)</f>
        <v>2.1868217494560005</v>
      </c>
      <c r="I27" s="3">
        <f>AVERAGE('1highflow'!I27,'2highflow'!I27)</f>
        <v>1.4667999071185909</v>
      </c>
      <c r="J27" s="3">
        <f>AVERAGE('1highflow'!J27,'2highflow'!J27)</f>
        <v>14.667999071185911</v>
      </c>
      <c r="K27" s="3">
        <f>AVERAGE('1highflow'!K27,'2highflow'!K27)</f>
        <v>1466.7999071185909</v>
      </c>
      <c r="L27" s="3">
        <f>AVERAGE('1highflow'!L27,'2highflow'!L27)</f>
        <v>17474.147026620209</v>
      </c>
      <c r="M27" s="3">
        <f>AVERAGE('1highflow'!M27,'2highflow'!M27)</f>
        <v>7.2630085623507767</v>
      </c>
      <c r="N27" s="3">
        <f>AVERAGE('1highflow'!N27,'2highflow'!N27)</f>
        <v>4.4608159388384722E-2</v>
      </c>
      <c r="O27" s="3">
        <f>AVERAGE('1highflow'!O27,'2highflow'!O27)</f>
        <v>1.115203984709618E-2</v>
      </c>
      <c r="P27" s="3">
        <f>AVERAGE('1highflow'!P27,'2highflow'!P27)</f>
        <v>1.4007140232293408E-2</v>
      </c>
      <c r="Q27" s="3">
        <f>AVERAGE('1highflow'!Q27,'2highflow'!Q27)</f>
        <v>9.4651349999999995E-3</v>
      </c>
      <c r="R27" s="3">
        <f>AVERAGE('1highflow'!R27,'2highflow'!R27)</f>
        <v>1.5915686748722572E-2</v>
      </c>
      <c r="T27" s="11">
        <v>2</v>
      </c>
      <c r="U27" s="10">
        <f t="shared" si="8"/>
        <v>32539.682539682541</v>
      </c>
      <c r="V27" s="10">
        <f t="shared" si="9"/>
        <v>2.1741000375951093E-2</v>
      </c>
      <c r="W27" s="10">
        <f t="shared" si="10"/>
        <v>5.8894285264990808E-3</v>
      </c>
      <c r="X27" s="4"/>
      <c r="Y27" s="8"/>
      <c r="AC27" s="12"/>
      <c r="AD27" s="12"/>
      <c r="AE27" s="12"/>
      <c r="AF27" s="12"/>
    </row>
    <row r="28" spans="1:32" ht="15.5" x14ac:dyDescent="0.35">
      <c r="A28" s="3" t="s">
        <v>49</v>
      </c>
      <c r="B28" s="3">
        <f>AVERAGE('1highflow'!B28,'2highflow'!B28)</f>
        <v>1575</v>
      </c>
      <c r="C28" s="3">
        <f>AVERAGE('1highflow'!C28,'2highflow'!C28)</f>
        <v>26.250052499999999</v>
      </c>
      <c r="D28" s="3">
        <f>AVERAGE('1highflow'!D28,'2highflow'!D28)</f>
        <v>0.43750034999999998</v>
      </c>
      <c r="E28" s="3">
        <f>AVERAGE('1highflow'!E28,'2highflow'!E28)</f>
        <v>4.3750035000000002E-4</v>
      </c>
      <c r="F28" s="3">
        <f>AVERAGE('1highflow'!F28,'2highflow'!F28)</f>
        <v>0.87500069999999996</v>
      </c>
      <c r="G28" s="3">
        <f>AVERAGE('1highflow'!G28,'2highflow'!G28)</f>
        <v>0.76736233888937999</v>
      </c>
      <c r="H28" s="3">
        <f>AVERAGE('1highflow'!H28,'2highflow'!H28)</f>
        <v>1.7008613606880001</v>
      </c>
      <c r="I28" s="3">
        <f>AVERAGE('1highflow'!I28,'2highflow'!I28)</f>
        <v>0.82311512623770067</v>
      </c>
      <c r="J28" s="3">
        <f>AVERAGE('1highflow'!J28,'2highflow'!J28)</f>
        <v>8.2311512623770078</v>
      </c>
      <c r="K28" s="3">
        <f>AVERAGE('1highflow'!K28,'2highflow'!K28)</f>
        <v>823.11512623770068</v>
      </c>
      <c r="L28" s="3">
        <f>AVERAGE('1highflow'!L28,'2highflow'!L28)</f>
        <v>13587.845068178849</v>
      </c>
      <c r="M28" s="3">
        <f>AVERAGE('1highflow'!M28,'2highflow'!M28)</f>
        <v>4.0680758462707161</v>
      </c>
      <c r="N28" s="3">
        <f>AVERAGE('1highflow'!N28,'2highflow'!N28)</f>
        <v>4.0419730656552119E-2</v>
      </c>
      <c r="O28" s="3">
        <f>AVERAGE('1highflow'!O28,'2highflow'!O28)</f>
        <v>1.010493266413803E-2</v>
      </c>
      <c r="P28" s="3">
        <f>AVERAGE('1highflow'!P28,'2highflow'!P28)</f>
        <v>1.0011869329537461E-2</v>
      </c>
      <c r="Q28" s="3">
        <f>AVERAGE('1highflow'!Q28,'2highflow'!Q28)</f>
        <v>9.4694399999999991E-3</v>
      </c>
      <c r="R28" s="3">
        <f>AVERAGE('1highflow'!R28,'2highflow'!R28)</f>
        <v>1.5922114949682112E-2</v>
      </c>
      <c r="T28" s="11">
        <v>2.1</v>
      </c>
      <c r="U28" s="10">
        <f t="shared" si="8"/>
        <v>34166.666666666672</v>
      </c>
      <c r="V28" s="10">
        <f t="shared" si="9"/>
        <v>2.147742438891832E-2</v>
      </c>
      <c r="W28" s="10">
        <f t="shared" si="10"/>
        <v>5.8180283190528738E-3</v>
      </c>
      <c r="X28" s="4"/>
      <c r="Y28" s="8"/>
    </row>
    <row r="29" spans="1:32" ht="15.5" x14ac:dyDescent="0.35">
      <c r="G29" s="7"/>
      <c r="X29" s="4"/>
      <c r="Y29" s="8"/>
      <c r="Z29" s="9" t="s">
        <v>39</v>
      </c>
    </row>
    <row r="30" spans="1:32" x14ac:dyDescent="0.35">
      <c r="G30" s="7"/>
      <c r="X30" s="4"/>
      <c r="Y30" s="8"/>
    </row>
    <row r="31" spans="1:32" x14ac:dyDescent="0.35">
      <c r="G31" s="7"/>
      <c r="X31" s="4"/>
      <c r="Y31" s="8"/>
    </row>
    <row r="32" spans="1:32" x14ac:dyDescent="0.35">
      <c r="G32" s="7"/>
      <c r="X32" s="4"/>
    </row>
    <row r="33" spans="7:24" x14ac:dyDescent="0.35">
      <c r="G33" s="7"/>
      <c r="X33" s="4"/>
    </row>
    <row r="34" spans="7:24" x14ac:dyDescent="0.35">
      <c r="X34" s="4"/>
    </row>
    <row r="35" spans="7:24" ht="15.5" x14ac:dyDescent="0.35">
      <c r="T35" s="4"/>
      <c r="U35" s="6"/>
      <c r="V35" s="6"/>
      <c r="W35" s="4"/>
      <c r="X35" s="4"/>
    </row>
    <row r="36" spans="7:24" ht="15.5" x14ac:dyDescent="0.35">
      <c r="T36" s="4"/>
      <c r="U36" s="6"/>
      <c r="V36" s="6"/>
      <c r="W36" s="4"/>
      <c r="X36" s="4"/>
    </row>
    <row r="37" spans="7:24" ht="15.5" x14ac:dyDescent="0.35">
      <c r="T37" s="4"/>
      <c r="U37" s="6"/>
      <c r="V37" s="6"/>
      <c r="W37" s="4"/>
      <c r="X37" s="4"/>
    </row>
    <row r="38" spans="7:24" ht="15.5" x14ac:dyDescent="0.35">
      <c r="T38" s="4"/>
      <c r="U38" s="6"/>
      <c r="V38" s="6"/>
      <c r="W38" s="4"/>
      <c r="X38" s="4"/>
    </row>
    <row r="39" spans="7:24" ht="15.5" x14ac:dyDescent="0.35">
      <c r="T39" s="4"/>
      <c r="U39" s="6"/>
      <c r="V39" s="6"/>
      <c r="W39" s="4"/>
      <c r="X39" s="4"/>
    </row>
    <row r="40" spans="7:24" ht="15.5" x14ac:dyDescent="0.35">
      <c r="T40" s="4"/>
      <c r="U40" s="6"/>
      <c r="V40" s="6"/>
    </row>
    <row r="41" spans="7:24" ht="15.5" x14ac:dyDescent="0.35">
      <c r="T41" s="4"/>
      <c r="U41" s="6"/>
      <c r="V41" s="6"/>
    </row>
    <row r="42" spans="7:24" ht="15.5" x14ac:dyDescent="0.35">
      <c r="T42" s="4"/>
      <c r="U42" s="6"/>
      <c r="V42" s="6"/>
    </row>
    <row r="43" spans="7:24" ht="15.5" x14ac:dyDescent="0.35">
      <c r="T43" s="4"/>
      <c r="U43" s="6"/>
      <c r="V43" s="6"/>
    </row>
    <row r="44" spans="7:24" ht="15.5" x14ac:dyDescent="0.35">
      <c r="T44" s="4"/>
      <c r="U44" s="6"/>
      <c r="V44" s="6"/>
    </row>
    <row r="45" spans="7:24" ht="15.5" x14ac:dyDescent="0.35">
      <c r="T45" s="4"/>
      <c r="U45" s="6"/>
      <c r="V45" s="6"/>
    </row>
    <row r="46" spans="7:24" ht="15.5" x14ac:dyDescent="0.35">
      <c r="T46" s="4"/>
      <c r="U46" s="6"/>
      <c r="V46" s="6"/>
    </row>
    <row r="47" spans="7:24" ht="15.5" x14ac:dyDescent="0.35">
      <c r="T47" s="4"/>
      <c r="U47" s="6"/>
      <c r="V47" s="6"/>
    </row>
    <row r="48" spans="7:24" ht="15.5" x14ac:dyDescent="0.35">
      <c r="T48" s="4"/>
      <c r="U48" s="6"/>
      <c r="V48" s="6"/>
    </row>
    <row r="49" spans="2:22" ht="15.5" x14ac:dyDescent="0.35">
      <c r="T49" s="4"/>
      <c r="U49" s="6"/>
      <c r="V49" s="6"/>
    </row>
    <row r="50" spans="2:22" x14ac:dyDescent="0.35">
      <c r="T50" s="4"/>
    </row>
    <row r="60" spans="2:22" x14ac:dyDescent="0.35">
      <c r="B60" s="3">
        <v>0</v>
      </c>
    </row>
  </sheetData>
  <mergeCells count="2">
    <mergeCell ref="A4:N4"/>
    <mergeCell ref="Y6:Z6"/>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4585F1ED11D614F8115969A8019BAE4" ma:contentTypeVersion="9" ma:contentTypeDescription="Create a new document." ma:contentTypeScope="" ma:versionID="b6a470954b6175a89dfd41aca4ca5809">
  <xsd:schema xmlns:xsd="http://www.w3.org/2001/XMLSchema" xmlns:xs="http://www.w3.org/2001/XMLSchema" xmlns:p="http://schemas.microsoft.com/office/2006/metadata/properties" xmlns:ns3="3d10b454-172a-445b-809d-a4d42c4fbd7f" targetNamespace="http://schemas.microsoft.com/office/2006/metadata/properties" ma:root="true" ma:fieldsID="b97fea4e5cf3f7747e385ffedc5fd8e8" ns3:_="">
    <xsd:import namespace="3d10b454-172a-445b-809d-a4d42c4fbd7f"/>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10b454-172a-445b-809d-a4d42c4fbd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32303F5-0414-4F54-8FE9-F0DD699AB0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10b454-172a-445b-809d-a4d42c4fbd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5AF0DD2-E254-45AC-847E-D4A0AEB2BFFA}">
  <ds:schemaRefs>
    <ds:schemaRef ds:uri="http://schemas.microsoft.com/sharepoint/v3/contenttype/forms"/>
  </ds:schemaRefs>
</ds:datastoreItem>
</file>

<file path=customXml/itemProps3.xml><?xml version="1.0" encoding="utf-8"?>
<ds:datastoreItem xmlns:ds="http://schemas.openxmlformats.org/officeDocument/2006/customXml" ds:itemID="{5C1CF51A-9DCF-4D26-A5DF-18028AE4833F}">
  <ds:schemaRefs>
    <ds:schemaRef ds:uri="http://purl.org/dc/elements/1.1/"/>
    <ds:schemaRef ds:uri="http://purl.org/dc/dcmitype/"/>
    <ds:schemaRef ds:uri="http://schemas.microsoft.com/office/infopath/2007/PartnerControls"/>
    <ds:schemaRef ds:uri="http://purl.org/dc/terms/"/>
    <ds:schemaRef ds:uri="http://schemas.microsoft.com/office/2006/documentManagement/types"/>
    <ds:schemaRef ds:uri="3d10b454-172a-445b-809d-a4d42c4fbd7f"/>
    <ds:schemaRef ds:uri="http://www.w3.org/XML/1998/namespace"/>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ReadMe</vt:lpstr>
      <vt:lpstr>Seawater</vt:lpstr>
      <vt:lpstr>Plots</vt:lpstr>
      <vt:lpstr>1lowflow</vt:lpstr>
      <vt:lpstr>2lowflow</vt:lpstr>
      <vt:lpstr>LF averages</vt:lpstr>
      <vt:lpstr>1highflow</vt:lpstr>
      <vt:lpstr>2highflow</vt:lpstr>
      <vt:lpstr>HF averages</vt:lpstr>
      <vt:lpstr>smoothPVC</vt:lpstr>
      <vt:lpstr>smoothPVC (2)</vt:lpstr>
      <vt:lpstr>smoothPVC (3)</vt:lpstr>
      <vt:lpstr>smoothPVC averages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Longyear, J.E. (Jennifer)</dc:creator>
  <cp:lastModifiedBy>Alexandra Snowdon</cp:lastModifiedBy>
  <dcterms:created xsi:type="dcterms:W3CDTF">2020-01-20T09:25:14Z</dcterms:created>
  <dcterms:modified xsi:type="dcterms:W3CDTF">2023-06-12T17:00:19Z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0x010100D4585F1ED11D614F8115969A8019BAE4</vt:lpwstr>
  </property>
</Properties>
</file>