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j1g19_soton_ac_uk/Documents/PhD/Written Work/Year 4/PHD/FINAL SUBMISSION/DATA/ColourTime/8 weeks/"/>
    </mc:Choice>
  </mc:AlternateContent>
  <xr:revisionPtr revIDLastSave="596" documentId="8_{031C43BA-9D28-4D12-9D82-1436B5D6D91D}" xr6:coauthVersionLast="47" xr6:coauthVersionMax="47" xr10:uidLastSave="{0EA5DE30-ED87-43BF-8F81-78B644FE4DE9}"/>
  <bookViews>
    <workbookView xWindow="28680" yWindow="-120" windowWidth="29040" windowHeight="15840" xr2:uid="{E57E2BBA-B9BD-44AB-8574-2BD194030258}"/>
  </bookViews>
  <sheets>
    <sheet name="README" sheetId="2" r:id="rId1"/>
    <sheet name="G, n, 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L21" i="1"/>
  <c r="M21" i="1"/>
  <c r="N21" i="1"/>
  <c r="T23" i="1"/>
  <c r="S23" i="1"/>
  <c r="R23" i="1"/>
  <c r="Q23" i="1"/>
  <c r="O23" i="1"/>
  <c r="N23" i="1"/>
  <c r="M23" i="1"/>
  <c r="L23" i="1"/>
  <c r="T21" i="1"/>
  <c r="S21" i="1"/>
  <c r="S22" i="1"/>
  <c r="R21" i="1"/>
  <c r="Q21" i="1"/>
  <c r="O21" i="1"/>
  <c r="S15" i="1"/>
  <c r="S14" i="1"/>
  <c r="N15" i="1"/>
  <c r="T13" i="1"/>
  <c r="S13" i="1"/>
  <c r="R13" i="1"/>
  <c r="Q13" i="1"/>
  <c r="O13" i="1"/>
  <c r="N13" i="1"/>
  <c r="M13" i="1"/>
  <c r="L13" i="1"/>
  <c r="Q6" i="1"/>
  <c r="M6" i="1"/>
  <c r="L6" i="1"/>
  <c r="O5" i="1"/>
  <c r="N5" i="1"/>
  <c r="M5" i="1"/>
  <c r="L5" i="1"/>
  <c r="L7" i="1"/>
  <c r="T15" i="1"/>
  <c r="O15" i="1"/>
  <c r="R15" i="1"/>
  <c r="M15" i="1"/>
  <c r="Q15" i="1"/>
  <c r="L15" i="1"/>
  <c r="S7" i="1"/>
  <c r="O7" i="1"/>
  <c r="N7" i="1"/>
  <c r="R7" i="1"/>
  <c r="M7" i="1"/>
  <c r="Q7" i="1"/>
  <c r="G47" i="1"/>
  <c r="H47" i="1" s="1"/>
  <c r="F47" i="1"/>
  <c r="E47" i="1"/>
  <c r="G42" i="1"/>
  <c r="H42" i="1" s="1"/>
  <c r="F42" i="1"/>
  <c r="E42" i="1"/>
  <c r="G41" i="1"/>
  <c r="E41" i="1"/>
  <c r="F41" i="1" s="1"/>
  <c r="H41" i="1" s="1"/>
  <c r="G36" i="1"/>
  <c r="E36" i="1"/>
  <c r="F36" i="1" s="1"/>
  <c r="G38" i="1"/>
  <c r="E38" i="1"/>
  <c r="F38" i="1" s="1"/>
  <c r="T5" i="1"/>
  <c r="S5" i="1"/>
  <c r="R5" i="1"/>
  <c r="Q5" i="1"/>
  <c r="G19" i="1"/>
  <c r="E19" i="1"/>
  <c r="F19" i="1" s="1"/>
  <c r="G18" i="1"/>
  <c r="E18" i="1"/>
  <c r="F18" i="1" s="1"/>
  <c r="H18" i="1" s="1"/>
  <c r="G17" i="1"/>
  <c r="E17" i="1"/>
  <c r="F17" i="1" s="1"/>
  <c r="G16" i="1"/>
  <c r="E16" i="1"/>
  <c r="F16" i="1" s="1"/>
  <c r="G13" i="1"/>
  <c r="E13" i="1"/>
  <c r="F13" i="1" s="1"/>
  <c r="G9" i="1"/>
  <c r="E9" i="1"/>
  <c r="F9" i="1" s="1"/>
  <c r="G8" i="1"/>
  <c r="E8" i="1"/>
  <c r="F8" i="1" s="1"/>
  <c r="G7" i="1"/>
  <c r="E7" i="1"/>
  <c r="F7" i="1" s="1"/>
  <c r="Q22" i="1"/>
  <c r="Q14" i="1"/>
  <c r="L14" i="1"/>
  <c r="G30" i="1"/>
  <c r="O14" i="1" s="1"/>
  <c r="E30" i="1"/>
  <c r="F30" i="1" s="1"/>
  <c r="T6" i="1" s="1"/>
  <c r="G25" i="1"/>
  <c r="E25" i="1"/>
  <c r="F25" i="1" s="1"/>
  <c r="S6" i="1" s="1"/>
  <c r="G24" i="1"/>
  <c r="R14" i="1" s="1"/>
  <c r="E24" i="1"/>
  <c r="F24" i="1" s="1"/>
  <c r="G22" i="1"/>
  <c r="E22" i="1"/>
  <c r="F22" i="1" s="1"/>
  <c r="H36" i="1" l="1"/>
  <c r="H38" i="1"/>
  <c r="H19" i="1"/>
  <c r="H17" i="1"/>
  <c r="H16" i="1"/>
  <c r="H13" i="1"/>
  <c r="H8" i="1"/>
  <c r="H24" i="1"/>
  <c r="R22" i="1" s="1"/>
  <c r="O6" i="1"/>
  <c r="N14" i="1"/>
  <c r="H9" i="1"/>
  <c r="H7" i="1"/>
  <c r="N6" i="1"/>
  <c r="H25" i="1"/>
  <c r="M14" i="1"/>
  <c r="T14" i="1"/>
  <c r="R6" i="1"/>
  <c r="H30" i="1"/>
  <c r="H22" i="1"/>
  <c r="M22" i="1" l="1"/>
  <c r="O22" i="1"/>
  <c r="T22" i="1"/>
  <c r="N22" i="1"/>
</calcChain>
</file>

<file path=xl/sharedStrings.xml><?xml version="1.0" encoding="utf-8"?>
<sst xmlns="http://schemas.openxmlformats.org/spreadsheetml/2006/main" count="138" uniqueCount="53">
  <si>
    <t>Colour</t>
  </si>
  <si>
    <t xml:space="preserve">Code </t>
  </si>
  <si>
    <t>applied stress (Pa)</t>
  </si>
  <si>
    <t>slope of linear viscous region</t>
  </si>
  <si>
    <t>length of elastic recovery response</t>
  </si>
  <si>
    <t>G (Pa)</t>
  </si>
  <si>
    <t>n (Pa s)</t>
  </si>
  <si>
    <t>y (secs)</t>
  </si>
  <si>
    <t>Average G</t>
  </si>
  <si>
    <t>SD G</t>
  </si>
  <si>
    <t>Red</t>
  </si>
  <si>
    <t xml:space="preserve">Red </t>
  </si>
  <si>
    <t>red</t>
  </si>
  <si>
    <t>black</t>
  </si>
  <si>
    <t>white</t>
  </si>
  <si>
    <t>Average n</t>
  </si>
  <si>
    <t>SD n</t>
  </si>
  <si>
    <t>Black</t>
  </si>
  <si>
    <t>Average relaxation time (secs)</t>
  </si>
  <si>
    <t>SD time</t>
  </si>
  <si>
    <t>White</t>
  </si>
  <si>
    <t xml:space="preserve"> </t>
  </si>
  <si>
    <t>2bii</t>
  </si>
  <si>
    <t>x</t>
  </si>
  <si>
    <t>3bii</t>
  </si>
  <si>
    <t>13bii</t>
  </si>
  <si>
    <t>17bii</t>
  </si>
  <si>
    <t>4cii</t>
  </si>
  <si>
    <t>really shaky figure</t>
  </si>
  <si>
    <t>11cii</t>
  </si>
  <si>
    <t>12cii</t>
  </si>
  <si>
    <t>15cii</t>
  </si>
  <si>
    <t>5aii</t>
  </si>
  <si>
    <t>9aii</t>
  </si>
  <si>
    <t>2aii</t>
  </si>
  <si>
    <t>16aii</t>
  </si>
  <si>
    <t>Rheometer results from Week 8 - stats in R done, anything in red was identified as an outlier and has been removed from AVGs and SD calculations in green</t>
  </si>
  <si>
    <t>Data collected: October - December 2022</t>
  </si>
  <si>
    <t>Author: Alexandra Snowdon</t>
  </si>
  <si>
    <t>This workbook contains data from amplitude sweeps on marine biofilms grown on different coloured surfaces.</t>
  </si>
  <si>
    <t>Marine biofilms were grown statically on 40 mm diameter coupons in Hartlepool Marina from October to November 2022. Coupons were removed in two bacthes, one batch was remoeved after 7 weeks of fouling and the other at 8 weeks.</t>
  </si>
  <si>
    <t>Three different coloured surfaces were investigated: red, black and white.</t>
  </si>
  <si>
    <t>A Peltier-plate was also used and set to 10 degrees as this was the temperature the biofilms had been grown at in Hartlepool Marina.</t>
  </si>
  <si>
    <t>The creep recovery tests were conducted to determine shear modulus (G),  viscosity (n) and elastic relaxation time (y) of the biofilms.</t>
  </si>
  <si>
    <t xml:space="preserve">To normalise for variation in biofilm thickness the biofilms were compressed to a normal force of 0.1N and this set the gap height. Creep-recovery tests were performed by applying a constant stress for 120 seconds followed by a period of relaxation (no stress) for another 120 seconds. </t>
  </si>
  <si>
    <t xml:space="preserve">Creep figures were used to gather the data presented here. </t>
  </si>
  <si>
    <t>KEY</t>
  </si>
  <si>
    <t>a = white</t>
  </si>
  <si>
    <t>b = black</t>
  </si>
  <si>
    <t>c = red</t>
  </si>
  <si>
    <t>This workbook contains data for coupons retrieved after 8 weeks: 30th November</t>
  </si>
  <si>
    <t>The rheometer used was a HR10 TA Instruments model, fitted with a sandblasted 40-mm diameter top-plate geometry. Biofilms were tested on the rheometer: 1st - 2nd December 2022</t>
  </si>
  <si>
    <t>ii = retrieved after 8weeks of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</si>
</sst>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6" xfId="0" applyFont="1" applyBorder="1"/>
    <xf numFmtId="0" fontId="1" fillId="0" borderId="4" xfId="0" applyFont="1" applyBorder="1"/>
    <xf numFmtId="0" fontId="0" fillId="0" borderId="4" xfId="0" applyBorder="1"/>
    <xf numFmtId="0" fontId="0" fillId="0" borderId="7" xfId="0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0" fillId="2" borderId="2" xfId="0" applyFill="1" applyBorder="1"/>
    <xf numFmtId="0" fontId="0" fillId="2" borderId="0" xfId="0" applyFill="1" applyBorder="1"/>
    <xf numFmtId="0" fontId="0" fillId="2" borderId="0" xfId="0" applyFill="1"/>
    <xf numFmtId="0" fontId="0" fillId="2" borderId="3" xfId="0" applyFill="1" applyBorder="1"/>
    <xf numFmtId="0" fontId="4" fillId="0" borderId="1" xfId="0" applyFont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0" xfId="0" applyFont="1"/>
    <xf numFmtId="0" fontId="7" fillId="0" borderId="1" xfId="0" applyFont="1" applyBorder="1"/>
    <xf numFmtId="0" fontId="6" fillId="0" borderId="0" xfId="0" applyFont="1"/>
    <xf numFmtId="0" fontId="7" fillId="0" borderId="2" xfId="0" applyFont="1" applyBorder="1"/>
    <xf numFmtId="0" fontId="7" fillId="0" borderId="3" xfId="0" applyFont="1" applyBorder="1"/>
    <xf numFmtId="0" fontId="5" fillId="0" borderId="0" xfId="0" applyFont="1" applyFill="1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1FBA-D9CC-4662-9E3B-91F02377D0A3}">
  <dimension ref="A1:A20"/>
  <sheetViews>
    <sheetView tabSelected="1" workbookViewId="0">
      <selection activeCell="E23" sqref="E23"/>
    </sheetView>
  </sheetViews>
  <sheetFormatPr defaultRowHeight="14.5" x14ac:dyDescent="0.35"/>
  <cols>
    <col min="1" max="1" width="73.54296875" customWidth="1"/>
  </cols>
  <sheetData>
    <row r="1" spans="1:1" x14ac:dyDescent="0.35">
      <c r="A1" t="s">
        <v>37</v>
      </c>
    </row>
    <row r="2" spans="1:1" x14ac:dyDescent="0.35">
      <c r="A2" t="s">
        <v>38</v>
      </c>
    </row>
    <row r="4" spans="1:1" ht="29" x14ac:dyDescent="0.35">
      <c r="A4" s="43" t="s">
        <v>39</v>
      </c>
    </row>
    <row r="5" spans="1:1" ht="43.5" x14ac:dyDescent="0.35">
      <c r="A5" s="43" t="s">
        <v>40</v>
      </c>
    </row>
    <row r="6" spans="1:1" x14ac:dyDescent="0.35">
      <c r="A6" s="43" t="s">
        <v>50</v>
      </c>
    </row>
    <row r="7" spans="1:1" x14ac:dyDescent="0.35">
      <c r="A7" s="43" t="s">
        <v>41</v>
      </c>
    </row>
    <row r="8" spans="1:1" ht="43.5" x14ac:dyDescent="0.35">
      <c r="A8" s="43" t="s">
        <v>51</v>
      </c>
    </row>
    <row r="9" spans="1:1" ht="29" x14ac:dyDescent="0.35">
      <c r="A9" s="43" t="s">
        <v>42</v>
      </c>
    </row>
    <row r="10" spans="1:1" x14ac:dyDescent="0.35">
      <c r="A10" s="43"/>
    </row>
    <row r="11" spans="1:1" x14ac:dyDescent="0.35">
      <c r="A11" s="43"/>
    </row>
    <row r="12" spans="1:1" ht="29" x14ac:dyDescent="0.35">
      <c r="A12" s="43" t="s">
        <v>43</v>
      </c>
    </row>
    <row r="13" spans="1:1" ht="58" x14ac:dyDescent="0.35">
      <c r="A13" s="43" t="s">
        <v>44</v>
      </c>
    </row>
    <row r="14" spans="1:1" x14ac:dyDescent="0.35">
      <c r="A14" s="43"/>
    </row>
    <row r="15" spans="1:1" x14ac:dyDescent="0.35">
      <c r="A15" s="43" t="s">
        <v>45</v>
      </c>
    </row>
    <row r="16" spans="1:1" x14ac:dyDescent="0.35">
      <c r="A16" s="44" t="s">
        <v>46</v>
      </c>
    </row>
    <row r="17" spans="1:1" x14ac:dyDescent="0.35">
      <c r="A17" s="43" t="s">
        <v>47</v>
      </c>
    </row>
    <row r="18" spans="1:1" x14ac:dyDescent="0.35">
      <c r="A18" s="43" t="s">
        <v>48</v>
      </c>
    </row>
    <row r="19" spans="1:1" x14ac:dyDescent="0.35">
      <c r="A19" s="43" t="s">
        <v>49</v>
      </c>
    </row>
    <row r="20" spans="1:1" x14ac:dyDescent="0.35">
      <c r="A20" s="43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404E-C163-49DA-AC0F-9573781E38C3}">
  <dimension ref="A1:T48"/>
  <sheetViews>
    <sheetView zoomScaleNormal="100" workbookViewId="0">
      <selection activeCell="K33" sqref="K33"/>
    </sheetView>
  </sheetViews>
  <sheetFormatPr defaultRowHeight="14.5" x14ac:dyDescent="0.35"/>
  <cols>
    <col min="1" max="2" width="8.7265625" style="1"/>
    <col min="3" max="3" width="11" style="2" customWidth="1"/>
    <col min="4" max="4" width="18.1796875" customWidth="1"/>
    <col min="5" max="5" width="17.453125" customWidth="1"/>
    <col min="6" max="6" width="8.7265625" style="3"/>
    <col min="7" max="7" width="8.7265625" style="1"/>
    <col min="8" max="8" width="8.7265625" style="4"/>
    <col min="10" max="10" width="15.54296875" customWidth="1"/>
  </cols>
  <sheetData>
    <row r="1" spans="1:20" x14ac:dyDescent="0.35">
      <c r="A1" s="1" t="s">
        <v>36</v>
      </c>
    </row>
    <row r="3" spans="1:20" s="7" customFormat="1" ht="29.5" thickBot="1" x14ac:dyDescent="0.4">
      <c r="A3" s="5" t="s">
        <v>0</v>
      </c>
      <c r="B3" s="5" t="s">
        <v>1</v>
      </c>
      <c r="C3" s="6" t="s">
        <v>2</v>
      </c>
      <c r="D3" s="7" t="s">
        <v>3</v>
      </c>
      <c r="E3" s="7" t="s">
        <v>4</v>
      </c>
      <c r="F3" s="8" t="s">
        <v>5</v>
      </c>
      <c r="G3" s="5" t="s">
        <v>6</v>
      </c>
      <c r="H3" s="9" t="s">
        <v>7</v>
      </c>
      <c r="K3" s="10"/>
      <c r="L3" s="8" t="s">
        <v>8</v>
      </c>
      <c r="M3" s="5"/>
      <c r="N3" s="5"/>
      <c r="O3" s="5"/>
      <c r="P3" s="5"/>
      <c r="Q3" s="8" t="s">
        <v>9</v>
      </c>
      <c r="T3" s="11"/>
    </row>
    <row r="4" spans="1:20" ht="15" thickTop="1" x14ac:dyDescent="0.35">
      <c r="A4" s="1" t="s">
        <v>10</v>
      </c>
      <c r="B4" s="1" t="s">
        <v>27</v>
      </c>
      <c r="C4" s="2">
        <v>0.5</v>
      </c>
      <c r="D4" t="s">
        <v>28</v>
      </c>
      <c r="K4" s="12"/>
      <c r="L4" s="12">
        <v>0.5</v>
      </c>
      <c r="M4" s="13">
        <v>1</v>
      </c>
      <c r="N4" s="13">
        <v>2</v>
      </c>
      <c r="O4" s="13">
        <v>4</v>
      </c>
      <c r="P4" s="13"/>
      <c r="Q4" s="12">
        <v>0.5</v>
      </c>
      <c r="R4" s="13">
        <v>1</v>
      </c>
      <c r="S4" s="13">
        <v>2</v>
      </c>
      <c r="T4" s="14">
        <v>4</v>
      </c>
    </row>
    <row r="5" spans="1:20" x14ac:dyDescent="0.35">
      <c r="A5" s="1" t="s">
        <v>11</v>
      </c>
      <c r="B5" s="1" t="s">
        <v>27</v>
      </c>
      <c r="C5" s="2">
        <v>1</v>
      </c>
      <c r="D5">
        <v>6.4546870126085647E-5</v>
      </c>
      <c r="E5">
        <v>6.1370999999999995E-3</v>
      </c>
      <c r="F5" s="3">
        <v>162.94340975379251</v>
      </c>
      <c r="G5" s="37">
        <v>15492.617969649082</v>
      </c>
      <c r="H5" s="4">
        <v>95.079745741533372</v>
      </c>
      <c r="K5" s="29" t="s">
        <v>12</v>
      </c>
      <c r="L5" s="29">
        <f>AVERAGE(F16,F8,F12)</f>
        <v>49.525277737992575</v>
      </c>
      <c r="M5" s="31">
        <f>AVERAGE(F13,F5,F9,F17)</f>
        <v>81.692833813981196</v>
      </c>
      <c r="N5" s="31">
        <f>AVERAGE(F14,F6,F10,F18)</f>
        <v>68.953888093697358</v>
      </c>
      <c r="O5" s="31">
        <f>AVERAGE(F7,F11,F15,F19)</f>
        <v>71.079612142242155</v>
      </c>
      <c r="P5" s="31"/>
      <c r="Q5" s="29">
        <f>_xlfn.STDEV.P(F16,F8,F12)</f>
        <v>24.30592297096527</v>
      </c>
      <c r="R5" s="31">
        <f>_xlfn.STDEV.P(F13,F5,F9,F17)</f>
        <v>53.235578135752576</v>
      </c>
      <c r="S5" s="31">
        <f>_xlfn.STDEV.P(F14,F6,F10,F18)</f>
        <v>46.015517874014158</v>
      </c>
      <c r="T5" s="32">
        <f>_xlfn.STDEV.P(H7,H11,H15,H19)</f>
        <v>13.098375829155268</v>
      </c>
    </row>
    <row r="6" spans="1:20" x14ac:dyDescent="0.35">
      <c r="A6" s="1" t="s">
        <v>10</v>
      </c>
      <c r="B6" s="1" t="s">
        <v>27</v>
      </c>
      <c r="C6" s="2">
        <v>2</v>
      </c>
      <c r="D6">
        <v>1.6192433114515703E-4</v>
      </c>
      <c r="E6">
        <v>1.4758E-2</v>
      </c>
      <c r="F6" s="3">
        <v>135.5197181189863</v>
      </c>
      <c r="G6" s="37">
        <v>12351.448271273701</v>
      </c>
      <c r="H6" s="4">
        <v>91.141336793728641</v>
      </c>
      <c r="K6" s="29" t="s">
        <v>13</v>
      </c>
      <c r="L6" s="29">
        <f>AVERAGE(F23,F27,F31)</f>
        <v>39.943003307942391</v>
      </c>
      <c r="M6" s="30">
        <f>AVERAGE(F24,F28,F32)</f>
        <v>48.897778214805548</v>
      </c>
      <c r="N6" s="30">
        <f>AVERAGE(F25,F29,F33)</f>
        <v>44.373699391937357</v>
      </c>
      <c r="O6" s="30">
        <f>AVERAGE(F26,F30)</f>
        <v>27.911096855953751</v>
      </c>
      <c r="P6" s="31"/>
      <c r="Q6" s="29">
        <f>_xlfn.STDEV.P(F23,F27,F31)</f>
        <v>25.407881522580055</v>
      </c>
      <c r="R6" s="31">
        <f>_xlfn.STDEV.P(F24,F28,F32)</f>
        <v>24.493290735105315</v>
      </c>
      <c r="S6" s="31">
        <f>_xlfn.STDEV.P(F25,F29,F33)</f>
        <v>21.3887957076345</v>
      </c>
      <c r="T6" s="32">
        <f>_xlfn.STDEV.P(F26,F30)</f>
        <v>14.491430334666809</v>
      </c>
    </row>
    <row r="7" spans="1:20" x14ac:dyDescent="0.35">
      <c r="A7" s="1" t="s">
        <v>10</v>
      </c>
      <c r="B7" s="1" t="s">
        <v>27</v>
      </c>
      <c r="C7" s="2">
        <v>4</v>
      </c>
      <c r="D7">
        <v>2.4765765192270682E-4</v>
      </c>
      <c r="E7">
        <f>0.0863792-0.0559111</f>
        <v>3.0468100000000005E-2</v>
      </c>
      <c r="F7" s="3">
        <f>C7/E7</f>
        <v>131.28485202556115</v>
      </c>
      <c r="G7" s="37">
        <f>C7/D7</f>
        <v>16151.328129560025</v>
      </c>
      <c r="H7" s="41">
        <f>G7/F7</f>
        <v>123.02507014606195</v>
      </c>
      <c r="K7" s="34" t="s">
        <v>14</v>
      </c>
      <c r="L7" s="34">
        <f>AVERAGE(F39,F42,F46)</f>
        <v>99.761151796666354</v>
      </c>
      <c r="M7" s="35">
        <f>AVERAGE(F36,F41,F43,F47)</f>
        <v>93.189144616601794</v>
      </c>
      <c r="N7" s="35">
        <f>AVERAGE(F37,F44,F48)</f>
        <v>104.14866536076282</v>
      </c>
      <c r="O7" s="35">
        <f>AVERAGE(F38,F45)</f>
        <v>100.81850418763136</v>
      </c>
      <c r="P7" s="35"/>
      <c r="Q7" s="34">
        <f>_xlfn.STDEV.P(F39,F42,F46)</f>
        <v>62.020346889371623</v>
      </c>
      <c r="R7" s="35">
        <f>_xlfn.STDEV.P(F36,F41,F43,F47)</f>
        <v>67.417960779481305</v>
      </c>
      <c r="S7" s="35">
        <f>_xlfn.STDEV.P(F38, F45)</f>
        <v>65.353109546452487</v>
      </c>
      <c r="T7" s="36"/>
    </row>
    <row r="8" spans="1:20" x14ac:dyDescent="0.35">
      <c r="A8" s="1" t="s">
        <v>10</v>
      </c>
      <c r="B8" s="1" t="s">
        <v>29</v>
      </c>
      <c r="C8" s="2">
        <v>0.5</v>
      </c>
      <c r="D8">
        <v>3.0222308055078914E-4</v>
      </c>
      <c r="E8">
        <f>0.065339-0.0497152</f>
        <v>1.5623799999999993E-2</v>
      </c>
      <c r="F8" s="3">
        <f>C8/E8</f>
        <v>32.002457788758193</v>
      </c>
      <c r="G8" s="1">
        <f>C8/D8</f>
        <v>1654.4070660942591</v>
      </c>
      <c r="H8" s="41">
        <f>G8/F8</f>
        <v>51.696250238486947</v>
      </c>
      <c r="K8" s="15"/>
      <c r="L8" s="15"/>
      <c r="Q8" s="15"/>
      <c r="T8" s="16"/>
    </row>
    <row r="9" spans="1:20" x14ac:dyDescent="0.35">
      <c r="A9" s="1" t="s">
        <v>10</v>
      </c>
      <c r="B9" s="1" t="s">
        <v>29</v>
      </c>
      <c r="C9" s="2">
        <v>1</v>
      </c>
      <c r="D9">
        <v>3.4394734370658017E-4</v>
      </c>
      <c r="E9">
        <f>0.0866382-0.0575426</f>
        <v>2.9095599999999999E-2</v>
      </c>
      <c r="F9" s="3">
        <f>C9/E9</f>
        <v>34.369457924909611</v>
      </c>
      <c r="G9" s="1">
        <f>C9/D9</f>
        <v>2907.4217850424661</v>
      </c>
      <c r="H9" s="4">
        <f>G9/F9</f>
        <v>84.593181288881567</v>
      </c>
      <c r="K9" s="15"/>
      <c r="L9" s="15"/>
      <c r="Q9" s="15"/>
      <c r="T9" s="16"/>
    </row>
    <row r="10" spans="1:20" x14ac:dyDescent="0.35">
      <c r="A10" s="1" t="s">
        <v>10</v>
      </c>
      <c r="B10" s="1" t="s">
        <v>29</v>
      </c>
      <c r="C10" s="2">
        <v>2</v>
      </c>
      <c r="D10">
        <v>6.4152519860851982E-4</v>
      </c>
      <c r="E10">
        <v>6.61881E-2</v>
      </c>
      <c r="F10" s="3">
        <v>30.216912103535229</v>
      </c>
      <c r="G10" s="1">
        <v>3117.5704467073742</v>
      </c>
      <c r="H10" s="4">
        <v>103.17303224185618</v>
      </c>
      <c r="K10" s="15"/>
      <c r="L10" s="15"/>
      <c r="Q10" s="15"/>
      <c r="T10" s="16"/>
    </row>
    <row r="11" spans="1:20" ht="15" thickBot="1" x14ac:dyDescent="0.4">
      <c r="A11" s="1" t="s">
        <v>10</v>
      </c>
      <c r="B11" s="1" t="s">
        <v>29</v>
      </c>
      <c r="C11" s="2">
        <v>4</v>
      </c>
      <c r="D11">
        <v>2.0250117029790818E-3</v>
      </c>
      <c r="E11">
        <v>0.18093100000000001</v>
      </c>
      <c r="F11" s="3">
        <v>22.107875377906495</v>
      </c>
      <c r="G11" s="1">
        <v>1975.2972262409289</v>
      </c>
      <c r="H11" s="4">
        <v>89.348125610249369</v>
      </c>
      <c r="K11" s="17"/>
      <c r="L11" s="18" t="s">
        <v>15</v>
      </c>
      <c r="M11" s="19"/>
      <c r="N11" s="19"/>
      <c r="O11" s="19"/>
      <c r="P11" s="19"/>
      <c r="Q11" s="18" t="s">
        <v>16</v>
      </c>
      <c r="R11" s="19"/>
      <c r="S11" s="20"/>
      <c r="T11" s="21"/>
    </row>
    <row r="12" spans="1:20" ht="15" thickTop="1" x14ac:dyDescent="0.35">
      <c r="A12" s="1" t="s">
        <v>10</v>
      </c>
      <c r="B12" s="1" t="s">
        <v>30</v>
      </c>
      <c r="C12" s="2">
        <v>0.5</v>
      </c>
      <c r="D12">
        <v>1.0362318183769705E-4</v>
      </c>
      <c r="E12">
        <v>5.9597000000000018E-3</v>
      </c>
      <c r="F12" s="3">
        <v>83.896840444988811</v>
      </c>
      <c r="G12" s="1">
        <v>4825.1751310159552</v>
      </c>
      <c r="H12" s="41">
        <v>57.5131924566316</v>
      </c>
      <c r="K12" s="12"/>
      <c r="L12" s="12">
        <v>0.5</v>
      </c>
      <c r="M12" s="13">
        <v>1</v>
      </c>
      <c r="N12" s="13">
        <v>2</v>
      </c>
      <c r="O12" s="13">
        <v>4</v>
      </c>
      <c r="P12" s="13"/>
      <c r="Q12" s="12">
        <v>0.5</v>
      </c>
      <c r="R12" s="13">
        <v>1</v>
      </c>
      <c r="S12" s="13">
        <v>2</v>
      </c>
      <c r="T12" s="14">
        <v>4</v>
      </c>
    </row>
    <row r="13" spans="1:20" x14ac:dyDescent="0.35">
      <c r="A13" s="1" t="s">
        <v>10</v>
      </c>
      <c r="B13" s="1" t="s">
        <v>30</v>
      </c>
      <c r="C13" s="2">
        <v>1</v>
      </c>
      <c r="D13">
        <v>1.5342915053855253E-4</v>
      </c>
      <c r="E13">
        <f>0.0369691-0.0265207</f>
        <v>1.0448399999999997E-2</v>
      </c>
      <c r="F13" s="3">
        <f>C13/E13</f>
        <v>95.708433827188884</v>
      </c>
      <c r="G13" s="1">
        <f>C13/D13</f>
        <v>6517.6662745631738</v>
      </c>
      <c r="H13" s="41">
        <f>G13/F13</f>
        <v>68.099184303145847</v>
      </c>
      <c r="K13" s="29" t="s">
        <v>12</v>
      </c>
      <c r="L13" s="29">
        <f>AVERAGE(G16,G8,G12)</f>
        <v>3251.8617910790163</v>
      </c>
      <c r="M13" s="31">
        <f>AVERAGE(G13,G9,G17)</f>
        <v>4540.851768301407</v>
      </c>
      <c r="N13" s="31">
        <f>AVERAGE(G14,G10,G18)</f>
        <v>4105.8391932499544</v>
      </c>
      <c r="O13" s="31">
        <f>AVERAGE(G7,G15,G19)</f>
        <v>9574.0527233963676</v>
      </c>
      <c r="P13" s="31"/>
      <c r="Q13" s="29">
        <f>_xlfn.STDEV.P(G16,G8,G12)</f>
        <v>1294.5731948499072</v>
      </c>
      <c r="R13" s="31">
        <f>_xlfn.STDEV.P(G13,G9,G17)</f>
        <v>1493.7427303046709</v>
      </c>
      <c r="S13" s="31">
        <f>_xlfn.STDEV.P(G14,G10,G18)</f>
        <v>2253.7375204504533</v>
      </c>
      <c r="T13" s="32">
        <f>_xlfn.STDEV.P(G11,G15,G19)</f>
        <v>2183.2082837458333</v>
      </c>
    </row>
    <row r="14" spans="1:20" x14ac:dyDescent="0.35">
      <c r="A14" s="1" t="s">
        <v>11</v>
      </c>
      <c r="B14" s="1" t="s">
        <v>30</v>
      </c>
      <c r="C14" s="2">
        <v>2</v>
      </c>
      <c r="D14">
        <v>2.7684778538970915E-4</v>
      </c>
      <c r="E14">
        <v>2.2770300000000007E-2</v>
      </c>
      <c r="F14" s="3">
        <v>87.833713214142961</v>
      </c>
      <c r="G14" s="1">
        <v>7224.1863780296035</v>
      </c>
      <c r="H14" s="4">
        <v>82.248445541823756</v>
      </c>
      <c r="K14" s="29" t="s">
        <v>13</v>
      </c>
      <c r="L14" s="29">
        <f>AVERAGE(G23,G27,G31)</f>
        <v>3060.4760133850123</v>
      </c>
      <c r="M14" s="31">
        <f>AVERAGE(G24,G28,G32)</f>
        <v>4377.0272967358096</v>
      </c>
      <c r="N14" s="31">
        <f>AVERAGE(G25,G29,G33)</f>
        <v>4577.7173132544613</v>
      </c>
      <c r="O14" s="31">
        <f>AVERAGE(G26,G30)</f>
        <v>2166.8715091674771</v>
      </c>
      <c r="P14" s="31"/>
      <c r="Q14" s="29">
        <f>_xlfn.STDEV.P(G23,G27,G31)</f>
        <v>1843.4025374432533</v>
      </c>
      <c r="R14" s="31">
        <f>_xlfn.STDEV.P(G24,G28,G32)</f>
        <v>2753.8245440175551</v>
      </c>
      <c r="S14" s="31">
        <f>_xlfn.STDEV.P(G25,G29,G33)</f>
        <v>2777.0994738841891</v>
      </c>
      <c r="T14" s="32">
        <f>_xlfn.STDEV.P(G26,G30)</f>
        <v>1520.881520183359</v>
      </c>
    </row>
    <row r="15" spans="1:20" x14ac:dyDescent="0.35">
      <c r="A15" s="1" t="s">
        <v>11</v>
      </c>
      <c r="B15" s="1" t="s">
        <v>30</v>
      </c>
      <c r="C15" s="2">
        <v>4</v>
      </c>
      <c r="D15">
        <v>5.5067639457474186E-4</v>
      </c>
      <c r="E15">
        <v>5.3924000000000014E-2</v>
      </c>
      <c r="F15" s="3">
        <v>74.178473407017265</v>
      </c>
      <c r="G15" s="1">
        <v>7263.7941982041693</v>
      </c>
      <c r="H15" s="4">
        <v>97.923209585990435</v>
      </c>
      <c r="K15" s="34" t="s">
        <v>14</v>
      </c>
      <c r="L15" s="34">
        <f>AVERAGE(G39,G42,G46)</f>
        <v>9879.5946834259339</v>
      </c>
      <c r="M15" s="35">
        <f>AVERAGE(G36,G41,G43,G47)</f>
        <v>7750.048168494628</v>
      </c>
      <c r="N15" s="35">
        <f>AVERAGE(G37,G48)</f>
        <v>5585.9331971014126</v>
      </c>
      <c r="O15" s="35">
        <f>AVERAGE(G38,G45)</f>
        <v>12296.54473136223</v>
      </c>
      <c r="P15" s="35"/>
      <c r="Q15" s="34">
        <f>_xlfn.STDEV.P(G39,G42,G46)</f>
        <v>6103.164634918081</v>
      </c>
      <c r="R15" s="35">
        <f>_xlfn.STDEV.P(G36,G41,G43,G47)</f>
        <v>5054.2370500543375</v>
      </c>
      <c r="S15" s="35">
        <f>_xlfn.STDEV.P(G37,G48)</f>
        <v>2531.1544952621543</v>
      </c>
      <c r="T15" s="36">
        <f>_xlfn.STDEV.P(G38,G45)</f>
        <v>6864.9774067155631</v>
      </c>
    </row>
    <row r="16" spans="1:20" x14ac:dyDescent="0.35">
      <c r="A16" s="1" t="s">
        <v>11</v>
      </c>
      <c r="B16" s="1" t="s">
        <v>31</v>
      </c>
      <c r="C16" s="2">
        <v>0.5</v>
      </c>
      <c r="D16">
        <v>1.5262500465312181E-4</v>
      </c>
      <c r="E16">
        <f>0.0491393-0.0338378</f>
        <v>1.5301499999999996E-2</v>
      </c>
      <c r="F16" s="3">
        <f>C16/E16</f>
        <v>32.676534980230706</v>
      </c>
      <c r="G16" s="1">
        <f>C16/D16</f>
        <v>3276.0031761268347</v>
      </c>
      <c r="H16" s="4">
        <f>G16/F16</f>
        <v>100.2555251990095</v>
      </c>
      <c r="K16" s="15"/>
      <c r="L16" s="15"/>
      <c r="Q16" s="15"/>
      <c r="T16" s="16"/>
    </row>
    <row r="17" spans="1:20" x14ac:dyDescent="0.35">
      <c r="A17" s="1" t="s">
        <v>11</v>
      </c>
      <c r="B17" s="1" t="s">
        <v>31</v>
      </c>
      <c r="C17" s="2">
        <v>1</v>
      </c>
      <c r="D17">
        <v>2.3823890493012437E-4</v>
      </c>
      <c r="E17">
        <f>0.0850063-0.0553767</f>
        <v>2.9629600000000006E-2</v>
      </c>
      <c r="F17" s="3">
        <f>C17/E17</f>
        <v>33.750033750033744</v>
      </c>
      <c r="G17" s="1">
        <f>C17/D17</f>
        <v>4197.4672452985824</v>
      </c>
      <c r="H17" s="41">
        <f>G17/F17</f>
        <v>124.36927549129889</v>
      </c>
      <c r="K17" s="15"/>
      <c r="L17" s="15"/>
      <c r="Q17" s="15"/>
      <c r="T17" s="16"/>
    </row>
    <row r="18" spans="1:20" x14ac:dyDescent="0.35">
      <c r="A18" s="1" t="s">
        <v>11</v>
      </c>
      <c r="B18" s="1" t="s">
        <v>31</v>
      </c>
      <c r="C18" s="2">
        <v>2</v>
      </c>
      <c r="D18">
        <v>1.0122683097766845E-3</v>
      </c>
      <c r="E18">
        <f>0.289609-0.199702</f>
        <v>8.9907000000000015E-2</v>
      </c>
      <c r="F18" s="3">
        <f>C18/E18</f>
        <v>22.245208938124946</v>
      </c>
      <c r="G18" s="1">
        <f>C18/D18</f>
        <v>1975.7607550128857</v>
      </c>
      <c r="H18" s="4">
        <f>G18/F18</f>
        <v>88.817361100471771</v>
      </c>
      <c r="K18" s="15"/>
      <c r="L18" s="15"/>
      <c r="Q18" s="15"/>
      <c r="T18" s="16"/>
    </row>
    <row r="19" spans="1:20" ht="15" thickBot="1" x14ac:dyDescent="0.4">
      <c r="A19" s="1" t="s">
        <v>11</v>
      </c>
      <c r="B19" s="1" t="s">
        <v>31</v>
      </c>
      <c r="C19" s="2">
        <v>4</v>
      </c>
      <c r="D19">
        <v>7.5371640945471837E-4</v>
      </c>
      <c r="E19">
        <f>0.24065-0.170162</f>
        <v>7.0487999999999995E-2</v>
      </c>
      <c r="F19" s="3">
        <f>C19/E19</f>
        <v>56.747247758483716</v>
      </c>
      <c r="G19" s="1">
        <f>C19/D19</f>
        <v>5307.0358424249107</v>
      </c>
      <c r="H19" s="4">
        <f>G19/F19</f>
        <v>93.520585615211772</v>
      </c>
      <c r="K19" s="17"/>
      <c r="L19" s="18" t="s">
        <v>18</v>
      </c>
      <c r="M19" s="19"/>
      <c r="N19" s="19"/>
      <c r="O19" s="19"/>
      <c r="P19" s="19"/>
      <c r="Q19" s="18" t="s">
        <v>19</v>
      </c>
      <c r="R19" s="19"/>
      <c r="S19" s="20"/>
      <c r="T19" s="21"/>
    </row>
    <row r="20" spans="1:20" ht="15" thickTop="1" x14ac:dyDescent="0.35">
      <c r="K20" s="12"/>
      <c r="L20" s="12">
        <v>0.5</v>
      </c>
      <c r="M20" s="13">
        <v>1</v>
      </c>
      <c r="N20" s="13">
        <v>2</v>
      </c>
      <c r="O20" s="13">
        <v>4</v>
      </c>
      <c r="P20" s="13"/>
      <c r="Q20" s="12">
        <v>0.5</v>
      </c>
      <c r="R20" s="13">
        <v>1</v>
      </c>
      <c r="S20" s="13">
        <v>2</v>
      </c>
      <c r="T20" s="14">
        <v>4</v>
      </c>
    </row>
    <row r="21" spans="1:20" x14ac:dyDescent="0.35">
      <c r="A21" s="1" t="s">
        <v>17</v>
      </c>
      <c r="B21" s="1" t="s">
        <v>22</v>
      </c>
      <c r="C21" s="25">
        <v>0.5</v>
      </c>
      <c r="D21" s="42" t="s">
        <v>23</v>
      </c>
      <c r="E21" s="42" t="s">
        <v>23</v>
      </c>
      <c r="F21" s="27" t="s">
        <v>23</v>
      </c>
      <c r="G21" s="24" t="s">
        <v>23</v>
      </c>
      <c r="H21" s="28" t="s">
        <v>23</v>
      </c>
      <c r="K21" s="29" t="s">
        <v>12</v>
      </c>
      <c r="L21" s="29">
        <f>AVERAGE(H16)</f>
        <v>100.2555251990095</v>
      </c>
      <c r="M21" s="31">
        <f>AVERAGE(H5,H9)</f>
        <v>89.83646351520747</v>
      </c>
      <c r="N21" s="31">
        <f>AVERAGE(H14,H6,H10,H18)</f>
        <v>91.345043919470086</v>
      </c>
      <c r="O21" s="31">
        <f>AVERAGE(H11,H15,H19)</f>
        <v>93.59730693715052</v>
      </c>
      <c r="P21" s="31"/>
      <c r="Q21" s="29">
        <f>_xlfn.STDEV.P(H16)</f>
        <v>0</v>
      </c>
      <c r="R21" s="31">
        <f>_xlfn.STDEV.P(H5,H9)</f>
        <v>5.2432822263259027</v>
      </c>
      <c r="S21" s="31">
        <f>_xlfn.STDEV.P(H14,H6,H10,H18)</f>
        <v>7.5676959311476812</v>
      </c>
      <c r="T21" s="32">
        <f>_xlfn.STDEV.P(H11,H15,H19)</f>
        <v>3.5011836968548056</v>
      </c>
    </row>
    <row r="22" spans="1:20" x14ac:dyDescent="0.35">
      <c r="A22" s="37" t="s">
        <v>17</v>
      </c>
      <c r="B22" s="37" t="s">
        <v>22</v>
      </c>
      <c r="C22" s="38">
        <v>1</v>
      </c>
      <c r="D22" s="39">
        <v>2.346788167745929E-5</v>
      </c>
      <c r="E22" s="39">
        <f>0.0190774-0.0136515</f>
        <v>5.4259000000000009E-3</v>
      </c>
      <c r="F22" s="40">
        <f>C22/E22</f>
        <v>184.30122191710129</v>
      </c>
      <c r="G22" s="37">
        <f>C22/D22</f>
        <v>42611.430113033675</v>
      </c>
      <c r="H22" s="41">
        <f>G22/F22</f>
        <v>231.20535865030945</v>
      </c>
      <c r="K22" s="29" t="s">
        <v>13</v>
      </c>
      <c r="L22" s="29">
        <f>AVERAGE(H23,H27,H31)</f>
        <v>75.090572291933768</v>
      </c>
      <c r="M22" s="31">
        <f>AVERAGE(H24,H28,H32)</f>
        <v>82.576786337625109</v>
      </c>
      <c r="N22" s="31">
        <f>AVERAGE(H25,H29,H33)</f>
        <v>97.771512942364112</v>
      </c>
      <c r="O22" s="31">
        <f>AVERAGE(H26,H30)</f>
        <v>67.553841285909741</v>
      </c>
      <c r="P22" s="31"/>
      <c r="Q22" s="29">
        <f>_xlfn.STDEV.P(H23,H27,H31)</f>
        <v>22.490480172869837</v>
      </c>
      <c r="R22" s="31">
        <f>_xlfn.STDEV.P(H24,H28,H32)</f>
        <v>15.861913454205794</v>
      </c>
      <c r="S22" s="31">
        <f>_xlfn.STDEV.P(H25,H29,H33)</f>
        <v>19.114066278468236</v>
      </c>
      <c r="T22" s="32">
        <f>_xlfn.STDEV.P(H26,H30)</f>
        <v>19.416282281785726</v>
      </c>
    </row>
    <row r="23" spans="1:20" x14ac:dyDescent="0.35">
      <c r="A23" s="24" t="s">
        <v>17</v>
      </c>
      <c r="B23" s="24" t="s">
        <v>24</v>
      </c>
      <c r="C23" s="25">
        <v>0.5</v>
      </c>
      <c r="D23" s="26">
        <v>1.1178280916687566E-4</v>
      </c>
      <c r="E23" s="26">
        <v>1.1944099999999999E-2</v>
      </c>
      <c r="F23" s="27">
        <v>41.861672290084648</v>
      </c>
      <c r="G23" s="24">
        <v>4472.959695024053</v>
      </c>
      <c r="H23" s="28">
        <v>106.85095578667357</v>
      </c>
      <c r="K23" s="34" t="s">
        <v>14</v>
      </c>
      <c r="L23" s="34">
        <f>AVERAGE(H42,H46)</f>
        <v>77.158278582596495</v>
      </c>
      <c r="M23" s="35">
        <f>AVERAGE(H36,H41,H43, H47)</f>
        <v>92.74976170919409</v>
      </c>
      <c r="N23" s="35">
        <f>AVERAGE(H37,H48)</f>
        <v>90.888508038664213</v>
      </c>
      <c r="O23" s="35">
        <f>AVERAGE(H38,H45)</f>
        <v>134.23141655304238</v>
      </c>
      <c r="P23" s="35"/>
      <c r="Q23" s="34">
        <f>_xlfn.STDEV.P(H42,H46)</f>
        <v>29.525656682752658</v>
      </c>
      <c r="R23" s="35">
        <f>_xlfn.STDEV.P(H36,H41,H43, H47)</f>
        <v>34.749966171160466</v>
      </c>
      <c r="S23" s="35">
        <f>_xlfn.STDEV.P(H37,H48)</f>
        <v>16.120389886764936</v>
      </c>
      <c r="T23" s="36">
        <f>_xlfn.STDEV.P(H38, H45)</f>
        <v>18.919771516357358</v>
      </c>
    </row>
    <row r="24" spans="1:20" x14ac:dyDescent="0.35">
      <c r="A24" s="24" t="s">
        <v>17</v>
      </c>
      <c r="B24" s="24" t="s">
        <v>24</v>
      </c>
      <c r="C24" s="25">
        <v>1</v>
      </c>
      <c r="D24" s="26">
        <v>2.3685386845841594E-4</v>
      </c>
      <c r="E24" s="26">
        <f>0.0609805-0.0430434</f>
        <v>1.7937099999999997E-2</v>
      </c>
      <c r="F24" s="27">
        <f>C24/E24</f>
        <v>55.750372133734004</v>
      </c>
      <c r="G24" s="24">
        <f>C24/D24</f>
        <v>4222.0125282672698</v>
      </c>
      <c r="H24" s="28">
        <f>G24/F24</f>
        <v>75.730660920782825</v>
      </c>
    </row>
    <row r="25" spans="1:20" x14ac:dyDescent="0.35">
      <c r="A25" s="24" t="s">
        <v>17</v>
      </c>
      <c r="B25" s="24" t="s">
        <v>24</v>
      </c>
      <c r="C25" s="25">
        <v>2</v>
      </c>
      <c r="D25" s="26">
        <v>4.5983169307248575E-4</v>
      </c>
      <c r="E25" s="26">
        <f>0.111155-0.0736646</f>
        <v>3.7490400000000007E-2</v>
      </c>
      <c r="F25" s="27">
        <f>C25/E25</f>
        <v>53.346990162815004</v>
      </c>
      <c r="G25" s="24">
        <f>C25/D25</f>
        <v>4349.417471937345</v>
      </c>
      <c r="H25" s="28">
        <f>G25/F25</f>
        <v>81.530700394959936</v>
      </c>
    </row>
    <row r="26" spans="1:20" x14ac:dyDescent="0.35">
      <c r="A26" s="24" t="s">
        <v>17</v>
      </c>
      <c r="B26" s="24" t="s">
        <v>24</v>
      </c>
      <c r="C26" s="25">
        <v>4</v>
      </c>
      <c r="D26" s="26">
        <v>1.0846713345942609E-3</v>
      </c>
      <c r="E26" s="26">
        <v>9.4334000000000001E-2</v>
      </c>
      <c r="F26" s="27">
        <v>42.40252719062056</v>
      </c>
      <c r="G26" s="24">
        <v>3687.7530293508362</v>
      </c>
      <c r="H26" s="28">
        <v>86.970123567695452</v>
      </c>
    </row>
    <row r="27" spans="1:20" x14ac:dyDescent="0.35">
      <c r="A27" s="24" t="s">
        <v>17</v>
      </c>
      <c r="B27" s="24" t="s">
        <v>25</v>
      </c>
      <c r="C27" s="25">
        <v>0.5</v>
      </c>
      <c r="D27" s="26">
        <v>1.0949564184080018E-3</v>
      </c>
      <c r="E27" s="26">
        <v>6.321199999999999E-2</v>
      </c>
      <c r="F27" s="27">
        <v>7.9098905271151061</v>
      </c>
      <c r="G27" s="24">
        <v>456.63917905241266</v>
      </c>
      <c r="H27" s="28">
        <v>57.73015157252221</v>
      </c>
    </row>
    <row r="28" spans="1:20" x14ac:dyDescent="0.35">
      <c r="A28" s="24" t="s">
        <v>17</v>
      </c>
      <c r="B28" s="24" t="s">
        <v>25</v>
      </c>
      <c r="C28" s="25">
        <v>1</v>
      </c>
      <c r="D28" s="26">
        <v>9.2210516504935124E-4</v>
      </c>
      <c r="E28" s="26">
        <v>6.2241999999999992E-2</v>
      </c>
      <c r="F28" s="27">
        <v>16.066321776292536</v>
      </c>
      <c r="G28" s="24">
        <v>1084.4750012288239</v>
      </c>
      <c r="H28" s="28">
        <v>67.499893026484457</v>
      </c>
    </row>
    <row r="29" spans="1:20" x14ac:dyDescent="0.35">
      <c r="A29" s="24" t="s">
        <v>17</v>
      </c>
      <c r="B29" s="24" t="s">
        <v>25</v>
      </c>
      <c r="C29" s="25">
        <v>2</v>
      </c>
      <c r="D29" s="26">
        <v>1.5427571853506099E-3</v>
      </c>
      <c r="E29" s="26">
        <v>0.13449499999999998</v>
      </c>
      <c r="F29" s="27">
        <v>14.870441280344997</v>
      </c>
      <c r="G29" s="24">
        <v>1296.3802852394274</v>
      </c>
      <c r="H29" s="28">
        <v>87.178333231638376</v>
      </c>
      <c r="Q29" t="s">
        <v>21</v>
      </c>
    </row>
    <row r="30" spans="1:20" x14ac:dyDescent="0.35">
      <c r="A30" s="24" t="s">
        <v>17</v>
      </c>
      <c r="B30" s="24" t="s">
        <v>25</v>
      </c>
      <c r="C30" s="25">
        <v>4</v>
      </c>
      <c r="D30" s="26">
        <v>6.1920464220976352E-3</v>
      </c>
      <c r="E30" s="26">
        <f>1.30627-1.0082</f>
        <v>0.29807000000000006</v>
      </c>
      <c r="F30" s="27">
        <f>C30/E30</f>
        <v>13.419666521286944</v>
      </c>
      <c r="G30" s="24">
        <f>C30/D30</f>
        <v>645.98998898411821</v>
      </c>
      <c r="H30" s="28">
        <f>G30/F30</f>
        <v>48.137559004124036</v>
      </c>
    </row>
    <row r="31" spans="1:20" x14ac:dyDescent="0.35">
      <c r="A31" s="24" t="s">
        <v>17</v>
      </c>
      <c r="B31" s="24" t="s">
        <v>26</v>
      </c>
      <c r="C31" s="25">
        <v>0.5</v>
      </c>
      <c r="D31" s="26">
        <v>1.1759644625166023E-4</v>
      </c>
      <c r="E31" s="26">
        <v>7.137000000000001E-3</v>
      </c>
      <c r="F31" s="27">
        <v>70.057447106627421</v>
      </c>
      <c r="G31" s="24">
        <v>4251.8291660785708</v>
      </c>
      <c r="H31" s="28">
        <v>60.690609516605534</v>
      </c>
    </row>
    <row r="32" spans="1:20" x14ac:dyDescent="0.35">
      <c r="A32" s="24" t="s">
        <v>17</v>
      </c>
      <c r="B32" s="24" t="s">
        <v>26</v>
      </c>
      <c r="C32" s="25">
        <v>1</v>
      </c>
      <c r="D32" s="26">
        <v>1.2780215227784536E-4</v>
      </c>
      <c r="E32" s="26">
        <v>1.3355300000000001E-2</v>
      </c>
      <c r="F32" s="27">
        <v>74.876640734390094</v>
      </c>
      <c r="G32" s="24">
        <v>7824.594360711334</v>
      </c>
      <c r="H32" s="28">
        <v>104.49980506560807</v>
      </c>
    </row>
    <row r="33" spans="1:8" x14ac:dyDescent="0.35">
      <c r="A33" s="24" t="s">
        <v>17</v>
      </c>
      <c r="B33" s="24" t="s">
        <v>26</v>
      </c>
      <c r="C33" s="25">
        <v>2</v>
      </c>
      <c r="D33" s="26">
        <v>2.4729966746186597E-4</v>
      </c>
      <c r="E33" s="26">
        <v>3.0814899999999992E-2</v>
      </c>
      <c r="F33" s="27">
        <v>64.903666732652084</v>
      </c>
      <c r="G33" s="24">
        <v>8087.3541825866114</v>
      </c>
      <c r="H33" s="28">
        <v>124.60550520049404</v>
      </c>
    </row>
    <row r="35" spans="1:8" x14ac:dyDescent="0.35">
      <c r="A35" s="1" t="s">
        <v>20</v>
      </c>
      <c r="B35" s="24" t="s">
        <v>34</v>
      </c>
      <c r="C35" s="25">
        <v>0.5</v>
      </c>
      <c r="D35" s="26" t="s">
        <v>23</v>
      </c>
      <c r="E35" s="26" t="s">
        <v>23</v>
      </c>
      <c r="F35" s="27" t="s">
        <v>23</v>
      </c>
      <c r="G35" s="24" t="s">
        <v>23</v>
      </c>
      <c r="H35" s="28" t="s">
        <v>23</v>
      </c>
    </row>
    <row r="36" spans="1:8" x14ac:dyDescent="0.35">
      <c r="A36" s="1" t="s">
        <v>20</v>
      </c>
      <c r="B36" s="24" t="s">
        <v>34</v>
      </c>
      <c r="C36" s="25">
        <v>1</v>
      </c>
      <c r="D36" s="26">
        <v>1.4395018659309449E-4</v>
      </c>
      <c r="E36" s="26">
        <f>0.0535306-0.0317372</f>
        <v>2.1793399999999997E-2</v>
      </c>
      <c r="F36" s="27">
        <f>C36/E36</f>
        <v>45.885451558728796</v>
      </c>
      <c r="G36" s="24">
        <f>C36/D36</f>
        <v>6946.8475426621744</v>
      </c>
      <c r="H36" s="28">
        <f>G36/F36</f>
        <v>151.39542723625382</v>
      </c>
    </row>
    <row r="37" spans="1:8" x14ac:dyDescent="0.35">
      <c r="A37" s="1" t="s">
        <v>20</v>
      </c>
      <c r="B37" s="24" t="s">
        <v>34</v>
      </c>
      <c r="C37" s="33">
        <v>2</v>
      </c>
      <c r="D37" s="26">
        <v>6.5471191048825119E-4</v>
      </c>
      <c r="E37" s="26">
        <v>7.0059999999999983E-2</v>
      </c>
      <c r="F37" s="27">
        <v>28.546959748786762</v>
      </c>
      <c r="G37" s="24">
        <v>3054.7787018392573</v>
      </c>
      <c r="H37" s="28">
        <v>107.00889792542915</v>
      </c>
    </row>
    <row r="38" spans="1:8" x14ac:dyDescent="0.35">
      <c r="A38" s="1" t="s">
        <v>20</v>
      </c>
      <c r="B38" s="24" t="s">
        <v>34</v>
      </c>
      <c r="C38" s="25">
        <v>4</v>
      </c>
      <c r="D38" s="26">
        <v>7.3643568438327436E-4</v>
      </c>
      <c r="E38" s="26">
        <f>0.256074-0.143288</f>
        <v>0.11278600000000003</v>
      </c>
      <c r="F38" s="27">
        <f>C38/E38</f>
        <v>35.465394641178861</v>
      </c>
      <c r="G38" s="24">
        <f>C38/D38</f>
        <v>5431.5673246466686</v>
      </c>
      <c r="H38" s="28">
        <f>G38/F38</f>
        <v>153.15118806939984</v>
      </c>
    </row>
    <row r="39" spans="1:8" x14ac:dyDescent="0.35">
      <c r="A39" s="1" t="s">
        <v>20</v>
      </c>
      <c r="B39" s="24" t="s">
        <v>32</v>
      </c>
      <c r="C39" s="25">
        <v>0.5</v>
      </c>
      <c r="D39" s="26">
        <v>8.0917979051032816E-5</v>
      </c>
      <c r="E39" s="26">
        <v>2.3201200000000002E-2</v>
      </c>
      <c r="F39" s="27">
        <v>21.550609451235278</v>
      </c>
      <c r="G39" s="24">
        <v>6179.0964858954685</v>
      </c>
      <c r="H39" s="41">
        <v>286.7249067771159</v>
      </c>
    </row>
    <row r="40" spans="1:8" x14ac:dyDescent="0.35">
      <c r="A40" s="1" t="s">
        <v>20</v>
      </c>
      <c r="B40" s="24" t="s">
        <v>32</v>
      </c>
      <c r="C40" s="22">
        <v>0.5</v>
      </c>
      <c r="D40" s="23"/>
      <c r="E40" s="23"/>
      <c r="F40" s="27"/>
      <c r="G40" s="24"/>
      <c r="H40" s="28"/>
    </row>
    <row r="41" spans="1:8" x14ac:dyDescent="0.35">
      <c r="A41" s="1" t="s">
        <v>20</v>
      </c>
      <c r="B41" s="24" t="s">
        <v>32</v>
      </c>
      <c r="C41" s="25">
        <v>1</v>
      </c>
      <c r="D41" s="26">
        <v>7.5515171793446038E-4</v>
      </c>
      <c r="E41" s="26">
        <f>0.266059-0.207432</f>
        <v>5.8626999999999985E-2</v>
      </c>
      <c r="F41" s="27">
        <f>C41/E41</f>
        <v>17.05698739488632</v>
      </c>
      <c r="G41" s="24">
        <f>C41/D41</f>
        <v>1324.2372045915017</v>
      </c>
      <c r="H41" s="28">
        <f>G41/F41</f>
        <v>77.636054593585953</v>
      </c>
    </row>
    <row r="42" spans="1:8" x14ac:dyDescent="0.35">
      <c r="A42" s="1" t="s">
        <v>20</v>
      </c>
      <c r="B42" s="24" t="s">
        <v>33</v>
      </c>
      <c r="C42" s="25">
        <v>0.5</v>
      </c>
      <c r="D42" s="26">
        <v>2.7052151692958604E-5</v>
      </c>
      <c r="E42" s="26">
        <f>0.0107302-0.00784417</f>
        <v>2.8860300000000012E-3</v>
      </c>
      <c r="F42" s="27">
        <f>C42/E42</f>
        <v>173.24837233154187</v>
      </c>
      <c r="G42" s="24">
        <f>C42/D42</f>
        <v>18482.818138645322</v>
      </c>
      <c r="H42" s="28">
        <f>G42/F42</f>
        <v>106.68393526534916</v>
      </c>
    </row>
    <row r="43" spans="1:8" x14ac:dyDescent="0.35">
      <c r="A43" s="1" t="s">
        <v>20</v>
      </c>
      <c r="B43" s="24" t="s">
        <v>33</v>
      </c>
      <c r="C43" s="25">
        <v>1</v>
      </c>
      <c r="D43" s="26">
        <v>6.453830937988976E-5</v>
      </c>
      <c r="E43" s="26">
        <v>5.2502999999999994E-3</v>
      </c>
      <c r="F43" s="27">
        <v>190.46530674437653</v>
      </c>
      <c r="G43" s="24">
        <v>15494.67300287853</v>
      </c>
      <c r="H43" s="28">
        <v>81.351681667013139</v>
      </c>
    </row>
    <row r="44" spans="1:8" x14ac:dyDescent="0.35">
      <c r="A44" s="1" t="s">
        <v>20</v>
      </c>
      <c r="B44" s="24" t="s">
        <v>33</v>
      </c>
      <c r="C44" s="25">
        <v>2</v>
      </c>
      <c r="D44" s="26">
        <v>5.1199132070777446E-5</v>
      </c>
      <c r="E44" s="26">
        <v>1.1406699999999999E-2</v>
      </c>
      <c r="F44" s="27">
        <v>175.33554840576156</v>
      </c>
      <c r="G44" s="37">
        <v>39063.16218867166</v>
      </c>
      <c r="H44" s="41">
        <v>222.79088606876047</v>
      </c>
    </row>
    <row r="45" spans="1:8" x14ac:dyDescent="0.35">
      <c r="A45" s="1" t="s">
        <v>20</v>
      </c>
      <c r="B45" s="24" t="s">
        <v>33</v>
      </c>
      <c r="C45" s="25">
        <v>4</v>
      </c>
      <c r="D45" s="26">
        <v>2.0875168325230266E-4</v>
      </c>
      <c r="E45" s="26">
        <v>2.4071500000000003E-2</v>
      </c>
      <c r="F45" s="27">
        <v>166.17161373408385</v>
      </c>
      <c r="G45" s="24">
        <v>19161.522138077791</v>
      </c>
      <c r="H45" s="28">
        <v>115.31164503668491</v>
      </c>
    </row>
    <row r="46" spans="1:8" x14ac:dyDescent="0.35">
      <c r="A46" s="1" t="s">
        <v>20</v>
      </c>
      <c r="B46" s="24" t="s">
        <v>35</v>
      </c>
      <c r="C46" s="25">
        <v>0.5</v>
      </c>
      <c r="D46" s="26">
        <v>1.004647615254556E-4</v>
      </c>
      <c r="E46" s="26">
        <v>4.7854000000000022E-3</v>
      </c>
      <c r="F46" s="27">
        <v>104.48447360722191</v>
      </c>
      <c r="G46" s="24">
        <v>4976.8694257370116</v>
      </c>
      <c r="H46" s="28">
        <v>47.632621899843812</v>
      </c>
    </row>
    <row r="47" spans="1:8" x14ac:dyDescent="0.35">
      <c r="A47" s="1" t="s">
        <v>20</v>
      </c>
      <c r="B47" s="24" t="s">
        <v>35</v>
      </c>
      <c r="C47" s="2">
        <v>1</v>
      </c>
      <c r="D47">
        <v>1.3822779671481707E-4</v>
      </c>
      <c r="E47">
        <f>0.0332988-0.02492</f>
        <v>8.3788000000000022E-3</v>
      </c>
      <c r="F47" s="3">
        <f>C47/E47</f>
        <v>119.34883276841549</v>
      </c>
      <c r="G47" s="1">
        <f>C47/D47</f>
        <v>7234.4349238463037</v>
      </c>
      <c r="H47" s="4">
        <f>G47/F47</f>
        <v>60.615883339923428</v>
      </c>
    </row>
    <row r="48" spans="1:8" x14ac:dyDescent="0.35">
      <c r="A48" s="1" t="s">
        <v>20</v>
      </c>
      <c r="B48" s="24" t="s">
        <v>35</v>
      </c>
      <c r="C48" s="2">
        <v>2</v>
      </c>
      <c r="D48">
        <v>2.4639378996503509E-4</v>
      </c>
      <c r="E48">
        <v>1.8422399999999998E-2</v>
      </c>
      <c r="F48" s="3">
        <v>108.56348792774016</v>
      </c>
      <c r="G48" s="1">
        <v>8117.0876923635669</v>
      </c>
      <c r="H48" s="4">
        <v>74.768118151899273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G, n,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A.</dc:creator>
  <cp:lastModifiedBy>Alexandra Snowdon</cp:lastModifiedBy>
  <dcterms:created xsi:type="dcterms:W3CDTF">2022-12-19T11:57:33Z</dcterms:created>
  <dcterms:modified xsi:type="dcterms:W3CDTF">2023-06-12T15:33:09Z</dcterms:modified>
</cp:coreProperties>
</file>