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rc.files.soton.ac.uk\ORCResearch\Q-preforms\FOG Development\Test Data\MCIFOG 1 (150m)\Gyro Data\"/>
    </mc:Choice>
  </mc:AlternateContent>
  <bookViews>
    <workbookView xWindow="-120" yWindow="-120" windowWidth="14415" windowHeight="11550" tabRatio="841" firstSheet="1" activeTab="5"/>
  </bookViews>
  <sheets>
    <sheet name="Performance Summary" sheetId="7" r:id="rId1"/>
    <sheet name="Calc vs Measured" sheetId="6" r:id="rId2"/>
    <sheet name="Setup" sheetId="1" r:id="rId3"/>
    <sheet name="Eigen &amp; Mod Tuning" sheetId="2" r:id="rId4"/>
    <sheet name="Power Sweep" sheetId="9" r:id="rId5"/>
    <sheet name="Run Log" sheetId="3" r:id="rId6"/>
    <sheet name="Test Proc" sheetId="5" r:id="rId7"/>
    <sheet name="Action Log" sheetId="8"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D2" i="5" l="1"/>
  <c r="BC2" i="5"/>
  <c r="BB2" i="5"/>
  <c r="BA2" i="5"/>
  <c r="AZ2" i="5"/>
  <c r="AY2" i="5"/>
  <c r="AX2" i="5"/>
  <c r="AW2" i="5"/>
  <c r="AV2" i="5"/>
  <c r="AU2" i="5"/>
  <c r="AT2" i="5"/>
  <c r="AS2" i="5"/>
  <c r="AR2" i="5"/>
  <c r="AQ2" i="5"/>
  <c r="AP2" i="5"/>
  <c r="AO2" i="5"/>
  <c r="AN2" i="5"/>
  <c r="AM2" i="5"/>
  <c r="AL2" i="5"/>
  <c r="AK2" i="5"/>
  <c r="AJ2" i="5"/>
  <c r="AI2" i="5"/>
  <c r="AH2" i="5"/>
  <c r="AG2" i="5"/>
  <c r="AF2" i="5"/>
  <c r="AE2" i="5"/>
  <c r="AD2" i="5"/>
  <c r="AC2" i="5"/>
  <c r="C4" i="9" l="1"/>
  <c r="C16" i="9" s="1"/>
  <c r="C5" i="9"/>
  <c r="C17" i="9" s="1"/>
  <c r="C6" i="9"/>
  <c r="C18" i="9" s="1"/>
  <c r="C7" i="9"/>
  <c r="C19" i="9" s="1"/>
  <c r="C8" i="9"/>
  <c r="C20" i="9" s="1"/>
  <c r="C9" i="9"/>
  <c r="C21" i="9" s="1"/>
  <c r="C10" i="9"/>
  <c r="C22" i="9" s="1"/>
  <c r="C11" i="9"/>
  <c r="C23" i="9" s="1"/>
  <c r="C12" i="9"/>
  <c r="C24" i="9" s="1"/>
  <c r="C13" i="9"/>
  <c r="C25" i="9" s="1"/>
  <c r="C14" i="9"/>
  <c r="C26" i="9" s="1"/>
  <c r="C15" i="9"/>
  <c r="C27" i="9" s="1"/>
  <c r="D269" i="2"/>
  <c r="D5" i="9" s="1"/>
  <c r="D17" i="9" s="1"/>
  <c r="D270" i="2"/>
  <c r="D6" i="9" s="1"/>
  <c r="D18" i="9" s="1"/>
  <c r="D271" i="2"/>
  <c r="D7" i="9" s="1"/>
  <c r="D19" i="9" s="1"/>
  <c r="D272" i="2"/>
  <c r="D8" i="9" s="1"/>
  <c r="D20" i="9" s="1"/>
  <c r="D273" i="2"/>
  <c r="D9" i="9" s="1"/>
  <c r="D21" i="9" s="1"/>
  <c r="D274" i="2"/>
  <c r="D10" i="9" s="1"/>
  <c r="D22" i="9" s="1"/>
  <c r="D275" i="2"/>
  <c r="D11" i="9" s="1"/>
  <c r="D23" i="9" s="1"/>
  <c r="D276" i="2"/>
  <c r="D12" i="9" s="1"/>
  <c r="D24" i="9" s="1"/>
  <c r="D277" i="2"/>
  <c r="D13" i="9" s="1"/>
  <c r="D25" i="9" s="1"/>
  <c r="D278" i="2"/>
  <c r="D14" i="9" s="1"/>
  <c r="D26" i="9" s="1"/>
  <c r="D279" i="2"/>
  <c r="D15" i="9" s="1"/>
  <c r="D27" i="9" s="1"/>
  <c r="D268" i="2"/>
  <c r="D4" i="9" s="1"/>
  <c r="D16" i="9" s="1"/>
  <c r="B268" i="2"/>
  <c r="A269" i="2" l="1"/>
  <c r="B257" i="2"/>
  <c r="B256" i="2"/>
  <c r="B255" i="2"/>
  <c r="B243" i="2"/>
  <c r="B244" i="2" s="1"/>
  <c r="A270" i="2" l="1"/>
  <c r="B269" i="2"/>
  <c r="B258" i="2"/>
  <c r="A4" i="5"/>
  <c r="A5" i="5" s="1"/>
  <c r="A6" i="5" s="1"/>
  <c r="A7" i="5" s="1"/>
  <c r="A8" i="5" s="1"/>
  <c r="A9" i="5" s="1"/>
  <c r="A10" i="5" s="1"/>
  <c r="A11" i="5" s="1"/>
  <c r="A12" i="5" s="1"/>
  <c r="A16" i="5" s="1"/>
  <c r="A13" i="5" s="1"/>
  <c r="A14" i="5" s="1"/>
  <c r="A15" i="5" s="1"/>
  <c r="A17" i="5" s="1"/>
  <c r="A18" i="5" s="1"/>
  <c r="A19" i="5" s="1"/>
  <c r="AB2" i="5"/>
  <c r="AA2" i="5"/>
  <c r="Z2" i="5"/>
  <c r="Y2" i="5"/>
  <c r="X2" i="5"/>
  <c r="W2" i="5"/>
  <c r="V2" i="5"/>
  <c r="U2" i="5"/>
  <c r="T2" i="5"/>
  <c r="S2" i="5"/>
  <c r="R2" i="5"/>
  <c r="Q2" i="5"/>
  <c r="P2" i="5"/>
  <c r="O2" i="5"/>
  <c r="N2" i="5"/>
  <c r="M2" i="5"/>
  <c r="L2" i="5"/>
  <c r="A21" i="5" l="1"/>
  <c r="A22" i="5" s="1"/>
  <c r="A23" i="5" s="1"/>
  <c r="A24" i="5" s="1"/>
  <c r="A25" i="5" s="1"/>
  <c r="A26" i="5" s="1"/>
  <c r="A27" i="5" s="1"/>
  <c r="A20" i="5"/>
  <c r="A271" i="2"/>
  <c r="B270" i="2"/>
  <c r="C221" i="2"/>
  <c r="D221" i="2" s="1"/>
  <c r="E221" i="2" s="1"/>
  <c r="B163" i="2"/>
  <c r="B158" i="2"/>
  <c r="B159" i="2" s="1"/>
  <c r="B160" i="2" s="1"/>
  <c r="B145" i="2"/>
  <c r="B144" i="2"/>
  <c r="B143" i="2"/>
  <c r="B130" i="2"/>
  <c r="B131" i="2" s="1"/>
  <c r="B132" i="2" s="1"/>
  <c r="B86" i="2"/>
  <c r="B87" i="2"/>
  <c r="B88" i="2"/>
  <c r="B119" i="2"/>
  <c r="B120" i="2" s="1"/>
  <c r="B121" i="2" s="1"/>
  <c r="B9" i="2"/>
  <c r="B10" i="2" s="1"/>
  <c r="A29" i="5" l="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28" i="5"/>
  <c r="A272" i="2"/>
  <c r="B271" i="2"/>
  <c r="E120" i="2"/>
  <c r="B146" i="2"/>
  <c r="B89" i="2"/>
  <c r="D12" i="1"/>
  <c r="D20" i="1" s="1"/>
  <c r="D21" i="1" s="1"/>
  <c r="D22" i="1" s="1"/>
  <c r="D18" i="1" l="1"/>
  <c r="A273" i="2"/>
  <c r="B272" i="2"/>
  <c r="I24" i="1"/>
  <c r="I23" i="1"/>
  <c r="B56" i="2"/>
  <c r="A274" i="2" l="1"/>
  <c r="B273" i="2"/>
  <c r="I25" i="1"/>
  <c r="I29" i="1" s="1"/>
  <c r="K2" i="7"/>
  <c r="A275" i="2" l="1"/>
  <c r="B274" i="2"/>
  <c r="D27" i="6"/>
  <c r="D23" i="6"/>
  <c r="D21" i="6"/>
  <c r="D10" i="6"/>
  <c r="D7" i="6"/>
  <c r="D6" i="6"/>
  <c r="P102" i="6"/>
  <c r="P94" i="6"/>
  <c r="P86" i="6"/>
  <c r="P78" i="6"/>
  <c r="P70" i="6"/>
  <c r="J55" i="6"/>
  <c r="J54" i="6"/>
  <c r="J53" i="6"/>
  <c r="J52" i="6"/>
  <c r="J46" i="6"/>
  <c r="J45" i="6"/>
  <c r="J44" i="6"/>
  <c r="J43" i="6"/>
  <c r="J38" i="6"/>
  <c r="J37" i="6"/>
  <c r="J41" i="6" s="1"/>
  <c r="J42" i="6" s="1"/>
  <c r="T30" i="6"/>
  <c r="J29" i="6"/>
  <c r="J28" i="6"/>
  <c r="O24" i="6"/>
  <c r="O23" i="6"/>
  <c r="J19" i="6"/>
  <c r="J20" i="6" s="1"/>
  <c r="J22" i="6" s="1"/>
  <c r="D18" i="6" s="1"/>
  <c r="J17" i="6"/>
  <c r="D9" i="6" s="1"/>
  <c r="J14" i="6"/>
  <c r="J15" i="6" s="1"/>
  <c r="D8" i="6" s="1"/>
  <c r="J8" i="6"/>
  <c r="G1" i="9" l="1"/>
  <c r="O32" i="6"/>
  <c r="O33" i="6" s="1"/>
  <c r="A276" i="2"/>
  <c r="B275" i="2"/>
  <c r="J47" i="6"/>
  <c r="O25" i="6"/>
  <c r="D11" i="6"/>
  <c r="J18" i="6"/>
  <c r="D15" i="6" s="1"/>
  <c r="J16" i="6"/>
  <c r="N30" i="1"/>
  <c r="G8" i="9" l="1"/>
  <c r="G16" i="9"/>
  <c r="G24" i="9"/>
  <c r="G9" i="9"/>
  <c r="G17" i="9"/>
  <c r="G25" i="9"/>
  <c r="G10" i="9"/>
  <c r="G18" i="9"/>
  <c r="G26" i="9"/>
  <c r="G11" i="9"/>
  <c r="G19" i="9"/>
  <c r="G27" i="9"/>
  <c r="G12" i="9"/>
  <c r="G20" i="9"/>
  <c r="G4" i="9"/>
  <c r="G5" i="9"/>
  <c r="G13" i="9"/>
  <c r="G21" i="9"/>
  <c r="G6" i="9"/>
  <c r="G14" i="9"/>
  <c r="G22" i="9"/>
  <c r="G7" i="9"/>
  <c r="G15" i="9"/>
  <c r="G23" i="9"/>
  <c r="A277" i="2"/>
  <c r="B276" i="2"/>
  <c r="R29" i="6"/>
  <c r="O31" i="6"/>
  <c r="D24" i="6" s="1"/>
  <c r="O29" i="6"/>
  <c r="J23" i="6"/>
  <c r="D17" i="6" s="1"/>
  <c r="L29" i="1"/>
  <c r="I31" i="1"/>
  <c r="A278" i="2" l="1"/>
  <c r="B277" i="2"/>
  <c r="O34" i="6"/>
  <c r="D26" i="6" s="1"/>
  <c r="D22" i="6"/>
  <c r="J24" i="6"/>
  <c r="D16" i="6" s="1"/>
  <c r="J32" i="6"/>
  <c r="J30" i="6"/>
  <c r="J31" i="6" s="1"/>
  <c r="K2" i="5"/>
  <c r="J2" i="5"/>
  <c r="I2" i="5"/>
  <c r="H2" i="5"/>
  <c r="G2" i="5"/>
  <c r="F2" i="5"/>
  <c r="E2" i="5"/>
  <c r="D2" i="5"/>
  <c r="C2" i="5"/>
  <c r="A279" i="2" l="1"/>
  <c r="B279" i="2" s="1"/>
  <c r="B278" i="2"/>
  <c r="O38" i="6"/>
  <c r="O39" i="6" s="1"/>
  <c r="R30" i="6"/>
  <c r="R31" i="6" s="1"/>
  <c r="O35" i="6"/>
  <c r="O36" i="6" s="1"/>
  <c r="D25" i="6" s="1"/>
  <c r="O40" i="6"/>
  <c r="O41" i="6" s="1"/>
  <c r="J56" i="6"/>
  <c r="D12" i="6"/>
  <c r="J33" i="6"/>
  <c r="J57" i="6"/>
  <c r="D52" i="1" l="1"/>
  <c r="J102" i="1" l="1"/>
  <c r="J94" i="1"/>
  <c r="J86" i="1"/>
  <c r="J78" i="1"/>
  <c r="J70" i="1"/>
  <c r="D55" i="1" l="1"/>
  <c r="D54" i="1"/>
  <c r="D53" i="1"/>
  <c r="D15" i="1"/>
  <c r="D16" i="1" s="1"/>
  <c r="D19" i="1" s="1"/>
  <c r="D38" i="1"/>
  <c r="D37" i="1"/>
  <c r="D41" i="1" s="1"/>
  <c r="D42" i="1" s="1"/>
  <c r="D29" i="1"/>
  <c r="D28" i="1"/>
  <c r="I32" i="1" l="1"/>
  <c r="I33" i="1" s="1"/>
  <c r="I34" i="1" s="1"/>
  <c r="D8" i="1"/>
  <c r="D23" i="1" s="1"/>
  <c r="I40" i="1" l="1"/>
  <c r="I41" i="1" s="1"/>
  <c r="L30" i="1"/>
  <c r="L31" i="1" s="1"/>
  <c r="I38" i="1"/>
  <c r="I39" i="1" s="1"/>
  <c r="I35" i="1"/>
  <c r="I36" i="1" s="1"/>
  <c r="D17" i="1"/>
  <c r="D24" i="1" l="1"/>
  <c r="D32" i="1"/>
  <c r="D57" i="1" s="1"/>
  <c r="D30" i="1"/>
  <c r="D31" i="1" s="1"/>
  <c r="D56" i="1" s="1"/>
  <c r="D33" i="1" l="1"/>
</calcChain>
</file>

<file path=xl/comments1.xml><?xml version="1.0" encoding="utf-8"?>
<comments xmlns="http://schemas.openxmlformats.org/spreadsheetml/2006/main">
  <authors>
    <author>Taranta A.A.</author>
  </authors>
  <commentList>
    <comment ref="B126" authorId="0" shapeId="0">
      <text>
        <r>
          <rPr>
            <b/>
            <sz val="9"/>
            <color indexed="81"/>
            <rFont val="Tahoma"/>
            <family val="2"/>
          </rPr>
          <t>Taranta A.A.:</t>
        </r>
        <r>
          <rPr>
            <sz val="9"/>
            <color indexed="81"/>
            <rFont val="Tahoma"/>
            <family val="2"/>
          </rPr>
          <t xml:space="preserve">
Truly REMEASURED - noit just copied from above
</t>
        </r>
      </text>
    </comment>
    <comment ref="B154" authorId="0" shapeId="0">
      <text>
        <r>
          <rPr>
            <b/>
            <sz val="9"/>
            <color indexed="81"/>
            <rFont val="Tahoma"/>
            <family val="2"/>
          </rPr>
          <t>Taranta A.A.:</t>
        </r>
        <r>
          <rPr>
            <sz val="9"/>
            <color indexed="81"/>
            <rFont val="Tahoma"/>
            <family val="2"/>
          </rPr>
          <t xml:space="preserve">
Truly REMEASURED - noit just copied from above
</t>
        </r>
      </text>
    </comment>
  </commentList>
</comments>
</file>

<file path=xl/comments2.xml><?xml version="1.0" encoding="utf-8"?>
<comments xmlns="http://schemas.openxmlformats.org/spreadsheetml/2006/main">
  <authors>
    <author>Taranta A.A.</author>
  </authors>
  <commentList>
    <comment ref="AI9" authorId="0" shapeId="0">
      <text>
        <r>
          <rPr>
            <b/>
            <sz val="9"/>
            <color indexed="81"/>
            <rFont val="Tahoma"/>
            <family val="2"/>
          </rPr>
          <t>Taranta A.A.:</t>
        </r>
        <r>
          <rPr>
            <sz val="9"/>
            <color indexed="81"/>
            <rFont val="Tahoma"/>
            <family val="2"/>
          </rPr>
          <t xml:space="preserve">
3pi/4
</t>
        </r>
      </text>
    </comment>
    <comment ref="AG11" authorId="0" shapeId="0">
      <text>
        <r>
          <rPr>
            <b/>
            <sz val="9"/>
            <color indexed="81"/>
            <rFont val="Tahoma"/>
            <family val="2"/>
          </rPr>
          <t>Taranta A.A.:</t>
        </r>
        <r>
          <rPr>
            <sz val="9"/>
            <color indexed="81"/>
            <rFont val="Tahoma"/>
            <family val="2"/>
          </rPr>
          <t xml:space="preserve">
Changed partway through run
</t>
        </r>
      </text>
    </comment>
    <comment ref="Q14" authorId="0" shapeId="0">
      <text>
        <r>
          <rPr>
            <b/>
            <sz val="9"/>
            <color indexed="81"/>
            <rFont val="Tahoma"/>
            <family val="2"/>
          </rPr>
          <t>Taranta A.A.:</t>
        </r>
        <r>
          <rPr>
            <sz val="9"/>
            <color indexed="81"/>
            <rFont val="Tahoma"/>
            <family val="2"/>
          </rPr>
          <t xml:space="preserve">
Downloaded Data again after noticing additional stream file in local (LIA) folder</t>
        </r>
      </text>
    </comment>
    <comment ref="K16" authorId="0" shapeId="0">
      <text>
        <r>
          <rPr>
            <b/>
            <sz val="9"/>
            <color indexed="81"/>
            <rFont val="Tahoma"/>
            <family val="2"/>
          </rPr>
          <t>Taranta A.A.:</t>
        </r>
        <r>
          <rPr>
            <sz val="9"/>
            <color indexed="81"/>
            <rFont val="Tahoma"/>
            <family val="2"/>
          </rPr>
          <t xml:space="preserve">
Original 10Hz_MCIFOG1 config file saved over with 7kHz settings -&gt; renamed to corrupted and created this new 10Hz file</t>
        </r>
      </text>
    </comment>
    <comment ref="AI22" authorId="0" shapeId="0">
      <text>
        <r>
          <rPr>
            <b/>
            <sz val="9"/>
            <color indexed="81"/>
            <rFont val="Tahoma"/>
            <family val="2"/>
          </rPr>
          <t>Taranta A.A.:</t>
        </r>
        <r>
          <rPr>
            <sz val="9"/>
            <color indexed="81"/>
            <rFont val="Tahoma"/>
            <family val="2"/>
          </rPr>
          <t xml:space="preserve">
Feb 4, 2020
Newly measured from 2nd harmonic null points
</t>
        </r>
      </text>
    </comment>
    <comment ref="AI23" authorId="0" shapeId="0">
      <text>
        <r>
          <rPr>
            <b/>
            <sz val="9"/>
            <color indexed="81"/>
            <rFont val="Tahoma"/>
            <family val="2"/>
          </rPr>
          <t>Taranta A.A.:</t>
        </r>
        <r>
          <rPr>
            <sz val="9"/>
            <color indexed="81"/>
            <rFont val="Tahoma"/>
            <family val="2"/>
          </rPr>
          <t xml:space="preserve">
Feb 4, 2020
Newly measured from 2nd harmonic null points
</t>
        </r>
      </text>
    </comment>
    <comment ref="AI24" authorId="0" shapeId="0">
      <text>
        <r>
          <rPr>
            <b/>
            <sz val="9"/>
            <color indexed="81"/>
            <rFont val="Tahoma"/>
            <family val="2"/>
          </rPr>
          <t>Taranta A.A.:</t>
        </r>
        <r>
          <rPr>
            <sz val="9"/>
            <color indexed="81"/>
            <rFont val="Tahoma"/>
            <family val="2"/>
          </rPr>
          <t xml:space="preserve">
Feb 4, 2020
Newly measured from 2nd harmonic null points
</t>
        </r>
      </text>
    </comment>
    <comment ref="AY24" authorId="0" shapeId="0">
      <text>
        <r>
          <rPr>
            <b/>
            <sz val="9"/>
            <color indexed="81"/>
            <rFont val="Tahoma"/>
            <family val="2"/>
          </rPr>
          <t>Taranta A.A.:</t>
        </r>
        <r>
          <rPr>
            <sz val="9"/>
            <color indexed="81"/>
            <rFont val="Tahoma"/>
            <family val="2"/>
          </rPr>
          <t xml:space="preserve">
Changed to minimum ARW power observed during power sweep </t>
        </r>
      </text>
    </comment>
    <comment ref="AI25" authorId="0" shapeId="0">
      <text>
        <r>
          <rPr>
            <b/>
            <sz val="9"/>
            <color indexed="81"/>
            <rFont val="Tahoma"/>
            <family val="2"/>
          </rPr>
          <t>Taranta A.A.:</t>
        </r>
        <r>
          <rPr>
            <sz val="9"/>
            <color indexed="81"/>
            <rFont val="Tahoma"/>
            <family val="2"/>
          </rPr>
          <t xml:space="preserve">
Feb 4, 2020
Newly measured from 2nd harmonic null points
</t>
        </r>
      </text>
    </comment>
    <comment ref="AI26" authorId="0" shapeId="0">
      <text>
        <r>
          <rPr>
            <b/>
            <sz val="9"/>
            <color indexed="81"/>
            <rFont val="Tahoma"/>
            <family val="2"/>
          </rPr>
          <t>Taranta A.A.:</t>
        </r>
        <r>
          <rPr>
            <sz val="9"/>
            <color indexed="81"/>
            <rFont val="Tahoma"/>
            <family val="2"/>
          </rPr>
          <t xml:space="preserve">
Feb 4, 2020
Newly measured from 2nd harmonic null points
</t>
        </r>
      </text>
    </comment>
  </commentList>
</comments>
</file>

<file path=xl/comments3.xml><?xml version="1.0" encoding="utf-8"?>
<comments xmlns="http://schemas.openxmlformats.org/spreadsheetml/2006/main">
  <authors>
    <author>Taranta A.A.</author>
  </authors>
  <commentList>
    <comment ref="Q3" authorId="0" shapeId="0">
      <text>
        <r>
          <rPr>
            <b/>
            <sz val="9"/>
            <color indexed="81"/>
            <rFont val="Tahoma"/>
            <family val="2"/>
          </rPr>
          <t>Taranta A.A.:</t>
        </r>
        <r>
          <rPr>
            <sz val="9"/>
            <color indexed="81"/>
            <rFont val="Tahoma"/>
            <family val="2"/>
          </rPr>
          <t xml:space="preserve">
All instruments ON except general photonics</t>
        </r>
      </text>
    </comment>
    <comment ref="R3" authorId="0" shapeId="0">
      <text>
        <r>
          <rPr>
            <b/>
            <sz val="9"/>
            <color indexed="81"/>
            <rFont val="Tahoma"/>
            <family val="2"/>
          </rPr>
          <t>Taranta A.A.:</t>
        </r>
        <r>
          <rPr>
            <sz val="9"/>
            <color indexed="81"/>
            <rFont val="Tahoma"/>
            <family val="2"/>
          </rPr>
          <t xml:space="preserve">
All instruments on except OSAs and Walics rack.  PSGA-101 ON  with fan facing gyro</t>
        </r>
      </text>
    </comment>
    <comment ref="S3" authorId="0" shapeId="0">
      <text>
        <r>
          <rPr>
            <b/>
            <sz val="9"/>
            <color indexed="81"/>
            <rFont val="Tahoma"/>
            <family val="2"/>
          </rPr>
          <t>Taranta A.A.:</t>
        </r>
        <r>
          <rPr>
            <sz val="9"/>
            <color indexed="81"/>
            <rFont val="Tahoma"/>
            <family val="2"/>
          </rPr>
          <t xml:space="preserve">
All instruments on except OSAs and Walics rack.  PSGA-101 ON  with fan facing gyro</t>
        </r>
      </text>
    </comment>
    <comment ref="T3" authorId="0" shapeId="0">
      <text>
        <r>
          <rPr>
            <b/>
            <sz val="9"/>
            <color indexed="81"/>
            <rFont val="Tahoma"/>
            <family val="2"/>
          </rPr>
          <t>Taranta A.A.:</t>
        </r>
        <r>
          <rPr>
            <sz val="9"/>
            <color indexed="81"/>
            <rFont val="Tahoma"/>
            <family val="2"/>
          </rPr>
          <t xml:space="preserve">
All instruments on except OSAs and Walics rack.  PSGA-101 ON  with fan facing gyro</t>
        </r>
      </text>
    </comment>
    <comment ref="U3" authorId="0" shapeId="0">
      <text>
        <r>
          <rPr>
            <b/>
            <sz val="9"/>
            <color indexed="81"/>
            <rFont val="Tahoma"/>
            <family val="2"/>
          </rPr>
          <t>Taranta A.A.:</t>
        </r>
        <r>
          <rPr>
            <sz val="9"/>
            <color indexed="81"/>
            <rFont val="Tahoma"/>
            <family val="2"/>
          </rPr>
          <t xml:space="preserve">
All instruments on except OSAs and Walics rack.  PSGA-101 ON  with fan facing gyro</t>
        </r>
      </text>
    </comment>
    <comment ref="Z3" authorId="0" shapeId="0">
      <text>
        <r>
          <rPr>
            <b/>
            <sz val="9"/>
            <color indexed="81"/>
            <rFont val="Tahoma"/>
            <family val="2"/>
          </rPr>
          <t>Taranta A.A.:</t>
        </r>
        <r>
          <rPr>
            <sz val="9"/>
            <color indexed="81"/>
            <rFont val="Tahoma"/>
            <family val="2"/>
          </rPr>
          <t xml:space="preserve">
CONTINUATION OF PRIOR TEST
</t>
        </r>
      </text>
    </comment>
    <comment ref="T4" authorId="0" shapeId="0">
      <text>
        <r>
          <rPr>
            <b/>
            <sz val="9"/>
            <color indexed="81"/>
            <rFont val="Tahoma"/>
            <family val="2"/>
          </rPr>
          <t>Taranta A.A.:</t>
        </r>
        <r>
          <rPr>
            <sz val="9"/>
            <color indexed="81"/>
            <rFont val="Tahoma"/>
            <family val="2"/>
          </rPr>
          <t xml:space="preserve">
New LabOne Version Installed </t>
        </r>
      </text>
    </comment>
    <comment ref="N7" authorId="0" shapeId="0">
      <text>
        <r>
          <rPr>
            <b/>
            <sz val="9"/>
            <color indexed="81"/>
            <rFont val="Tahoma"/>
            <family val="2"/>
          </rPr>
          <t>Taranta A.A.:</t>
        </r>
        <r>
          <rPr>
            <sz val="9"/>
            <color indexed="81"/>
            <rFont val="Tahoma"/>
            <family val="2"/>
          </rPr>
          <t xml:space="preserve">
Light Source Off
</t>
        </r>
      </text>
    </comment>
    <comment ref="O7" authorId="0" shapeId="0">
      <text>
        <r>
          <rPr>
            <b/>
            <sz val="9"/>
            <color indexed="81"/>
            <rFont val="Tahoma"/>
            <family val="2"/>
          </rPr>
          <t>Taranta A.A.:</t>
        </r>
        <r>
          <rPr>
            <sz val="9"/>
            <color indexed="81"/>
            <rFont val="Tahoma"/>
            <family val="2"/>
          </rPr>
          <t xml:space="preserve">
Light Source Off
</t>
        </r>
      </text>
    </comment>
    <comment ref="P7" authorId="0" shapeId="0">
      <text>
        <r>
          <rPr>
            <b/>
            <sz val="9"/>
            <color indexed="81"/>
            <rFont val="Tahoma"/>
            <family val="2"/>
          </rPr>
          <t>Taranta A.A.:</t>
        </r>
        <r>
          <rPr>
            <sz val="9"/>
            <color indexed="81"/>
            <rFont val="Tahoma"/>
            <family val="2"/>
          </rPr>
          <t xml:space="preserve">
Light Source Off
</t>
        </r>
      </text>
    </comment>
    <comment ref="T13" authorId="0" shapeId="0">
      <text>
        <r>
          <rPr>
            <b/>
            <sz val="9"/>
            <color indexed="81"/>
            <rFont val="Tahoma"/>
            <family val="2"/>
          </rPr>
          <t>Taranta A.A.:</t>
        </r>
        <r>
          <rPr>
            <sz val="9"/>
            <color indexed="81"/>
            <rFont val="Tahoma"/>
            <family val="2"/>
          </rPr>
          <t xml:space="preserve">
Channels did not seem to be interrupted on PTC10, despite simultaneously running Pol Test V1.5 and acquiring GP Temperautre sweep data</t>
        </r>
      </text>
    </comment>
    <comment ref="K14" authorId="0" shapeId="0">
      <text>
        <r>
          <rPr>
            <b/>
            <sz val="9"/>
            <color indexed="81"/>
            <rFont val="Tahoma"/>
            <family val="2"/>
          </rPr>
          <t>Taranta A.A.:</t>
        </r>
        <r>
          <rPr>
            <sz val="9"/>
            <color indexed="81"/>
            <rFont val="Tahoma"/>
            <family val="2"/>
          </rPr>
          <t xml:space="preserve">
Set to 30°C
</t>
        </r>
      </text>
    </comment>
    <comment ref="T23" authorId="0" shapeId="0">
      <text>
        <r>
          <rPr>
            <b/>
            <sz val="9"/>
            <color indexed="81"/>
            <rFont val="Tahoma"/>
            <family val="2"/>
          </rPr>
          <t>Taranta A.A.:</t>
        </r>
        <r>
          <rPr>
            <sz val="9"/>
            <color indexed="81"/>
            <rFont val="Tahoma"/>
            <family val="2"/>
          </rPr>
          <t xml:space="preserve">
Data Acquisition failed on temperature logger because of attempting to run PTC10 logger while simultaneously running pol test V1.5 and </t>
        </r>
      </text>
    </comment>
    <comment ref="W27" authorId="0" shapeId="0">
      <text>
        <r>
          <rPr>
            <b/>
            <sz val="9"/>
            <color indexed="81"/>
            <rFont val="Tahoma"/>
            <family val="2"/>
          </rPr>
          <t>Taranta A.A.:</t>
        </r>
        <r>
          <rPr>
            <sz val="9"/>
            <color indexed="81"/>
            <rFont val="Tahoma"/>
            <family val="2"/>
          </rPr>
          <t xml:space="preserve">
Started Power change labview program to write new power values to the Manlight</t>
        </r>
      </text>
    </comment>
    <comment ref="C29" authorId="0" shapeId="0">
      <text>
        <r>
          <rPr>
            <b/>
            <sz val="9"/>
            <color indexed="81"/>
            <rFont val="Tahoma"/>
            <family val="2"/>
          </rPr>
          <t>Taranta A.A.:</t>
        </r>
        <r>
          <rPr>
            <sz val="9"/>
            <color indexed="81"/>
            <rFont val="Tahoma"/>
            <family val="2"/>
          </rPr>
          <t xml:space="preserve">
Bad Test - Temp Logger Failed to Start
</t>
        </r>
      </text>
    </comment>
    <comment ref="J33" authorId="0" shapeId="0">
      <text>
        <r>
          <rPr>
            <b/>
            <sz val="9"/>
            <color indexed="81"/>
            <rFont val="Tahoma"/>
            <family val="2"/>
          </rPr>
          <t>Taranta A.A.:</t>
        </r>
        <r>
          <rPr>
            <sz val="9"/>
            <color indexed="81"/>
            <rFont val="Tahoma"/>
            <family val="2"/>
          </rPr>
          <t xml:space="preserve">
Left at 30°C</t>
        </r>
      </text>
    </comment>
    <comment ref="Y33" authorId="0" shapeId="0">
      <text>
        <r>
          <rPr>
            <b/>
            <sz val="9"/>
            <color indexed="81"/>
            <rFont val="Tahoma"/>
            <family val="2"/>
          </rPr>
          <t>Taranta A.A.:</t>
        </r>
        <r>
          <rPr>
            <sz val="9"/>
            <color indexed="81"/>
            <rFont val="Tahoma"/>
            <family val="2"/>
          </rPr>
          <t xml:space="preserve">
Paused Program</t>
        </r>
      </text>
    </comment>
    <comment ref="U36" authorId="0" shapeId="0">
      <text>
        <r>
          <rPr>
            <b/>
            <sz val="9"/>
            <color indexed="81"/>
            <rFont val="Tahoma"/>
            <family val="2"/>
          </rPr>
          <t>Taranta A.A.:</t>
        </r>
        <r>
          <rPr>
            <sz val="9"/>
            <color indexed="81"/>
            <rFont val="Tahoma"/>
            <family val="2"/>
          </rPr>
          <t xml:space="preserve">
Delayed recording of end time by a few min.
</t>
        </r>
      </text>
    </comment>
  </commentList>
</comments>
</file>

<file path=xl/sharedStrings.xml><?xml version="1.0" encoding="utf-8"?>
<sst xmlns="http://schemas.openxmlformats.org/spreadsheetml/2006/main" count="2864" uniqueCount="614">
  <si>
    <t>m/s</t>
  </si>
  <si>
    <t>m</t>
  </si>
  <si>
    <t>Loop Transit Time</t>
  </si>
  <si>
    <t>L*D</t>
  </si>
  <si>
    <t>m^2</t>
  </si>
  <si>
    <t>Hz</t>
  </si>
  <si>
    <t>nm</t>
  </si>
  <si>
    <t>s</t>
  </si>
  <si>
    <t>ORC Latitude</t>
  </si>
  <si>
    <t>mm</t>
  </si>
  <si>
    <t>Max</t>
  </si>
  <si>
    <t>Min</t>
  </si>
  <si>
    <t>Mean</t>
  </si>
  <si>
    <t>kHz</t>
  </si>
  <si>
    <t>Eigen Frequency</t>
  </si>
  <si>
    <t>SF</t>
  </si>
  <si>
    <t>Inverse SF</t>
  </si>
  <si>
    <t>Mean Wavelength</t>
  </si>
  <si>
    <t>Coil</t>
  </si>
  <si>
    <t>Rate</t>
  </si>
  <si>
    <t>IA Vertical</t>
  </si>
  <si>
    <t>IA North</t>
  </si>
  <si>
    <t>°/hr</t>
  </si>
  <si>
    <t>°</t>
  </si>
  <si>
    <t>Speed of Light</t>
  </si>
  <si>
    <t>Index</t>
  </si>
  <si>
    <t>Light Source</t>
  </si>
  <si>
    <t>Inputs</t>
  </si>
  <si>
    <t>Constants</t>
  </si>
  <si>
    <t>Detector</t>
  </si>
  <si>
    <t>Power at Detector</t>
  </si>
  <si>
    <t>dBm</t>
  </si>
  <si>
    <t>Responsivitity</t>
  </si>
  <si>
    <t>V/A</t>
  </si>
  <si>
    <t>Expected Peak Voltage</t>
  </si>
  <si>
    <t>A/W</t>
  </si>
  <si>
    <t>V</t>
  </si>
  <si>
    <t>W</t>
  </si>
  <si>
    <t>µW</t>
  </si>
  <si>
    <t>TIA Gain (50Ω load)</t>
  </si>
  <si>
    <t>mV</t>
  </si>
  <si>
    <t>DC Offset:
Optical Power Off</t>
  </si>
  <si>
    <t>Min Voltage: 
&gt;π mod depth</t>
  </si>
  <si>
    <t>Peak to Peak Voltage: 
π/2 mod depth</t>
  </si>
  <si>
    <t>µrad</t>
  </si>
  <si>
    <r>
      <t>∆φ</t>
    </r>
    <r>
      <rPr>
        <b/>
        <vertAlign val="subscript"/>
        <sz val="11"/>
        <color theme="1"/>
        <rFont val="Calibri"/>
        <family val="2"/>
        <scheme val="minor"/>
      </rPr>
      <t>S</t>
    </r>
  </si>
  <si>
    <r>
      <rPr>
        <sz val="11"/>
        <color theme="1"/>
        <rFont val="Georgia"/>
        <family val="1"/>
      </rPr>
      <t>π</t>
    </r>
    <r>
      <rPr>
        <sz val="11"/>
        <color theme="1"/>
        <rFont val="Calibri"/>
        <family val="2"/>
      </rPr>
      <t xml:space="preserve"> </t>
    </r>
    <r>
      <rPr>
        <sz val="11"/>
        <color theme="1"/>
        <rFont val="Calibri"/>
        <family val="2"/>
        <scheme val="minor"/>
      </rPr>
      <t>rad</t>
    </r>
  </si>
  <si>
    <r>
      <t>1st Bessel: J</t>
    </r>
    <r>
      <rPr>
        <b/>
        <vertAlign val="subscript"/>
        <sz val="11"/>
        <color theme="1"/>
        <rFont val="Calibri"/>
        <family val="2"/>
        <scheme val="minor"/>
      </rPr>
      <t>1</t>
    </r>
    <r>
      <rPr>
        <b/>
        <sz val="11"/>
        <color theme="1"/>
        <rFont val="Calibri"/>
        <family val="2"/>
        <scheme val="minor"/>
      </rPr>
      <t>(α)</t>
    </r>
  </si>
  <si>
    <r>
      <t>2nd Bessel: J</t>
    </r>
    <r>
      <rPr>
        <b/>
        <vertAlign val="subscript"/>
        <sz val="11"/>
        <color theme="1"/>
        <rFont val="Calibri"/>
        <family val="2"/>
        <scheme val="minor"/>
      </rPr>
      <t>2</t>
    </r>
    <r>
      <rPr>
        <b/>
        <sz val="11"/>
        <color theme="1"/>
        <rFont val="Calibri"/>
        <family val="2"/>
        <scheme val="minor"/>
      </rPr>
      <t>(α)</t>
    </r>
  </si>
  <si>
    <r>
      <t>0th Bessel: J</t>
    </r>
    <r>
      <rPr>
        <b/>
        <vertAlign val="subscript"/>
        <sz val="11"/>
        <color theme="1"/>
        <rFont val="Calibri"/>
        <family val="2"/>
        <scheme val="minor"/>
      </rPr>
      <t>0</t>
    </r>
    <r>
      <rPr>
        <b/>
        <sz val="11"/>
        <color theme="1"/>
        <rFont val="Calibri"/>
        <family val="2"/>
        <scheme val="minor"/>
      </rPr>
      <t>(α)</t>
    </r>
  </si>
  <si>
    <t>µV</t>
  </si>
  <si>
    <t>IA Vertical Fundamental (RMS):</t>
  </si>
  <si>
    <t>IA Vertical 2nd Harmonic (RMS):</t>
  </si>
  <si>
    <t>Mod Amplitude Required to Null 2nd Harmonic</t>
  </si>
  <si>
    <t>Desired Mod Depth, α
(assume at eigen)</t>
  </si>
  <si>
    <t>Mod Amplitude for desired Mod Depth</t>
  </si>
  <si>
    <t>J2 Root</t>
  </si>
  <si>
    <t>rad</t>
  </si>
  <si>
    <t>Full Inteferogram Depth (max-min)</t>
  </si>
  <si>
    <t>Max Voltage: 
&gt;π mod depth</t>
  </si>
  <si>
    <t>Avg Voltage: Modulation Off</t>
  </si>
  <si>
    <t xml:space="preserve">Detector Off, Power off Mean voltage = </t>
  </si>
  <si>
    <t>&lt;1mV</t>
  </si>
  <si>
    <t xml:space="preserve">Detector On, Optical Power Off = </t>
  </si>
  <si>
    <t>mean</t>
  </si>
  <si>
    <t>max</t>
  </si>
  <si>
    <t>min</t>
  </si>
  <si>
    <t xml:space="preserve">Optical power on, Modulation Off = </t>
  </si>
  <si>
    <t>Scope</t>
  </si>
  <si>
    <t>Power Meter</t>
  </si>
  <si>
    <t>FLS</t>
  </si>
  <si>
    <t>Setpoint</t>
  </si>
  <si>
    <t>Panel Reading</t>
  </si>
  <si>
    <t>Modulation On</t>
  </si>
  <si>
    <t>FG</t>
  </si>
  <si>
    <t>Output Amp</t>
  </si>
  <si>
    <t>Vp-p</t>
  </si>
  <si>
    <t>Modulation</t>
  </si>
  <si>
    <t>Amplitude</t>
  </si>
  <si>
    <t>High</t>
  </si>
  <si>
    <t>Low</t>
  </si>
  <si>
    <t>Eigenfrequency Tuning</t>
  </si>
  <si>
    <t xml:space="preserve">Power Out (unmodulated) = </t>
  </si>
  <si>
    <t xml:space="preserve">C-Band = </t>
  </si>
  <si>
    <t xml:space="preserve">L-Band = </t>
  </si>
  <si>
    <t>Modulation Off</t>
  </si>
  <si>
    <t>Measured Power at Circulator L3</t>
  </si>
  <si>
    <t xml:space="preserve">Max </t>
  </si>
  <si>
    <t>FG Configuration</t>
  </si>
  <si>
    <t xml:space="preserve">Amplitude = </t>
  </si>
  <si>
    <t xml:space="preserve">Frequency = </t>
  </si>
  <si>
    <t>Waveform</t>
  </si>
  <si>
    <t>Sine</t>
  </si>
  <si>
    <t xml:space="preserve">Load </t>
  </si>
  <si>
    <t>Ohm</t>
  </si>
  <si>
    <t>Mod coupled to PM1, PM2, and Scope on 1Mohm channel impedance</t>
  </si>
  <si>
    <t>Modulated Detector Voltage</t>
  </si>
  <si>
    <t>Scope Modulation Amplitude</t>
  </si>
  <si>
    <t>Mod coupled to PM1, PM2, and Scope on 1Mohm channel impedance + Lock-In Amplifier 2nd Harmonic</t>
  </si>
  <si>
    <t>1st harmonic Mod Amplitude Required to Null 2nd Harmonic</t>
  </si>
  <si>
    <t>2nd Harmonic On</t>
  </si>
  <si>
    <t>Pretuning Avg 1st Harmonic Demod</t>
  </si>
  <si>
    <t>Removed Second Harmonic</t>
  </si>
  <si>
    <r>
      <rPr>
        <sz val="11"/>
        <color rgb="FFFF0000"/>
        <rFont val="Georgia"/>
        <family val="1"/>
      </rPr>
      <t>π</t>
    </r>
    <r>
      <rPr>
        <sz val="11"/>
        <color rgb="FFFF0000"/>
        <rFont val="Calibri"/>
        <family val="2"/>
      </rPr>
      <t xml:space="preserve"> </t>
    </r>
    <r>
      <rPr>
        <sz val="11"/>
        <color rgb="FFFF0000"/>
        <rFont val="Calibri"/>
        <family val="2"/>
        <scheme val="minor"/>
      </rPr>
      <t>rad</t>
    </r>
  </si>
  <si>
    <t>1st harmonic Mod Amplitude Required to Null 2nd Harmonic (1st Root)</t>
  </si>
  <si>
    <t>J2 1st Root</t>
  </si>
  <si>
    <t>J2 2nd Root</t>
  </si>
  <si>
    <t>3rd Root</t>
  </si>
  <si>
    <t>2nd Root</t>
  </si>
  <si>
    <t>J2 3rd Root</t>
  </si>
  <si>
    <t>Rad</t>
  </si>
  <si>
    <t>Mod Amplitude from 1st Root</t>
  </si>
  <si>
    <t>Mod Amplitude from 2nd Root</t>
  </si>
  <si>
    <t>Mod Amplitude from 3rd Root</t>
  </si>
  <si>
    <t xml:space="preserve">Set FG </t>
  </si>
  <si>
    <t xml:space="preserve">Phase </t>
  </si>
  <si>
    <t>Both PMs</t>
  </si>
  <si>
    <t>Amp (Vpp)</t>
  </si>
  <si>
    <t>Up</t>
  </si>
  <si>
    <t>Gryo Config</t>
  </si>
  <si>
    <t>Signal</t>
  </si>
  <si>
    <t>IA</t>
  </si>
  <si>
    <t>Fileset</t>
  </si>
  <si>
    <t>LIA Settings</t>
  </si>
  <si>
    <t>C-Band (dBm)</t>
  </si>
  <si>
    <t>L-Band (dBm)</t>
  </si>
  <si>
    <t>Overnight Bias</t>
  </si>
  <si>
    <t>Rate Phase (°)</t>
  </si>
  <si>
    <t>Gyro Data</t>
  </si>
  <si>
    <t>Order</t>
  </si>
  <si>
    <t>3dB BW (Hz)</t>
  </si>
  <si>
    <t>T1</t>
  </si>
  <si>
    <t>T2</t>
  </si>
  <si>
    <t>Data Rate (Hz)</t>
  </si>
  <si>
    <t>AC</t>
  </si>
  <si>
    <t>Float</t>
  </si>
  <si>
    <t>Sinc</t>
  </si>
  <si>
    <t>On</t>
  </si>
  <si>
    <t>Range</t>
  </si>
  <si>
    <t>Off</t>
  </si>
  <si>
    <r>
      <t>50</t>
    </r>
    <r>
      <rPr>
        <b/>
        <sz val="11"/>
        <color theme="1"/>
        <rFont val="Calibri"/>
        <family val="2"/>
      </rPr>
      <t>Ω</t>
    </r>
  </si>
  <si>
    <t>N/A</t>
  </si>
  <si>
    <t>Thermal Data</t>
  </si>
  <si>
    <t>Rate (Hz)</t>
  </si>
  <si>
    <t>Type</t>
  </si>
  <si>
    <t>Term</t>
  </si>
  <si>
    <t>50Ω @LIA</t>
  </si>
  <si>
    <t>Thermistors</t>
  </si>
  <si>
    <t>Basic Config</t>
  </si>
  <si>
    <t>Both PMs w/ unterminated BNC Tee</t>
  </si>
  <si>
    <t>Uncontrolled</t>
  </si>
  <si>
    <t>Heater Control</t>
  </si>
  <si>
    <t>6.696k</t>
  </si>
  <si>
    <t>Description</t>
  </si>
  <si>
    <t>Step</t>
  </si>
  <si>
    <t>TEST</t>
  </si>
  <si>
    <t>A</t>
  </si>
  <si>
    <t>B</t>
  </si>
  <si>
    <t>C</t>
  </si>
  <si>
    <t>D</t>
  </si>
  <si>
    <t>E</t>
  </si>
  <si>
    <t>F</t>
  </si>
  <si>
    <t>Plate</t>
  </si>
  <si>
    <t>X</t>
  </si>
  <si>
    <t>Hit Record on MFLI Control panel</t>
  </si>
  <si>
    <t>On PTC10 Hit play button</t>
  </si>
  <si>
    <t>Simultaneously touch air thermistor and rotate table to register data streams</t>
  </si>
  <si>
    <t>Download stream folder</t>
  </si>
  <si>
    <t xml:space="preserve">Open MFLI </t>
  </si>
  <si>
    <t>In Config check "preference" and load Appropriate file, e.g. "10Hz"</t>
  </si>
  <si>
    <t>Complete Run Log with current settings</t>
  </si>
  <si>
    <t>Change Heater Out Ramp to 0.008°/s</t>
  </si>
  <si>
    <t>On PTC10 Enable Heater Outputs</t>
  </si>
  <si>
    <t>WAIT FOR TEST TO COMPLETE</t>
  </si>
  <si>
    <t>On PTC10 Change Heater Out Ramp to 0°/s</t>
  </si>
  <si>
    <t>In MFLI Controller hit record button to stop acq</t>
  </si>
  <si>
    <t>In PTC10 Disable Heater Outputs</t>
  </si>
  <si>
    <t>In PTC10 Hit play button to STOP program</t>
  </si>
  <si>
    <t>Start Date / Time</t>
  </si>
  <si>
    <t>Record Start Time in Run Log</t>
  </si>
  <si>
    <t>Record End Time in Run Log</t>
  </si>
  <si>
    <t>In MFLI Stop Plotter</t>
  </si>
  <si>
    <t>Copy Temperature Data to Network</t>
  </si>
  <si>
    <t>817.4m</t>
  </si>
  <si>
    <t>80.13m</t>
  </si>
  <si>
    <t>Coil 
Diameter</t>
  </si>
  <si>
    <t>Coil Turns</t>
  </si>
  <si>
    <t>Coil Length from input</t>
  </si>
  <si>
    <t>Total Loop Length</t>
  </si>
  <si>
    <t>G</t>
  </si>
  <si>
    <t>H</t>
  </si>
  <si>
    <t>Start PTC Temp Logger</t>
  </si>
  <si>
    <t>Hit Run Button</t>
  </si>
  <si>
    <t>Copy Log Filename to Run Log</t>
  </si>
  <si>
    <t>Overlay PTC Logger above MFLI</t>
  </si>
  <si>
    <t>I</t>
  </si>
  <si>
    <t>J1</t>
  </si>
  <si>
    <t>J2</t>
  </si>
  <si>
    <t>Frac</t>
  </si>
  <si>
    <t>Parameter</t>
  </si>
  <si>
    <t>Value</t>
  </si>
  <si>
    <t>Units</t>
  </si>
  <si>
    <t>IA Up</t>
  </si>
  <si>
    <t>Demod Word</t>
  </si>
  <si>
    <t>unitless</t>
  </si>
  <si>
    <t>IA Down</t>
  </si>
  <si>
    <t>True Rate</t>
  </si>
  <si>
    <t>µrad/s</t>
  </si>
  <si>
    <t>Apparent Scale Factor</t>
  </si>
  <si>
    <t>sec</t>
  </si>
  <si>
    <t>Rate Bias Offset</t>
  </si>
  <si>
    <t>deg/hr</t>
  </si>
  <si>
    <t>x</t>
  </si>
  <si>
    <t>In PTC Temp Logger - Stop Acquisition</t>
  </si>
  <si>
    <t>Coil Mean Diameter</t>
  </si>
  <si>
    <t>Calculated Values</t>
  </si>
  <si>
    <t>Fibre Refractive Index</t>
  </si>
  <si>
    <t>Light Source Mean Wavelength</t>
  </si>
  <si>
    <t>Total Sensing Loop Length</t>
  </si>
  <si>
    <t>Southampton Latitude</t>
  </si>
  <si>
    <t>Rotation Rate - Input Axis Vertical</t>
  </si>
  <si>
    <t>Eigenfrequency</t>
  </si>
  <si>
    <t>Scale Factor</t>
  </si>
  <si>
    <t>Inverse Scale Factor</t>
  </si>
  <si>
    <t>Length-Diameter Product</t>
  </si>
  <si>
    <r>
      <t>m</t>
    </r>
    <r>
      <rPr>
        <vertAlign val="superscript"/>
        <sz val="11"/>
        <color theme="1"/>
        <rFont val="Times New Roman"/>
        <family val="1"/>
      </rPr>
      <t>2</t>
    </r>
  </si>
  <si>
    <t>Equivalent Sagnac Phase - IA Vertical</t>
  </si>
  <si>
    <t>Fractional Demodulation Word - IA Up</t>
  </si>
  <si>
    <t>Fractional Demodulation Word - IA Down</t>
  </si>
  <si>
    <t>Measured 
Values</t>
  </si>
  <si>
    <t xml:space="preserve">Equivalent Sagnac Phase - IA Up </t>
  </si>
  <si>
    <t>Equivalent Sagnac Phase - IA Down</t>
  </si>
  <si>
    <t>Apparent Eigenfrequency</t>
  </si>
  <si>
    <t>deg</t>
  </si>
  <si>
    <t>deg/hr.</t>
  </si>
  <si>
    <t>Angle Random Walk</t>
  </si>
  <si>
    <t>Rate Bias Instability</t>
  </si>
  <si>
    <r>
      <t>Rate Temperature Coefficient, c</t>
    </r>
    <r>
      <rPr>
        <b/>
        <i/>
        <vertAlign val="subscript"/>
        <sz val="11"/>
        <color theme="1"/>
        <rFont val="Times New Roman"/>
        <family val="1"/>
      </rPr>
      <t>1</t>
    </r>
  </si>
  <si>
    <r>
      <t>Shupe Coefficient, c</t>
    </r>
    <r>
      <rPr>
        <b/>
        <i/>
        <vertAlign val="subscript"/>
        <sz val="11"/>
        <color theme="1"/>
        <rFont val="Times New Roman"/>
        <family val="1"/>
      </rPr>
      <t>2</t>
    </r>
  </si>
  <si>
    <t>J</t>
  </si>
  <si>
    <t>UP</t>
  </si>
  <si>
    <t>None</t>
  </si>
  <si>
    <t>Mod Depth</t>
  </si>
  <si>
    <t>pi</t>
  </si>
  <si>
    <t>?</t>
  </si>
  <si>
    <t>&lt;-- MEASURED DC POWER AT 17.5dBm &amp; 10^4 gain setting</t>
  </si>
  <si>
    <t>mW</t>
  </si>
  <si>
    <t>ASE Light Source Setup</t>
  </si>
  <si>
    <t>Start Time</t>
  </si>
  <si>
    <t>Gyro configuration</t>
  </si>
  <si>
    <t>Temperature Acquisition</t>
  </si>
  <si>
    <t>Detector config</t>
  </si>
  <si>
    <t>Gain</t>
  </si>
  <si>
    <t>Coupling</t>
  </si>
  <si>
    <t>Exit filter</t>
  </si>
  <si>
    <t>Optics plate fully closed</t>
  </si>
  <si>
    <t>Coil IA Vertical UP in IGLOO</t>
  </si>
  <si>
    <t>Not On</t>
  </si>
  <si>
    <t>DC</t>
  </si>
  <si>
    <t>10MHz</t>
  </si>
  <si>
    <t>10^4 L</t>
  </si>
  <si>
    <t xml:space="preserve">DC Voltage from Detector (DVM) = </t>
  </si>
  <si>
    <t xml:space="preserve">Found Coarse eigenfrequency </t>
  </si>
  <si>
    <t>Square</t>
  </si>
  <si>
    <t>Cheanged to SINE modulation</t>
  </si>
  <si>
    <t>Hi Z</t>
  </si>
  <si>
    <t>Measured correct 1st harmonic phase  - by twisting table while monitoring y-component of 1st harmonic rate</t>
  </si>
  <si>
    <t xml:space="preserve">Phase at which no rotation is in y = </t>
  </si>
  <si>
    <t xml:space="preserve">SAVED AS </t>
  </si>
  <si>
    <t>SETUP 2</t>
  </si>
  <si>
    <t>First Eigen Frequency</t>
  </si>
  <si>
    <t xml:space="preserve">REMEASURED EigenFrequency = </t>
  </si>
  <si>
    <t>2nd Harmonic Amplitude</t>
  </si>
  <si>
    <t>Confirm Demod = ~15µV, Int = ~85mV</t>
  </si>
  <si>
    <t>Pt100 RTDs</t>
  </si>
  <si>
    <t>Optics Plate</t>
  </si>
  <si>
    <t>Lab</t>
  </si>
  <si>
    <t>Igloo Air</t>
  </si>
  <si>
    <t>Hi-Z</t>
  </si>
  <si>
    <t>Coil Mounted in Igloo, Routed through foam umbilical</t>
  </si>
  <si>
    <t>Femto
OE-300-IN-01</t>
  </si>
  <si>
    <t>Frequency
(kHz)</t>
  </si>
  <si>
    <t xml:space="preserve">Knob </t>
  </si>
  <si>
    <t>10^4</t>
  </si>
  <si>
    <t>H/L</t>
  </si>
  <si>
    <t>L</t>
  </si>
  <si>
    <t>BW</t>
  </si>
  <si>
    <t>10 MHz</t>
  </si>
  <si>
    <t xml:space="preserve"> Phase (°)</t>
  </si>
  <si>
    <t>K</t>
  </si>
  <si>
    <t>Set VISA to COM6</t>
  </si>
  <si>
    <t>= N/A</t>
  </si>
  <si>
    <t>= COMPLETE</t>
  </si>
  <si>
    <t>20190526_190451_Temperature_Log.txt</t>
  </si>
  <si>
    <t>data_dev3336_20190526_200704</t>
  </si>
  <si>
    <t>Pre-Test Comment</t>
  </si>
  <si>
    <t>Post-Tuning</t>
  </si>
  <si>
    <t>Stop Date/Time</t>
  </si>
  <si>
    <t>Post-Test Comment</t>
  </si>
  <si>
    <t>Test Halted Due to Bad Run of Temp Logger</t>
  </si>
  <si>
    <t>Post-Tuning Repeat</t>
  </si>
  <si>
    <t>Shut off ALL INSTRUMENTS AND WATER</t>
  </si>
  <si>
    <t>Restart any instruments and water supply</t>
  </si>
  <si>
    <t>20190526_192513_Temperature_Log.txt</t>
  </si>
  <si>
    <t>Save Test Log</t>
  </si>
  <si>
    <t>Opened Optics enclosure after end of run</t>
  </si>
  <si>
    <t>data_dev3336_20190528_144155</t>
  </si>
  <si>
    <t>Both enclosures opened ~2hrs prior). Coil Mounted in Igloo, Routed through foam umbilical</t>
  </si>
  <si>
    <t>20190528_181938_Temperature_Log.txt</t>
  </si>
  <si>
    <t>data_dev3336_20190529_124716</t>
  </si>
  <si>
    <t>Normal Completion</t>
  </si>
  <si>
    <t>LIA Config File</t>
  </si>
  <si>
    <t>1Hz_MCIFOG1</t>
  </si>
  <si>
    <t>7 kHz Noise Run</t>
  </si>
  <si>
    <t>7kHz_MCIFOG1</t>
  </si>
  <si>
    <t>data_dev3336_20190529_131914</t>
  </si>
  <si>
    <t>Coil Mounted in Igloo, Routed through foam umbilical, Igloo top secured with thin copper plate, coil hub resting on 150mm inner plate - not screwed in</t>
  </si>
  <si>
    <t>Shut off: Oscilliscope &amp; Zaber Stages.  Opened and Reclosed Optics plate + Igloo, completely loosened coil mount screws and removed lead tape at coil mount.  Igloo top weighted down with thin copper plate.</t>
  </si>
  <si>
    <t>20190529_161905_Temperature_Log.txt</t>
  </si>
  <si>
    <t>Stopped Test Remotely</t>
  </si>
  <si>
    <t>data_dev3336_20190530_090809</t>
  </si>
  <si>
    <t>Hit Start Acquisition in PTC logger</t>
  </si>
  <si>
    <t>Up to Down</t>
  </si>
  <si>
    <t>10Hz_MCIFOG1</t>
  </si>
  <si>
    <t>20190530_115251_Temperature_Log.txt</t>
  </si>
  <si>
    <t>Heading Swing: 
12:39:41 - Opened coil enclosure, inverted IA and reclosed coil enclosure with cover mounted on top again.
12:46:35 - Done opening enclosure - testing continues</t>
  </si>
  <si>
    <t>Down to Up</t>
  </si>
  <si>
    <t>data_dev3336_20190530_142629</t>
  </si>
  <si>
    <t>20190530_134251_Temperature_Log.txt</t>
  </si>
  <si>
    <r>
      <t>Heading Swing at 3</t>
    </r>
    <r>
      <rPr>
        <sz val="11"/>
        <color theme="1"/>
        <rFont val="Calibri"/>
        <family val="2"/>
      </rPr>
      <t>π/4 mod depth</t>
    </r>
    <r>
      <rPr>
        <sz val="11"/>
        <color theme="1"/>
        <rFont val="Calibri"/>
        <family val="2"/>
        <scheme val="minor"/>
      </rPr>
      <t xml:space="preserve">:
 15:20:28 - Opened coil enclosure, inverted IA and reclosed coil enclosure with cover mounted on top again.
</t>
    </r>
  </si>
  <si>
    <t>data_dev3336_20190531_091728</t>
  </si>
  <si>
    <t>REMEASURING EIGENFREQUENCY AND MODULATION DEPTH</t>
  </si>
  <si>
    <t>Modulation on PM2 ONLY</t>
  </si>
  <si>
    <t>Photodetector going straight to LIA</t>
  </si>
  <si>
    <t>Coil in Igloo - IA vertical UP</t>
  </si>
  <si>
    <t>LIA on 10Hz acquisition rate</t>
  </si>
  <si>
    <t>Phase Mod 2</t>
  </si>
  <si>
    <t>Modulation on PM1 ONLY</t>
  </si>
  <si>
    <t>Phase Mod 1</t>
  </si>
  <si>
    <t>Phase modulator V pi</t>
  </si>
  <si>
    <t>Applied same modulation to Both PMs</t>
  </si>
  <si>
    <t>Repeated</t>
  </si>
  <si>
    <t>LIA SIGNAL OUT set  demodulator 4 (2nd harmonic) - AMPLITUDE SET TO ZERO</t>
  </si>
  <si>
    <t>FG 1st harmonic modulation connected to PM1 &amp; Oscilliscope</t>
  </si>
  <si>
    <t>Signal OUT from LIA (2nd harmonic modulation) connected to PM2 &amp; Oscilliscope</t>
  </si>
  <si>
    <t xml:space="preserve">Set FG Modulation Depth to  = </t>
  </si>
  <si>
    <t xml:space="preserve">Disconnected PM1 and </t>
  </si>
  <si>
    <t>Now 2nd Harmonic modulation is near eigenfrequency</t>
  </si>
  <si>
    <t>Adjusted OUTPUT AMPLITUDE in LIA panel to match 2nd harmonic signal magnitude on Oscilliscope to that of the direct FG modulation</t>
  </si>
  <si>
    <t xml:space="preserve">LIA OUTPUT AMPLITUDE = </t>
  </si>
  <si>
    <t>Vpk</t>
  </si>
  <si>
    <t xml:space="preserve">Turned off 2nd harmonic modulation from LIA </t>
  </si>
  <si>
    <t>PM1 connected to FG and oscilliscope</t>
  </si>
  <si>
    <t>With these settings</t>
  </si>
  <si>
    <t xml:space="preserve">LIA demod X = </t>
  </si>
  <si>
    <t>Turned on 2nd harmonic modulation</t>
  </si>
  <si>
    <t>Tuned to new eigenfrequency</t>
  </si>
  <si>
    <t>SET 2nd Harmonic DEMODULATOR PHASE To 0</t>
  </si>
  <si>
    <t>APPARENT EIGENFREQUENCY CHANGES WITH Phase of second harmonic modulation signal!!</t>
  </si>
  <si>
    <t>Y demod of 1st harmonic is highly variable with this phase as well</t>
  </si>
  <si>
    <t>Still no rotation in y component of demod though.</t>
  </si>
  <si>
    <t xml:space="preserve">for LIA 2ndf harmonic phase = </t>
  </si>
  <si>
    <t xml:space="preserve">2nd harmonic Magnitude = </t>
  </si>
  <si>
    <t>on PM2</t>
  </si>
  <si>
    <t>T-Dot</t>
  </si>
  <si>
    <t xml:space="preserve">Coil DISMOUNTED - Freestanding inside Blue thermal enclosure.  Coil and coil enclosure thermistors now monitoring air inside blue enclosure.  Coil thermistor NOT touching surface of coil.  Both Phase modulators connected to small BNCs with tee connected to barrel connected to FG.  No Connections to Oscilliscope and Oscilliscope off. </t>
  </si>
  <si>
    <t>M</t>
  </si>
  <si>
    <t>N</t>
  </si>
  <si>
    <t>O</t>
  </si>
  <si>
    <t>P</t>
  </si>
  <si>
    <t>Q</t>
  </si>
  <si>
    <t>R</t>
  </si>
  <si>
    <t>S</t>
  </si>
  <si>
    <t>T</t>
  </si>
  <si>
    <t>U</t>
  </si>
  <si>
    <t>Y</t>
  </si>
  <si>
    <t>Z</t>
  </si>
  <si>
    <t>Thermal Program</t>
  </si>
  <si>
    <t>Blue Enclosure Air</t>
  </si>
  <si>
    <t>blue enclosure air</t>
  </si>
  <si>
    <t>20190531_180858_Temperature_Log.txt</t>
  </si>
  <si>
    <t>Select Channels on PTC10</t>
  </si>
  <si>
    <t>On PTC10 Load Thermal Program.  "Program" --&gt; "LOAD" --&gt; (Select Program)</t>
  </si>
  <si>
    <t>Normal Completion.  Left Heater Setpoint at 30°C with coil inside blue enclosure</t>
  </si>
  <si>
    <t>data_dev3336_20190603_080740</t>
  </si>
  <si>
    <t>30°C Setpoint</t>
  </si>
  <si>
    <t>30°C Static Setpoint</t>
  </si>
  <si>
    <t>FS Coil T-dot</t>
  </si>
  <si>
    <t>20190603_073200_Temperature_Log.txt</t>
  </si>
  <si>
    <t>FS Coil 10Hz noise at 30°C
03/06/2019  08:28:19 -  Changed LIA to GROUNDED</t>
  </si>
  <si>
    <t>On&amp; OFF</t>
  </si>
  <si>
    <t>data_dev3336_20190603_104045</t>
  </si>
  <si>
    <t>Completed Remotely</t>
  </si>
  <si>
    <t>Same config as above (FS coil on hotplate in blue enclosure)</t>
  </si>
  <si>
    <t>Off - Drifting down from 30°C</t>
  </si>
  <si>
    <t>20190603_112642_Temperature_Log.txt</t>
  </si>
  <si>
    <t>FS Coil 10Hz noise with Coil drifting back from 30°C to room temperature - Heater Shut off</t>
  </si>
  <si>
    <t>data_dev3336_20190604_110121</t>
  </si>
  <si>
    <t>FS Coil 10Hz Bias at 3pi/4 mod depth.  FLS interlock broken twice in the 15 min. prior to test start.</t>
  </si>
  <si>
    <t>20190604_115455_Temperature_Log.txt</t>
  </si>
  <si>
    <t>data_dev3336_20190605_095130</t>
  </si>
  <si>
    <t>Air near Coil</t>
  </si>
  <si>
    <t>20190605_091029_Temperature_Log.txt</t>
  </si>
  <si>
    <t>No Light Test - High Speed at Full LIA Scale at 3pi/4 modulation</t>
  </si>
  <si>
    <t>No Light Test - High Speed at Full LIA Scale at pi/2 modulation</t>
  </si>
  <si>
    <t>No Light Test - 10 Hz at Full LIA Scale at pi/2 modulation</t>
  </si>
  <si>
    <t>20190605_092404_Temperature_Log.txt</t>
  </si>
  <si>
    <t>Clear MFLI FLAGS</t>
  </si>
  <si>
    <t>Record MFLI Flags in Run Log</t>
  </si>
  <si>
    <t>data_dev3336_20190605_102848</t>
  </si>
  <si>
    <t>Downloaded Fileset</t>
  </si>
  <si>
    <t xml:space="preserve">Session Folder </t>
  </si>
  <si>
    <t>Stream Folder</t>
  </si>
  <si>
    <t>Record MFLI Session and Stream folders on local machine (LIA)</t>
  </si>
  <si>
    <t>stream_012</t>
  </si>
  <si>
    <t>stream_011</t>
  </si>
  <si>
    <t>session_20190526_172112_00</t>
  </si>
  <si>
    <t>MFLI Acquisition Flags</t>
  </si>
  <si>
    <r>
      <rPr>
        <b/>
        <sz val="11"/>
        <color theme="1"/>
        <rFont val="Calibri"/>
        <family val="2"/>
        <scheme val="minor"/>
      </rPr>
      <t xml:space="preserve">1st: </t>
    </r>
    <r>
      <rPr>
        <sz val="11"/>
        <color theme="1"/>
        <rFont val="Calibri"/>
        <family val="2"/>
        <scheme val="minor"/>
      </rPr>
      <t xml:space="preserve">data_dev3336_20190605_101150
</t>
    </r>
    <r>
      <rPr>
        <b/>
        <sz val="11"/>
        <color theme="1"/>
        <rFont val="Calibri"/>
        <family val="2"/>
        <scheme val="minor"/>
      </rPr>
      <t>2nd:</t>
    </r>
    <r>
      <rPr>
        <sz val="11"/>
        <color theme="1"/>
        <rFont val="Calibri"/>
        <family val="2"/>
        <scheme val="minor"/>
      </rPr>
      <t xml:space="preserve">
data_dev3336_20190605_103914</t>
    </r>
  </si>
  <si>
    <t>10Hz_MCIFOG1_new</t>
  </si>
  <si>
    <t>20190605_100032_Temperature_Log.txt</t>
  </si>
  <si>
    <t>stream_013</t>
  </si>
  <si>
    <t>data_dev3336_20190606_115340</t>
  </si>
  <si>
    <t>Action</t>
  </si>
  <si>
    <t>Removed coil from blue thermal enclosure, opened optics enclosure, and inserted freestanding coil into optics enclosure.  No Fibre outside optics enclosure now.</t>
  </si>
  <si>
    <t>Date / Time</t>
  </si>
  <si>
    <t>While Screwing down enclosure monitored ASE throughput power of gyro 
TOTAL THROUGHPUT AT 17.5dBm C-Band (MODULATION OFF) = -14.077dBm</t>
  </si>
  <si>
    <t>CONFIG FILE OUT OF DATE</t>
  </si>
  <si>
    <r>
      <t>FS Coil seated on inner routing platform</t>
    </r>
    <r>
      <rPr>
        <sz val="11"/>
        <color rgb="FFFF0000"/>
        <rFont val="Calibri"/>
        <family val="2"/>
        <scheme val="minor"/>
      </rPr>
      <t xml:space="preserve"> INSIDE optics enclosure.  Zaber stages on, and acquiring data on ARF in Blue box</t>
    </r>
  </si>
  <si>
    <t xml:space="preserve">FS Coil in optics enclosure - 10Hz Overnight at pi/2 </t>
  </si>
  <si>
    <t>session_20190606_172040_02</t>
  </si>
  <si>
    <t>stream_000</t>
  </si>
  <si>
    <t>data_dev3336_20190607_101638</t>
  </si>
  <si>
    <t>2nd Harmonic Demod (4)</t>
  </si>
  <si>
    <t>1st Harmonic Demod (1)</t>
  </si>
  <si>
    <t>Reference PLL (Dem 2)</t>
  </si>
  <si>
    <t>Aux In 1</t>
  </si>
  <si>
    <t xml:space="preserve">FS Coil in optics enclosure - 10Hz Weekend Bias at pi/2 </t>
  </si>
  <si>
    <t>10Hz_MCIFOG1_v3</t>
  </si>
  <si>
    <r>
      <t>FS Coil seated on inner routing platform</t>
    </r>
    <r>
      <rPr>
        <sz val="11"/>
        <color rgb="FFFF0000"/>
        <rFont val="Calibri"/>
        <family val="2"/>
        <scheme val="minor"/>
      </rPr>
      <t xml:space="preserve"> INSIDE optics enclosure.  Running General Photonics Thermal Cycling concurrently: PSGA-101 powered on, Zaber stages on, Thermal cycling &amp; acquiring data on ARF in Blue box. Both OSAs and Walics rack OFF.</t>
    </r>
  </si>
  <si>
    <t>session_20190607_171623_04</t>
  </si>
  <si>
    <t>data_dev3336_20190610_110212</t>
  </si>
  <si>
    <t>Not loaded - same as above</t>
  </si>
  <si>
    <r>
      <t xml:space="preserve">FS Coil in Optics enclosure - 10 Hz.  Music was on at beginning of test
No Change from Prior configuration, Just Hit record.  </t>
    </r>
    <r>
      <rPr>
        <sz val="11"/>
        <color rgb="FFFF0000"/>
        <rFont val="Calibri"/>
        <family val="2"/>
        <scheme val="minor"/>
      </rPr>
      <t>Interlock broken and Light source restarted in first 30 sec of test data acquisiton.</t>
    </r>
  </si>
  <si>
    <t>stream _001</t>
  </si>
  <si>
    <t>data_dev3336_20190612_103948</t>
  </si>
  <si>
    <t>LabOne Version</t>
  </si>
  <si>
    <t>LIA Software</t>
  </si>
  <si>
    <t>LabOne® Release Version 18.12.59443</t>
  </si>
  <si>
    <t>Record LabOne Version (Config-&gt;WebServer-&gt;About)</t>
  </si>
  <si>
    <t xml:space="preserve">Installed updated version of MFLI software onto machine and computer: 
LabOne 18.12 MFLI Update (LabOneMF-18.12.59443.tar, 81.4 MB) --&gt; INSTALLED ON MFLI
LabOne 18.12 for 64bit Windows (LabOne64-18.12.59443.msi, 264.3 MB) --&gt; INSTALLED ON THIS COMPUTER
</t>
  </si>
  <si>
    <t>3Hz_MCIFOG1.xml</t>
  </si>
  <si>
    <t>Same config as above:
FS Coil seated on inner routing platform INSIDE optics enclosure.  Running General Photonics Thermal Cycling concurrently: PSGA-101 powered on, Zaber stages on, Thermal cycling &amp; acquiring data on ARF in Blue box. Both OSAs and Walics rack OFF.</t>
  </si>
  <si>
    <t>300.1m</t>
  </si>
  <si>
    <t>Igloo air (Open to Lab)</t>
  </si>
  <si>
    <t>blue enclosure air (no Gyro inside)</t>
  </si>
  <si>
    <t>Plate (no gyro inside)</t>
  </si>
  <si>
    <t>20190612_110214_Temperature_Log.txt</t>
  </si>
  <si>
    <t>Started run and attempted to start acquisition of thermal data with PTC10 logger while already reserved by Pol Test - DID NOT WORK</t>
  </si>
  <si>
    <t>BAD TEST (ONLY 5 min. long) DATA NOT DOWNLOADED</t>
  </si>
  <si>
    <t>Bad Test - INCOMPLETE</t>
  </si>
  <si>
    <t>FS Coil in Optics Enclosure at 3Hz.  Checked Data with interim download: data_dev3336_20190613_121728 on 13/06/2019  11:28:04</t>
  </si>
  <si>
    <t>Same config as above except ZABER power off:
FS Coil seated on inner routing platform INSIDE optics enclosure.  Running General Photonics Thermal Cycling concurrently: PSGA-101 powered on, Zaber stages OFF, Thermal cycling &amp; acquiring data on ARF in Blue box. Both OSAs and Walics rack OFF.</t>
  </si>
  <si>
    <t>data_dev3336_20190624_112110</t>
  </si>
  <si>
    <t>session_20190612_113602_01</t>
  </si>
  <si>
    <t>stream_001</t>
  </si>
  <si>
    <t>24/06/2019  ~10:30</t>
  </si>
  <si>
    <t>Cleared all stream folders from MFLI after observing empty datasets during long run at 3Hz</t>
  </si>
  <si>
    <t>Restarted gyro with coil inside black enclosure - Started Testing at max power</t>
  </si>
  <si>
    <t>Restart overnight test.</t>
  </si>
  <si>
    <t>Gyro Restart after sitting in lab for 9 months</t>
  </si>
  <si>
    <t xml:space="preserve">LabOne® Release Version 18.12.59443
</t>
  </si>
  <si>
    <t xml:space="preserve">Lab </t>
  </si>
  <si>
    <t>Optics Plate Exit</t>
  </si>
  <si>
    <t>Power at Circulator Port 3</t>
  </si>
  <si>
    <t>Unmodulated (dBm)</t>
  </si>
  <si>
    <t>Modulated (dBm)</t>
  </si>
  <si>
    <t xml:space="preserve">Restart overnight bias after long hiatus.  9 months on table but without testing.  Coil resting on top of optics plate, isolated inside black enclosure. </t>
  </si>
  <si>
    <t>20200204_172355_Temperature_Log.txt</t>
  </si>
  <si>
    <t>session_20200204_184736_00</t>
  </si>
  <si>
    <t>data_dev3336_20200205_100414</t>
  </si>
  <si>
    <t>Tested GPIB control of ASE source to do optical power vs ARW sweep of instrument.  Created new labview software to control. Started ARW vs power run.</t>
  </si>
  <si>
    <t>Created new VI to run ASE source independently.  During this time, ASE power was frequently modified.</t>
  </si>
  <si>
    <t>20200205_144810_Temperature_Log.txt</t>
  </si>
  <si>
    <t>Gyro isolated inside optics enclosure.  FS Coil sitting on upper plate.  Optical power changed by labview program "Manlight Controller Main".</t>
  </si>
  <si>
    <t>ARW vs. optical power test.  Used labview program to change optical power output of manlight source every 2 hours.  Power setting was C-band only starting at +17.5dBm and going down to +1 dBm in 1.5dB steps and then starting back from the beginning. Set to 17.3 dBm manually at very beginning to confirm communication from GPIB line (watched value change to 17.5)</t>
  </si>
  <si>
    <t>session_20200205_164834_01</t>
  </si>
  <si>
    <t>data_dev3336_20200207_173706</t>
  </si>
  <si>
    <t>Completed Remotely. Ending power on  ASE Source was set to 17.5dBm.  Shut off ASE Source Control software at 07/02/2020  15:59:59</t>
  </si>
  <si>
    <t>POWER SWEEP PROFILE</t>
  </si>
  <si>
    <t>measured power on circulator port 3 for these powers</t>
  </si>
  <si>
    <t>ASE Output Power (front panel - dBm)</t>
  </si>
  <si>
    <t>Power Meter Reading - Circulator Port 3 (dBm)</t>
  </si>
  <si>
    <t>Unmodulated</t>
  </si>
  <si>
    <t>Modulated at 2.175 Vp-p</t>
  </si>
  <si>
    <t>Gyro isolated inside optics enclosure.  FS Coil sitting on upper plate.  Optical power of FLS set to 16 dBm instead of normal 17.5 dBm</t>
  </si>
  <si>
    <t>20200207_200102_Temperature_Log.txt</t>
  </si>
  <si>
    <t>Set to 16dBm FLS power for weekend run.  1 Hz rate at lowered LIA Range (0.1V instead of 0.3V)</t>
  </si>
  <si>
    <t xml:space="preserve">Light Source </t>
  </si>
  <si>
    <t>(µW)</t>
  </si>
  <si>
    <t>(dBm)</t>
  </si>
  <si>
    <t>(mW)</t>
  </si>
  <si>
    <t xml:space="preserve">Detector Power </t>
  </si>
  <si>
    <t>IA Vertical Reported Rate</t>
  </si>
  <si>
    <t>ARW</t>
  </si>
  <si>
    <t xml:space="preserve">
µdeg/rt-hr</t>
  </si>
  <si>
    <t>True Bias Offset</t>
  </si>
  <si>
    <t>13 Hz Mean</t>
  </si>
  <si>
    <t>&lt;--True Rate</t>
  </si>
  <si>
    <t>session_20200207_220058_02</t>
  </si>
  <si>
    <t>data_dev3336_20200210_115529</t>
  </si>
  <si>
    <t>Set Power back to 17.5 dBm after testing at 16dBm over weekend</t>
  </si>
  <si>
    <t>AA</t>
  </si>
  <si>
    <t>AB</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</si>
  <si>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</si>
  <si>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</si>
  <si>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</si>
  <si>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</si>
  <si>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</si>
  <si>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</si>
  <si>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</si>
  <si>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</si>
  <si>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</si>
  <si>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</si>
  <si>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</si>
  <si>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</si>
  <si>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</si>
  <si>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</si>
  <si>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</si>
  <si>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</si>
  <si>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</si>
  <si>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</si>
  <si>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</si>
  <si>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</si>
  <si>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</si>
  <si>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</si>
  <si>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</si>
  <si>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</si>
  <si>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</si>
  <si>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Moved Coil to inside thermal enclosure.  Set Yellow Pt100 to be in enclosure air next to coil and white Pt100 taped to copper plate.  Closed optics enclosure and routed fibers to thermal enclosure.</t>
  </si>
  <si>
    <t>2A (Blue)</t>
  </si>
  <si>
    <t>2B (Red)</t>
  </si>
  <si>
    <t>2D (Y)</t>
  </si>
  <si>
    <t xml:space="preserve">2C (Wht) </t>
  </si>
  <si>
    <t>Copper Plate</t>
  </si>
  <si>
    <t>"FOG_M1"
(30-60 cycling at various ramps)</t>
  </si>
  <si>
    <t>FS Coil isolated inside thermal enclosure.  Leads routed, hanging in air from optics enclosure to thermal enclosure (~14 in. of bifilar lead).</t>
  </si>
  <si>
    <t>T-Dot testing at various reduced ramp rates and ranges. FS coil contacting plate surface inside thermal enclosure</t>
  </si>
  <si>
    <t>3Hz_MCIFOG1</t>
  </si>
  <si>
    <t>20200211_104311_Temperature_Log.txt</t>
  </si>
  <si>
    <t>Paused program on PTC10 rather than completely stopping</t>
  </si>
  <si>
    <t>session_20200211_123512_04</t>
  </si>
  <si>
    <t>data_dev3336_20200214_103157</t>
  </si>
  <si>
    <t xml:space="preserve">"FOG_M2"
(30-60 cycling at various ramps)
</t>
  </si>
  <si>
    <t>Continuation of previous T-Dot Test, started with Coil at 60°C in midst of thermal program.  Had to perform with a new program, so started acquisition during coil thermal downramp</t>
  </si>
  <si>
    <t>20200214_083505_Temperature_Log.txt</t>
  </si>
  <si>
    <t>data_dev3336_20200217_111021</t>
  </si>
  <si>
    <t>Same as above but LIA Autoscaled</t>
  </si>
  <si>
    <t>Not in IOC - in SWIMA TLS</t>
  </si>
  <si>
    <r>
      <t>10</t>
    </r>
    <r>
      <rPr>
        <vertAlign val="superscript"/>
        <sz val="11"/>
        <rFont val="Calibri"/>
        <family val="2"/>
        <scheme val="minor"/>
      </rPr>
      <t>4</t>
    </r>
    <r>
      <rPr>
        <sz val="11"/>
        <rFont val="Calibri"/>
        <family val="2"/>
        <scheme val="minor"/>
      </rPr>
      <t xml:space="preserve"> (10</t>
    </r>
    <r>
      <rPr>
        <vertAlign val="superscript"/>
        <sz val="11"/>
        <rFont val="Calibri"/>
        <family val="2"/>
        <scheme val="minor"/>
      </rPr>
      <t>4</t>
    </r>
    <r>
      <rPr>
        <sz val="11"/>
        <rFont val="Calibri"/>
        <family val="2"/>
        <scheme val="minor"/>
      </rPr>
      <t xml:space="preserve"> / 10</t>
    </r>
    <r>
      <rPr>
        <vertAlign val="superscript"/>
        <sz val="11"/>
        <rFont val="Calibri"/>
        <family val="2"/>
        <scheme val="minor"/>
      </rPr>
      <t>5</t>
    </r>
    <r>
      <rPr>
        <sz val="11"/>
        <rFont val="Calibri"/>
        <family val="2"/>
        <scheme val="minor"/>
      </rPr>
      <t>)</t>
    </r>
  </si>
  <si>
    <t>No Light Testing on LIA / PD in SWIMA configuration</t>
  </si>
  <si>
    <t>Femto
OE-300-IN-01 
NO LIGHT</t>
  </si>
  <si>
    <t>Femto
OE-300-IN-01
No Light, Powered OFF</t>
  </si>
  <si>
    <r>
      <t xml:space="preserve">No Light, No Gyro, No IOC, hooked up on SWIMA Setup for detector and LIA noise characterization.
</t>
    </r>
    <r>
      <rPr>
        <b/>
        <sz val="11"/>
        <rFont val="Calibri"/>
        <family val="2"/>
        <scheme val="minor"/>
      </rPr>
      <t>No Light, PD Powered on, LIA at full-scale</t>
    </r>
  </si>
  <si>
    <r>
      <t xml:space="preserve">Same as above, but </t>
    </r>
    <r>
      <rPr>
        <b/>
        <sz val="11"/>
        <color rgb="FFFF0000"/>
        <rFont val="Calibri"/>
        <family val="2"/>
        <scheme val="minor"/>
      </rPr>
      <t>LIA autoscaled</t>
    </r>
  </si>
  <si>
    <r>
      <t xml:space="preserve">Same as above but </t>
    </r>
    <r>
      <rPr>
        <b/>
        <u/>
        <sz val="11"/>
        <color rgb="FFFF0000"/>
        <rFont val="Calibri"/>
        <family val="2"/>
        <scheme val="minor"/>
      </rPr>
      <t>detector powered off</t>
    </r>
    <r>
      <rPr>
        <b/>
        <sz val="11"/>
        <color rgb="FFFF0000"/>
        <rFont val="Calibri"/>
        <family val="2"/>
        <scheme val="minor"/>
      </rPr>
      <t>, and LIA Rescaled to 0.3V again</t>
    </r>
  </si>
  <si>
    <t>Overnight 10 Hz Detector on, LIA Rescaled to 0.3V again</t>
  </si>
  <si>
    <t>Completed Normally</t>
  </si>
  <si>
    <r>
      <rPr>
        <b/>
        <sz val="11"/>
        <color theme="1"/>
        <rFont val="Calibri"/>
        <family val="2"/>
        <scheme val="minor"/>
      </rPr>
      <t xml:space="preserve">Installed updated version of MFLI software onto S^2 machine and computer (UOS-215974): </t>
    </r>
    <r>
      <rPr>
        <sz val="11"/>
        <color theme="1"/>
        <rFont val="Calibri"/>
        <family val="2"/>
        <scheme val="minor"/>
      </rPr>
      <t xml:space="preserve">
LabOne 20.01 MFLI Update (LabOneMF-20.01.1818.tar, 86.5 MB) --&gt; INSTALLED ON MFLI
LabOne 20.01 for 64bit Windows (LabOne64-20.01.1818.msi, 317.4 MB) --&gt; INSTALLED ON THIS COMPUTER</t>
    </r>
  </si>
  <si>
    <t>LabOne® Release Version 20.01.1818</t>
  </si>
  <si>
    <t>session_20200814_130717_00</t>
  </si>
  <si>
    <t>LOADED DIRECTLY VIA NEW SW:
\\filestore.soton.ac.uk\users\aat1f15\mydocuments\Zurich Instruments\LabOne\WebServer</t>
  </si>
  <si>
    <t>Stream_003</t>
  </si>
  <si>
    <t>1mV</t>
  </si>
  <si>
    <t>~14/08/2020  14:20:17</t>
  </si>
  <si>
    <t>Stream_004</t>
  </si>
  <si>
    <t>20200814 7kHz No Light - PD OFF - 0.3V LIA Scale</t>
  </si>
  <si>
    <t>20200814 7kHz No Light - PD ON - 1mV LIA Scale</t>
  </si>
  <si>
    <t>20200814 7kHz No Light - PD ON - 0.3V LIA Scale</t>
  </si>
  <si>
    <t>14/08/2020  ~14:25</t>
  </si>
  <si>
    <t>14/08/2020  ~14:30</t>
  </si>
  <si>
    <t>Stream_006</t>
  </si>
  <si>
    <t>Stream_007</t>
  </si>
  <si>
    <t>14/08/2020  ~14:33</t>
  </si>
  <si>
    <t>20200814 7kHz No Light - PD OFF - 1mV LIA Scale</t>
  </si>
  <si>
    <t>14/08/2020  ~14:55</t>
  </si>
  <si>
    <t>Stream_009</t>
  </si>
  <si>
    <t xml:space="preserve">In plotter set window length to appropriate time:
2 Hrs. for 1sec data
30 min. for 3Hz &amp; 10 Hz data
5 min. for High Speed data
For new version - set save interval </t>
  </si>
  <si>
    <t>In MFLI Stop Plotter (New for New Software)</t>
  </si>
  <si>
    <t>Copy Gyro Data to Network (or confirm already there)</t>
  </si>
  <si>
    <t xml:space="preserve">Overnight 10 Hz Detector on, LIA Rescaled to 1mV </t>
  </si>
  <si>
    <t>Data Folder on Network</t>
  </si>
  <si>
    <t>Record downloaded folder name in Run Log &amp; add hyperlink</t>
  </si>
  <si>
    <t>14/08/2020  ~14:38</t>
  </si>
  <si>
    <t>20200814 10Hz Overnight  No Light - PD ON - 0.3V LIA Scale</t>
  </si>
  <si>
    <t>7kHz No Light - PD ON - 1mV LIA Scale</t>
  </si>
  <si>
    <t>7kHz No Light - PD ON - 0.3V LIA Scale</t>
  </si>
  <si>
    <t>10 Hz No Light - PD ON - 0.3V LIA Scale</t>
  </si>
  <si>
    <t>10 Hz No Light - PD ON - 1mV LIA Scale</t>
  </si>
  <si>
    <t>Saving direct to filestore (As above)</t>
  </si>
  <si>
    <t>stream_010</t>
  </si>
  <si>
    <t xml:space="preserve">Confirm Files are being streamed &amp; copy link </t>
  </si>
  <si>
    <t>Signal Input Overload (OVI)</t>
  </si>
  <si>
    <t>20200814 10Hz Overnight No Light - PD ON - 1mV LIA Scale</t>
  </si>
  <si>
    <t>18/08/2020  ~1400</t>
  </si>
  <si>
    <t>Overnight 10 Hz Detector OFF, LIA at 1mV</t>
  </si>
  <si>
    <r>
      <t xml:space="preserve">10 Hz No Light - </t>
    </r>
    <r>
      <rPr>
        <sz val="11"/>
        <color rgb="FFFF0000"/>
        <rFont val="Calibri"/>
        <family val="2"/>
        <scheme val="minor"/>
      </rPr>
      <t xml:space="preserve">PD OFF </t>
    </r>
    <r>
      <rPr>
        <sz val="11"/>
        <color theme="1"/>
        <rFont val="Calibri"/>
        <family val="2"/>
        <scheme val="minor"/>
      </rPr>
      <t>- 1mV LIA Scale</t>
    </r>
  </si>
  <si>
    <r>
      <t xml:space="preserve">7 kHz No Light - </t>
    </r>
    <r>
      <rPr>
        <sz val="11"/>
        <color rgb="FFFF0000"/>
        <rFont val="Calibri"/>
        <family val="2"/>
        <scheme val="minor"/>
      </rPr>
      <t xml:space="preserve">PD OFF </t>
    </r>
    <r>
      <rPr>
        <sz val="11"/>
        <color theme="1"/>
        <rFont val="Calibri"/>
        <family val="2"/>
        <scheme val="minor"/>
      </rPr>
      <t>- 1mV LIA Scale</t>
    </r>
  </si>
  <si>
    <r>
      <t>7kHz No Light -</t>
    </r>
    <r>
      <rPr>
        <sz val="11"/>
        <color rgb="FFFF0000"/>
        <rFont val="Calibri"/>
        <family val="2"/>
        <scheme val="minor"/>
      </rPr>
      <t xml:space="preserve"> PD OFF</t>
    </r>
    <r>
      <rPr>
        <sz val="11"/>
        <color theme="1"/>
        <rFont val="Calibri"/>
        <family val="2"/>
        <scheme val="minor"/>
      </rPr>
      <t xml:space="preserve"> - 0.3V LIA Scale</t>
    </r>
  </si>
  <si>
    <t>20200818 10Hz Overnight No Light - PD OFF - 1 mV LIA Scale</t>
  </si>
  <si>
    <r>
      <t xml:space="preserve">10 Hz No Light - </t>
    </r>
    <r>
      <rPr>
        <sz val="11"/>
        <color rgb="FFFF0000"/>
        <rFont val="Calibri"/>
        <family val="2"/>
        <scheme val="minor"/>
      </rPr>
      <t xml:space="preserve">PD OFF </t>
    </r>
    <r>
      <rPr>
        <sz val="11"/>
        <color theme="1"/>
        <rFont val="Calibri"/>
        <family val="2"/>
        <scheme val="minor"/>
      </rPr>
      <t>- 0.3V LIA Scale</t>
    </r>
  </si>
  <si>
    <t>Overnight 10 Hz Detector OFF, LIA at 0.3V</t>
  </si>
  <si>
    <t>20200818 10Hz Whole Month - No Light - PD OFF - 300 mV LIA Scale</t>
  </si>
  <si>
    <t>25/09/2020  ~14:10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</si>
</sst>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E+00"/>
    <numFmt numFmtId="166" formatCode="0.00000"/>
    <numFmt numFmtId="167" formatCode="0.000"/>
    <numFmt numFmtId="168" formatCode="0.0000000"/>
  </numFmts>
  <fonts count="40" x14ac:knownFonts="1">
    <font>
      <sz val="11"/>
      <color theme="1"/>
      <name val="Calibri"/>
      <family val="2"/>
      <scheme val="minor"/>
    </font>
    <font>
      <b/>
      <sz val="11"/>
      <color theme="1"/>
      <name val="Calibri"/>
      <family val="2"/>
      <scheme val="minor"/>
    </font>
    <font>
      <b/>
      <sz val="11"/>
      <color rgb="FF0000FF"/>
      <name val="Calibri"/>
      <family val="2"/>
      <scheme val="minor"/>
    </font>
    <font>
      <sz val="11"/>
      <color rgb="FF0000FF"/>
      <name val="Calibri"/>
      <family val="2"/>
      <scheme val="minor"/>
    </font>
    <font>
      <b/>
      <u/>
      <sz val="14"/>
      <color theme="1"/>
      <name val="Calibri"/>
      <family val="2"/>
      <scheme val="minor"/>
    </font>
    <font>
      <sz val="11"/>
      <color theme="1"/>
      <name val="Georgia"/>
      <family val="1"/>
    </font>
    <font>
      <sz val="11"/>
      <color theme="1"/>
      <name val="Calibri"/>
      <family val="2"/>
    </font>
    <font>
      <b/>
      <vertAlign val="subscript"/>
      <sz val="11"/>
      <color theme="1"/>
      <name val="Calibri"/>
      <family val="2"/>
      <scheme val="minor"/>
    </font>
    <font>
      <sz val="11"/>
      <color rgb="FFFF0000"/>
      <name val="Calibri"/>
      <family val="2"/>
      <scheme val="minor"/>
    </font>
    <font>
      <i/>
      <sz val="11"/>
      <color theme="1"/>
      <name val="Calibri"/>
      <family val="2"/>
      <scheme val="minor"/>
    </font>
    <font>
      <b/>
      <i/>
      <sz val="11"/>
      <color theme="1"/>
      <name val="Calibri"/>
      <family val="2"/>
      <scheme val="minor"/>
    </font>
    <font>
      <b/>
      <sz val="14"/>
      <color rgb="FFFF0000"/>
      <name val="Calibri"/>
      <family val="2"/>
      <scheme val="minor"/>
    </font>
    <font>
      <b/>
      <sz val="11"/>
      <color rgb="FFFF0000"/>
      <name val="Calibri"/>
      <family val="2"/>
      <scheme val="minor"/>
    </font>
    <font>
      <sz val="11"/>
      <color rgb="FFFF0000"/>
      <name val="Georgia"/>
      <family val="1"/>
    </font>
    <font>
      <sz val="11"/>
      <color rgb="FFFF0000"/>
      <name val="Calibri"/>
      <family val="2"/>
    </font>
    <font>
      <b/>
      <sz val="11"/>
      <name val="Calibri"/>
      <family val="2"/>
      <scheme val="minor"/>
    </font>
    <font>
      <b/>
      <sz val="11"/>
      <color theme="1"/>
      <name val="Calibri"/>
      <family val="2"/>
    </font>
    <font>
      <b/>
      <sz val="11"/>
      <color theme="0"/>
      <name val="Calibri"/>
      <family val="2"/>
      <scheme val="minor"/>
    </font>
    <font>
      <sz val="11"/>
      <name val="Calibri"/>
      <family val="2"/>
      <scheme val="minor"/>
    </font>
    <font>
      <sz val="11"/>
      <color theme="1"/>
      <name val="Times New Roman"/>
      <family val="1"/>
    </font>
    <font>
      <vertAlign val="superscript"/>
      <sz val="11"/>
      <color theme="1"/>
      <name val="Times New Roman"/>
      <family val="1"/>
    </font>
    <font>
      <b/>
      <sz val="11"/>
      <color theme="1"/>
      <name val="Times New Roman"/>
      <family val="1"/>
    </font>
    <font>
      <b/>
      <sz val="12"/>
      <color theme="1"/>
      <name val="Times New Roman"/>
      <family val="1"/>
    </font>
    <font>
      <b/>
      <sz val="16"/>
      <color theme="1"/>
      <name val="Times New Roman"/>
      <family val="1"/>
    </font>
    <font>
      <b/>
      <sz val="11"/>
      <color rgb="FF0000FF"/>
      <name val="Times New Roman"/>
      <family val="1"/>
    </font>
    <font>
      <i/>
      <sz val="11"/>
      <color theme="1"/>
      <name val="Cambria"/>
      <family val="1"/>
      <scheme val="major"/>
    </font>
    <font>
      <b/>
      <i/>
      <sz val="11"/>
      <color theme="1"/>
      <name val="Times New Roman"/>
      <family val="1"/>
    </font>
    <font>
      <b/>
      <i/>
      <vertAlign val="subscript"/>
      <sz val="11"/>
      <color theme="1"/>
      <name val="Times New Roman"/>
      <family val="1"/>
    </font>
    <font>
      <b/>
      <u/>
      <sz val="11"/>
      <color theme="1"/>
      <name val="Calibri"/>
      <family val="2"/>
      <scheme val="minor"/>
    </font>
    <font>
      <sz val="9"/>
      <color rgb="FF000000"/>
      <name val="Arial"/>
      <family val="2"/>
    </font>
    <font>
      <sz val="9"/>
      <color indexed="81"/>
      <name val="Tahoma"/>
      <family val="2"/>
    </font>
    <font>
      <b/>
      <sz val="9"/>
      <color indexed="81"/>
      <name val="Tahoma"/>
      <family val="2"/>
    </font>
    <font>
      <b/>
      <sz val="16"/>
      <color theme="1"/>
      <name val="Calibri"/>
      <family val="2"/>
      <scheme val="minor"/>
    </font>
    <font>
      <sz val="11"/>
      <color theme="0"/>
      <name val="Calibri"/>
      <family val="2"/>
      <scheme val="minor"/>
    </font>
    <font>
      <b/>
      <sz val="14"/>
      <color theme="1"/>
      <name val="Calibri"/>
      <family val="2"/>
      <scheme val="minor"/>
    </font>
    <font>
      <sz val="11"/>
      <color rgb="FF9C0006"/>
      <name val="Calibri"/>
      <family val="2"/>
      <scheme val="minor"/>
    </font>
    <font>
      <sz val="11"/>
      <color rgb="FF9C6500"/>
      <name val="Calibri"/>
      <family val="2"/>
      <scheme val="minor"/>
    </font>
    <font>
      <vertAlign val="superscript"/>
      <sz val="11"/>
      <name val="Calibri"/>
      <family val="2"/>
      <scheme val="minor"/>
    </font>
    <font>
      <b/>
      <u/>
      <sz val="11"/>
      <color rgb="FFFF0000"/>
      <name val="Calibri"/>
      <family val="2"/>
      <scheme val="minor"/>
    </font>
    <font>
      <u/>
      <sz val="11"/>
      <color theme="1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66CCFF"/>
        <bgColor indexed="64"/>
      </patternFill>
    </fill>
    <fill>
      <patternFill patternType="solid">
        <fgColor rgb="FFFFCCFF"/>
        <bgColor indexed="64"/>
      </patternFill>
    </fill>
    <fill>
      <patternFill patternType="solid">
        <fgColor rgb="FFCCFFCC"/>
        <bgColor indexed="64"/>
      </patternFill>
    </fill>
    <fill>
      <patternFill patternType="solid">
        <fgColor rgb="FFFF0000"/>
        <bgColor indexed="64"/>
      </patternFill>
    </fill>
    <fill>
      <patternFill patternType="solid">
        <fgColor rgb="FF0000FF"/>
        <bgColor indexed="64"/>
      </patternFill>
    </fill>
    <fill>
      <patternFill patternType="solid">
        <fgColor rgb="FFFFFF00"/>
        <bgColor indexed="64"/>
      </patternFill>
    </fill>
    <fill>
      <patternFill patternType="solid">
        <fgColor theme="1" tint="0.499984740745262"/>
        <bgColor indexed="64"/>
      </patternFill>
    </fill>
    <fill>
      <patternFill patternType="solid">
        <fgColor rgb="FFFFC7CE"/>
      </patternFill>
    </fill>
    <fill>
      <patternFill patternType="solid">
        <fgColor rgb="FFFFEB9C"/>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4">
    <xf numFmtId="0" fontId="0" fillId="0" borderId="0"/>
    <xf numFmtId="0" fontId="35" fillId="13" borderId="0" applyNumberFormat="0" applyBorder="0" applyAlignment="0" applyProtection="0"/>
    <xf numFmtId="0" fontId="36" fillId="14" borderId="0" applyNumberFormat="0" applyBorder="0" applyAlignment="0" applyProtection="0"/>
    <xf numFmtId="0" fontId="39" fillId="0" borderId="0" applyNumberFormat="0" applyFill="0" applyBorder="0" applyAlignment="0" applyProtection="0"/>
  </cellStyleXfs>
  <cellXfs count="404">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3" borderId="1" xfId="0" applyFill="1" applyBorder="1" applyAlignment="1">
      <alignment horizontal="right" vertical="center"/>
    </xf>
    <xf numFmtId="0" fontId="0" fillId="0" borderId="1" xfId="0" applyBorder="1" applyAlignment="1">
      <alignment vertical="center"/>
    </xf>
    <xf numFmtId="0" fontId="0" fillId="0" borderId="1" xfId="0" applyFill="1" applyBorder="1" applyAlignment="1">
      <alignment horizontal="center" vertical="center"/>
    </xf>
    <xf numFmtId="0" fontId="0" fillId="2" borderId="1" xfId="0" applyFill="1" applyBorder="1" applyAlignment="1">
      <alignment vertical="center"/>
    </xf>
    <xf numFmtId="0" fontId="3" fillId="2" borderId="1" xfId="0" applyFont="1" applyFill="1" applyBorder="1" applyAlignment="1">
      <alignment vertical="center"/>
    </xf>
    <xf numFmtId="0" fontId="3" fillId="0" borderId="1" xfId="0" applyFont="1" applyFill="1" applyBorder="1" applyAlignment="1">
      <alignment horizontal="center" vertical="center"/>
    </xf>
    <xf numFmtId="0" fontId="2" fillId="0" borderId="1" xfId="0" applyFont="1" applyBorder="1" applyAlignment="1">
      <alignment vertical="center"/>
    </xf>
    <xf numFmtId="0" fontId="0" fillId="3" borderId="1" xfId="0" applyFill="1" applyBorder="1" applyAlignment="1">
      <alignment vertical="center"/>
    </xf>
    <xf numFmtId="0" fontId="0" fillId="3" borderId="1" xfId="0" applyFill="1" applyBorder="1" applyAlignment="1">
      <alignment horizontal="center" vertical="center"/>
    </xf>
    <xf numFmtId="0" fontId="0" fillId="0" borderId="0" xfId="0" applyAlignment="1">
      <alignment vertical="center"/>
    </xf>
    <xf numFmtId="0" fontId="0" fillId="4" borderId="1" xfId="0" applyFill="1" applyBorder="1" applyAlignment="1">
      <alignment horizontal="right" vertical="center"/>
    </xf>
    <xf numFmtId="0" fontId="0" fillId="4" borderId="1" xfId="0" applyFill="1" applyBorder="1" applyAlignment="1">
      <alignment horizontal="center" vertical="center"/>
    </xf>
    <xf numFmtId="0" fontId="2" fillId="4" borderId="1" xfId="0" applyFont="1" applyFill="1" applyBorder="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3" borderId="1" xfId="0" applyFont="1" applyFill="1" applyBorder="1" applyAlignment="1">
      <alignment horizontal="center" vertical="center"/>
    </xf>
    <xf numFmtId="0" fontId="0" fillId="0" borderId="0" xfId="0" applyAlignment="1">
      <alignment horizontal="right"/>
    </xf>
    <xf numFmtId="0" fontId="0" fillId="0" borderId="0" xfId="0" applyAlignment="1">
      <alignment horizontal="center"/>
    </xf>
    <xf numFmtId="0" fontId="0" fillId="0" borderId="0" xfId="0" applyAlignment="1">
      <alignment horizontal="left"/>
    </xf>
    <xf numFmtId="0" fontId="1" fillId="0" borderId="0" xfId="0" applyFont="1" applyAlignment="1">
      <alignment horizontal="left" vertical="center"/>
    </xf>
    <xf numFmtId="0" fontId="1" fillId="0" borderId="0" xfId="0" applyFont="1" applyAlignment="1">
      <alignment horizontal="left"/>
    </xf>
    <xf numFmtId="0" fontId="0" fillId="0" borderId="0" xfId="0" applyAlignment="1">
      <alignment vertical="center"/>
    </xf>
    <xf numFmtId="0" fontId="1" fillId="0" borderId="0" xfId="0" applyFont="1"/>
    <xf numFmtId="22" fontId="1" fillId="0" borderId="0" xfId="0" applyNumberFormat="1" applyFont="1"/>
    <xf numFmtId="0" fontId="9" fillId="0" borderId="0" xfId="0" applyFont="1" applyAlignment="1">
      <alignment horizontal="right"/>
    </xf>
    <xf numFmtId="0" fontId="10" fillId="0" borderId="0" xfId="0" applyFont="1" applyAlignment="1">
      <alignment horizontal="right"/>
    </xf>
    <xf numFmtId="0" fontId="1" fillId="0" borderId="0" xfId="0" applyFont="1" applyAlignment="1">
      <alignment horizontal="right"/>
    </xf>
    <xf numFmtId="0" fontId="1" fillId="4" borderId="10" xfId="0" applyFont="1" applyFill="1" applyBorder="1" applyAlignment="1">
      <alignment vertical="center" wrapText="1"/>
    </xf>
    <xf numFmtId="0" fontId="1" fillId="3" borderId="10" xfId="0" applyFont="1" applyFill="1" applyBorder="1" applyAlignment="1">
      <alignment vertical="center" wrapText="1"/>
    </xf>
    <xf numFmtId="0" fontId="2" fillId="3" borderId="10" xfId="0" applyFont="1" applyFill="1" applyBorder="1" applyAlignment="1">
      <alignment vertical="center" wrapText="1"/>
    </xf>
    <xf numFmtId="0" fontId="11" fillId="0" borderId="0" xfId="0" applyFont="1"/>
    <xf numFmtId="164" fontId="11" fillId="0" borderId="0" xfId="0" applyNumberFormat="1" applyFont="1"/>
    <xf numFmtId="0" fontId="12" fillId="3" borderId="10" xfId="0" applyFont="1" applyFill="1" applyBorder="1" applyAlignment="1">
      <alignment vertical="center" wrapText="1"/>
    </xf>
    <xf numFmtId="0" fontId="8" fillId="3" borderId="1" xfId="0" applyFont="1" applyFill="1" applyBorder="1" applyAlignment="1">
      <alignment horizontal="right" vertical="center"/>
    </xf>
    <xf numFmtId="0" fontId="8" fillId="3" borderId="1" xfId="0" applyFont="1" applyFill="1" applyBorder="1" applyAlignment="1">
      <alignment horizontal="center" vertical="center"/>
    </xf>
    <xf numFmtId="0" fontId="1" fillId="5" borderId="10" xfId="0" applyFont="1" applyFill="1" applyBorder="1" applyAlignment="1">
      <alignment vertical="center" wrapText="1"/>
    </xf>
    <xf numFmtId="0" fontId="0" fillId="5" borderId="1" xfId="0" applyFill="1" applyBorder="1" applyAlignment="1">
      <alignment horizontal="right" vertical="center"/>
    </xf>
    <xf numFmtId="0" fontId="0" fillId="5" borderId="1" xfId="0" applyFill="1" applyBorder="1" applyAlignment="1">
      <alignment horizontal="center" vertical="center"/>
    </xf>
    <xf numFmtId="0" fontId="15" fillId="5" borderId="10" xfId="0" applyFont="1" applyFill="1" applyBorder="1" applyAlignment="1">
      <alignment vertical="center" wrapText="1"/>
    </xf>
    <xf numFmtId="0" fontId="15" fillId="5" borderId="1" xfId="0" applyFont="1" applyFill="1" applyBorder="1" applyAlignment="1">
      <alignment horizontal="right" vertical="center"/>
    </xf>
    <xf numFmtId="0" fontId="15"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0" xfId="0" applyAlignment="1"/>
    <xf numFmtId="0" fontId="0" fillId="0" borderId="1" xfId="0" applyBorder="1" applyAlignment="1">
      <alignment vertical="center" wrapText="1"/>
    </xf>
    <xf numFmtId="0" fontId="0" fillId="0" borderId="0" xfId="0"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wrapText="1"/>
    </xf>
    <xf numFmtId="0" fontId="0" fillId="0" borderId="18" xfId="0" applyNumberFormat="1" applyBorder="1" applyAlignment="1">
      <alignment horizontal="center" vertical="center"/>
    </xf>
    <xf numFmtId="0" fontId="0" fillId="0" borderId="14" xfId="0" applyBorder="1" applyAlignment="1">
      <alignment horizontal="center" vertical="center" wrapText="1"/>
    </xf>
    <xf numFmtId="0" fontId="0" fillId="0" borderId="18" xfId="0" applyBorder="1" applyAlignment="1">
      <alignment vertical="center"/>
    </xf>
    <xf numFmtId="0" fontId="1" fillId="0" borderId="0" xfId="0" applyFont="1" applyAlignment="1">
      <alignment horizontal="center"/>
    </xf>
    <xf numFmtId="22" fontId="0" fillId="0" borderId="11" xfId="0" applyNumberFormat="1" applyBorder="1" applyAlignment="1">
      <alignment horizontal="center" vertical="center" wrapText="1"/>
    </xf>
    <xf numFmtId="0" fontId="0" fillId="0" borderId="16" xfId="0"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0" fillId="0" borderId="0" xfId="0" applyAlignment="1">
      <alignment horizontal="left" wrapText="1"/>
    </xf>
    <xf numFmtId="0" fontId="1" fillId="0" borderId="1" xfId="0" applyFont="1" applyBorder="1" applyAlignment="1">
      <alignment horizontal="center" textRotation="90"/>
    </xf>
    <xf numFmtId="0" fontId="1" fillId="0" borderId="1" xfId="0" applyFont="1" applyBorder="1" applyAlignment="1">
      <alignment horizontal="left"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wrapText="1"/>
    </xf>
    <xf numFmtId="0" fontId="0" fillId="6" borderId="1" xfId="0" applyFill="1" applyBorder="1" applyAlignment="1">
      <alignment horizontal="left" wrapText="1"/>
    </xf>
    <xf numFmtId="0" fontId="0" fillId="6" borderId="1" xfId="0" applyFont="1" applyFill="1" applyBorder="1" applyAlignment="1">
      <alignment horizontal="left" wrapText="1"/>
    </xf>
    <xf numFmtId="0" fontId="0" fillId="6" borderId="0" xfId="0" applyFill="1" applyAlignment="1">
      <alignment horizontal="left" wrapText="1"/>
    </xf>
    <xf numFmtId="0" fontId="0" fillId="7" borderId="1" xfId="0" applyFill="1" applyBorder="1" applyAlignment="1">
      <alignment horizontal="left" wrapText="1"/>
    </xf>
    <xf numFmtId="0" fontId="0" fillId="8" borderId="1" xfId="0" applyFill="1" applyBorder="1" applyAlignment="1">
      <alignment horizontal="left" wrapText="1"/>
    </xf>
    <xf numFmtId="0" fontId="17" fillId="9" borderId="1" xfId="0" applyFont="1" applyFill="1" applyBorder="1" applyAlignment="1">
      <alignment horizontal="left" wrapText="1"/>
    </xf>
    <xf numFmtId="0" fontId="17" fillId="10" borderId="1" xfId="0" applyFont="1" applyFill="1" applyBorder="1" applyAlignment="1">
      <alignment horizontal="left" wrapText="1"/>
    </xf>
    <xf numFmtId="0" fontId="1" fillId="7" borderId="1" xfId="0" applyFont="1" applyFill="1" applyBorder="1" applyAlignment="1">
      <alignment horizontal="left" wrapText="1"/>
    </xf>
    <xf numFmtId="0" fontId="1" fillId="6" borderId="1" xfId="0" applyFont="1" applyFill="1" applyBorder="1" applyAlignment="1">
      <alignment horizontal="left" wrapText="1"/>
    </xf>
    <xf numFmtId="0" fontId="1" fillId="0" borderId="1" xfId="0" applyFont="1" applyFill="1" applyBorder="1" applyAlignment="1">
      <alignment horizontal="lef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4" borderId="1" xfId="0" applyFill="1" applyBorder="1" applyAlignment="1">
      <alignment horizontal="lef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165" fontId="0" fillId="0" borderId="1" xfId="0" applyNumberFormat="1" applyBorder="1" applyAlignment="1">
      <alignment horizontal="center" vertical="center" wrapText="1"/>
    </xf>
    <xf numFmtId="0" fontId="9" fillId="0" borderId="1" xfId="0" applyFont="1" applyBorder="1" applyAlignment="1">
      <alignment horizontal="center" vertical="center" wrapText="1"/>
    </xf>
    <xf numFmtId="165" fontId="0" fillId="0" borderId="0" xfId="0" applyNumberFormat="1"/>
    <xf numFmtId="11" fontId="0" fillId="0" borderId="0" xfId="0" applyNumberFormat="1"/>
    <xf numFmtId="0" fontId="0" fillId="0" borderId="0" xfId="0" applyNumberFormat="1"/>
    <xf numFmtId="0" fontId="0" fillId="0" borderId="1" xfId="0" applyNumberFormat="1" applyBorder="1" applyAlignment="1">
      <alignment horizontal="center" vertical="center" wrapText="1"/>
    </xf>
    <xf numFmtId="0" fontId="0" fillId="0" borderId="1" xfId="0" applyBorder="1" applyAlignment="1">
      <alignment horizontal="center" wrapText="1"/>
    </xf>
    <xf numFmtId="0" fontId="18" fillId="0" borderId="1" xfId="0" applyFont="1" applyBorder="1" applyAlignment="1">
      <alignment horizontal="center"/>
    </xf>
    <xf numFmtId="0" fontId="2" fillId="0" borderId="1" xfId="0" applyFont="1" applyBorder="1" applyAlignment="1">
      <alignment horizontal="center"/>
    </xf>
    <xf numFmtId="0" fontId="19" fillId="0" borderId="0" xfId="0" applyFont="1"/>
    <xf numFmtId="0" fontId="19" fillId="0" borderId="0" xfId="0" applyFont="1" applyAlignment="1">
      <alignment horizontal="center"/>
    </xf>
    <xf numFmtId="0" fontId="0" fillId="4" borderId="0" xfId="0" applyFill="1"/>
    <xf numFmtId="0" fontId="19" fillId="4" borderId="0" xfId="0" applyFont="1" applyFill="1" applyAlignment="1">
      <alignment horizontal="center" vertical="center"/>
    </xf>
    <xf numFmtId="0" fontId="19" fillId="4" borderId="0" xfId="0" applyFont="1" applyFill="1" applyAlignment="1">
      <alignment vertical="center"/>
    </xf>
    <xf numFmtId="0" fontId="19" fillId="4" borderId="0" xfId="0" applyFont="1" applyFill="1"/>
    <xf numFmtId="0" fontId="19" fillId="4" borderId="0" xfId="0" applyFont="1" applyFill="1" applyAlignment="1">
      <alignment horizontal="center"/>
    </xf>
    <xf numFmtId="0" fontId="19" fillId="4" borderId="22" xfId="0" applyFont="1" applyFill="1" applyBorder="1"/>
    <xf numFmtId="0" fontId="19" fillId="4" borderId="23" xfId="0" applyFont="1" applyFill="1" applyBorder="1" applyAlignment="1">
      <alignment horizontal="center" vertical="center"/>
    </xf>
    <xf numFmtId="0" fontId="21"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2" xfId="0" applyFont="1" applyFill="1" applyBorder="1" applyAlignment="1">
      <alignment horizontal="center"/>
    </xf>
    <xf numFmtId="0" fontId="0" fillId="4" borderId="0" xfId="0" applyFill="1" applyBorder="1"/>
    <xf numFmtId="0" fontId="19" fillId="4" borderId="0" xfId="0" applyFont="1" applyFill="1" applyBorder="1"/>
    <xf numFmtId="0" fontId="19" fillId="4" borderId="0" xfId="0" applyFont="1" applyFill="1" applyBorder="1" applyAlignment="1">
      <alignment horizontal="center"/>
    </xf>
    <xf numFmtId="0" fontId="19" fillId="4" borderId="22" xfId="0" applyFont="1" applyFill="1" applyBorder="1" applyAlignment="1">
      <alignment horizontal="center" vertical="center"/>
    </xf>
    <xf numFmtId="0" fontId="24" fillId="4" borderId="0" xfId="0" applyFont="1" applyFill="1" applyAlignment="1">
      <alignment horizontal="center" vertical="center"/>
    </xf>
    <xf numFmtId="0" fontId="21" fillId="4" borderId="22" xfId="0" applyFont="1" applyFill="1" applyBorder="1" applyAlignment="1">
      <alignment horizontal="center"/>
    </xf>
    <xf numFmtId="0" fontId="21" fillId="4" borderId="0" xfId="0" applyFont="1" applyFill="1" applyBorder="1" applyAlignment="1">
      <alignment horizontal="center"/>
    </xf>
    <xf numFmtId="0" fontId="24" fillId="4" borderId="0" xfId="0" applyFont="1" applyFill="1" applyBorder="1" applyAlignment="1">
      <alignment horizontal="center" vertical="center"/>
    </xf>
    <xf numFmtId="0" fontId="19" fillId="4" borderId="0" xfId="0" applyNumberFormat="1" applyFont="1" applyFill="1" applyBorder="1" applyAlignment="1">
      <alignment horizontal="center"/>
    </xf>
    <xf numFmtId="0" fontId="21" fillId="4" borderId="0" xfId="0" applyFont="1" applyFill="1" applyBorder="1" applyAlignment="1"/>
    <xf numFmtId="0" fontId="21" fillId="4" borderId="5" xfId="0" applyFont="1" applyFill="1" applyBorder="1" applyAlignment="1">
      <alignment horizontal="center"/>
    </xf>
    <xf numFmtId="0" fontId="21" fillId="4" borderId="4" xfId="0" applyFont="1" applyFill="1" applyBorder="1" applyAlignment="1"/>
    <xf numFmtId="0" fontId="21" fillId="4" borderId="4" xfId="0" applyFont="1" applyFill="1" applyBorder="1" applyAlignment="1">
      <alignment horizontal="center" vertical="center"/>
    </xf>
    <xf numFmtId="0" fontId="19" fillId="4" borderId="5" xfId="0" applyFont="1" applyFill="1" applyBorder="1"/>
    <xf numFmtId="0" fontId="19" fillId="4" borderId="4" xfId="0" applyFont="1" applyFill="1" applyBorder="1" applyAlignment="1">
      <alignment vertical="center"/>
    </xf>
    <xf numFmtId="0" fontId="24" fillId="4" borderId="4" xfId="0" applyFont="1" applyFill="1" applyBorder="1" applyAlignment="1">
      <alignment horizontal="center" vertical="center"/>
    </xf>
    <xf numFmtId="0" fontId="19" fillId="4" borderId="5" xfId="0" applyFont="1" applyFill="1" applyBorder="1" applyAlignment="1">
      <alignment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2" fontId="19" fillId="4" borderId="4" xfId="0" applyNumberFormat="1" applyFont="1" applyFill="1" applyBorder="1" applyAlignment="1">
      <alignment horizontal="center" vertical="center"/>
    </xf>
    <xf numFmtId="167" fontId="19" fillId="4" borderId="4" xfId="0" applyNumberFormat="1" applyFont="1" applyFill="1" applyBorder="1" applyAlignment="1">
      <alignment horizontal="center" vertical="center"/>
    </xf>
    <xf numFmtId="166" fontId="19" fillId="4" borderId="4" xfId="0" applyNumberFormat="1" applyFont="1" applyFill="1" applyBorder="1" applyAlignment="1">
      <alignment horizontal="center" vertical="center"/>
    </xf>
    <xf numFmtId="166" fontId="19" fillId="4" borderId="4" xfId="0" applyNumberFormat="1" applyFont="1" applyFill="1" applyBorder="1" applyAlignment="1">
      <alignment horizontal="center"/>
    </xf>
    <xf numFmtId="0" fontId="19" fillId="4" borderId="5" xfId="0" applyFont="1" applyFill="1" applyBorder="1" applyAlignment="1">
      <alignment horizontal="center"/>
    </xf>
    <xf numFmtId="167" fontId="24" fillId="4" borderId="4" xfId="0" applyNumberFormat="1" applyFont="1" applyFill="1" applyBorder="1" applyAlignment="1">
      <alignment horizontal="center" vertical="center"/>
    </xf>
    <xf numFmtId="0" fontId="19" fillId="4" borderId="5" xfId="0" applyFont="1" applyFill="1" applyBorder="1" applyAlignment="1">
      <alignment horizontal="center" vertical="center"/>
    </xf>
    <xf numFmtId="168" fontId="19" fillId="4" borderId="4" xfId="0" applyNumberFormat="1" applyFont="1" applyFill="1" applyBorder="1" applyAlignment="1">
      <alignment horizontal="center" vertical="center"/>
    </xf>
    <xf numFmtId="167" fontId="21" fillId="4" borderId="4" xfId="0" applyNumberFormat="1" applyFont="1" applyFill="1" applyBorder="1" applyAlignment="1">
      <alignment horizontal="center"/>
    </xf>
    <xf numFmtId="0" fontId="19" fillId="0" borderId="0" xfId="0" applyFont="1" applyBorder="1"/>
    <xf numFmtId="167" fontId="19" fillId="4" borderId="3" xfId="0" applyNumberFormat="1" applyFont="1" applyFill="1" applyBorder="1" applyAlignment="1">
      <alignment horizontal="center" vertical="center"/>
    </xf>
    <xf numFmtId="0" fontId="25" fillId="4" borderId="8" xfId="0" applyFont="1" applyFill="1" applyBorder="1" applyAlignment="1">
      <alignment horizontal="center" vertical="center"/>
    </xf>
    <xf numFmtId="0" fontId="25" fillId="4" borderId="12" xfId="0" applyFont="1" applyFill="1" applyBorder="1" applyAlignment="1">
      <alignment horizontal="center" vertical="center"/>
    </xf>
    <xf numFmtId="0" fontId="19" fillId="4" borderId="12"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2" xfId="0" applyFont="1" applyFill="1" applyBorder="1" applyAlignment="1">
      <alignment horizontal="center" vertical="center"/>
    </xf>
    <xf numFmtId="0" fontId="22" fillId="4" borderId="7" xfId="0" applyFont="1" applyFill="1" applyBorder="1" applyAlignment="1">
      <alignment horizontal="center"/>
    </xf>
    <xf numFmtId="0" fontId="22" fillId="4" borderId="5" xfId="0" applyFont="1" applyFill="1" applyBorder="1" applyAlignment="1">
      <alignment horizontal="center"/>
    </xf>
    <xf numFmtId="0" fontId="22" fillId="4" borderId="22" xfId="0" applyFont="1" applyFill="1" applyBorder="1" applyAlignment="1">
      <alignment horizontal="center"/>
    </xf>
    <xf numFmtId="16" fontId="0" fillId="0" borderId="0" xfId="0" applyNumberFormat="1"/>
    <xf numFmtId="0" fontId="4" fillId="0" borderId="1" xfId="0" applyFont="1" applyBorder="1" applyAlignment="1">
      <alignment horizontal="center" vertical="center"/>
    </xf>
    <xf numFmtId="0" fontId="0" fillId="11" borderId="1" xfId="0" applyFill="1" applyBorder="1" applyAlignment="1">
      <alignment vertical="center"/>
    </xf>
    <xf numFmtId="0" fontId="0" fillId="11" borderId="1" xfId="0" applyFill="1" applyBorder="1" applyAlignment="1">
      <alignment horizontal="center" vertical="center"/>
    </xf>
    <xf numFmtId="0" fontId="1" fillId="11" borderId="1" xfId="0" applyFont="1" applyFill="1" applyBorder="1" applyAlignment="1">
      <alignment horizontal="center" vertical="center"/>
    </xf>
    <xf numFmtId="0" fontId="3" fillId="11" borderId="1" xfId="0" applyFont="1" applyFill="1" applyBorder="1" applyAlignment="1">
      <alignment vertical="center"/>
    </xf>
    <xf numFmtId="0" fontId="3" fillId="11" borderId="1" xfId="0" applyFont="1" applyFill="1" applyBorder="1" applyAlignment="1">
      <alignment horizontal="center" vertical="center"/>
    </xf>
    <xf numFmtId="0" fontId="2" fillId="11" borderId="1" xfId="0" applyFont="1" applyFill="1" applyBorder="1" applyAlignment="1">
      <alignment vertical="center"/>
    </xf>
    <xf numFmtId="0" fontId="2" fillId="11" borderId="1" xfId="0" applyFont="1" applyFill="1" applyBorder="1" applyAlignment="1">
      <alignment horizontal="center" vertical="center"/>
    </xf>
    <xf numFmtId="0" fontId="0" fillId="11" borderId="1" xfId="0" applyFill="1" applyBorder="1" applyAlignment="1">
      <alignment horizontal="right" vertical="center"/>
    </xf>
    <xf numFmtId="0" fontId="2" fillId="11" borderId="1" xfId="0" applyFont="1" applyFill="1" applyBorder="1" applyAlignment="1">
      <alignment horizontal="right" vertical="center"/>
    </xf>
    <xf numFmtId="0" fontId="0" fillId="11" borderId="0" xfId="0" applyFill="1" applyAlignment="1">
      <alignment vertical="center"/>
    </xf>
    <xf numFmtId="0" fontId="0" fillId="11" borderId="0" xfId="0" applyFill="1" applyAlignment="1">
      <alignment horizontal="center" vertical="center"/>
    </xf>
    <xf numFmtId="0" fontId="0" fillId="0" borderId="0" xfId="0" applyAlignment="1">
      <alignment vertical="center"/>
    </xf>
    <xf numFmtId="0" fontId="0" fillId="0" borderId="0" xfId="0" applyAlignment="1">
      <alignment horizontal="center"/>
    </xf>
    <xf numFmtId="0" fontId="28" fillId="0" borderId="0" xfId="0" applyFont="1"/>
    <xf numFmtId="0" fontId="9" fillId="0" borderId="0" xfId="0" applyFont="1" applyAlignment="1">
      <alignment horizontal="center"/>
    </xf>
    <xf numFmtId="0" fontId="29" fillId="0" borderId="0" xfId="0" applyFont="1" applyAlignment="1">
      <alignment vertical="center" wrapText="1"/>
    </xf>
    <xf numFmtId="0" fontId="1" fillId="0" borderId="0" xfId="0" applyFont="1" applyAlignment="1">
      <alignment wrapText="1"/>
    </xf>
    <xf numFmtId="0" fontId="3" fillId="0" borderId="0" xfId="0" applyFont="1"/>
    <xf numFmtId="164" fontId="3" fillId="0" borderId="0" xfId="0" applyNumberFormat="1" applyFont="1"/>
    <xf numFmtId="0" fontId="0" fillId="0" borderId="1" xfId="0" applyFill="1" applyBorder="1" applyAlignment="1">
      <alignment horizontal="center"/>
    </xf>
    <xf numFmtId="0" fontId="0" fillId="0" borderId="25"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12" borderId="1" xfId="0" applyFill="1" applyBorder="1"/>
    <xf numFmtId="0" fontId="0" fillId="9" borderId="1" xfId="0" applyFill="1" applyBorder="1" applyAlignment="1">
      <alignment horizontal="center"/>
    </xf>
    <xf numFmtId="22" fontId="0" fillId="0" borderId="1" xfId="0" applyNumberFormat="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0" fontId="1" fillId="0" borderId="34" xfId="0" applyFont="1" applyBorder="1" applyAlignment="1">
      <alignment horizontal="center" wrapText="1"/>
    </xf>
    <xf numFmtId="0" fontId="0" fillId="0" borderId="27" xfId="0" applyBorder="1" applyAlignment="1">
      <alignment vertical="center"/>
    </xf>
    <xf numFmtId="0" fontId="0" fillId="5" borderId="17" xfId="0" applyFill="1" applyBorder="1" applyAlignment="1">
      <alignment horizontal="center" vertical="center" wrapText="1"/>
    </xf>
    <xf numFmtId="0" fontId="0" fillId="5" borderId="18" xfId="0" applyFill="1" applyBorder="1" applyAlignment="1">
      <alignment horizontal="center" vertical="center"/>
    </xf>
    <xf numFmtId="0" fontId="18" fillId="12" borderId="1" xfId="0" applyFont="1" applyFill="1" applyBorder="1"/>
    <xf numFmtId="0" fontId="15" fillId="0" borderId="0" xfId="0" quotePrefix="1" applyFont="1" applyAlignment="1">
      <alignment horizontal="left"/>
    </xf>
    <xf numFmtId="0" fontId="18" fillId="0" borderId="0" xfId="0" applyFont="1" applyAlignment="1">
      <alignment horizontal="center"/>
    </xf>
    <xf numFmtId="0" fontId="15" fillId="0" borderId="1" xfId="0" applyFont="1" applyBorder="1" applyAlignment="1">
      <alignment horizontal="center"/>
    </xf>
    <xf numFmtId="0" fontId="18" fillId="0" borderId="0" xfId="0" quotePrefix="1" applyFont="1" applyAlignment="1">
      <alignment horizontal="left"/>
    </xf>
    <xf numFmtId="0" fontId="18" fillId="0" borderId="1" xfId="0" applyFont="1" applyFill="1" applyBorder="1" applyAlignment="1">
      <alignment horizontal="center"/>
    </xf>
    <xf numFmtId="0" fontId="18" fillId="4" borderId="1" xfId="0" applyFont="1" applyFill="1" applyBorder="1" applyAlignment="1">
      <alignment horizontal="center"/>
    </xf>
    <xf numFmtId="0" fontId="18" fillId="4" borderId="0" xfId="0" applyFont="1" applyFill="1" applyAlignment="1">
      <alignment horizontal="center"/>
    </xf>
    <xf numFmtId="22" fontId="32" fillId="0" borderId="0" xfId="0" applyNumberFormat="1" applyFont="1"/>
    <xf numFmtId="0" fontId="32" fillId="0" borderId="0" xfId="0" applyFont="1" applyAlignment="1">
      <alignment horizontal="left"/>
    </xf>
    <xf numFmtId="0" fontId="2" fillId="0" borderId="0" xfId="0" applyFont="1"/>
    <xf numFmtId="0" fontId="0" fillId="0" borderId="2" xfId="0" applyBorder="1" applyAlignment="1">
      <alignment horizontal="center" vertical="center"/>
    </xf>
    <xf numFmtId="0" fontId="0" fillId="5" borderId="1" xfId="0" applyFill="1" applyBorder="1" applyAlignment="1">
      <alignment horizontal="center" vertical="center" wrapText="1"/>
    </xf>
    <xf numFmtId="0" fontId="0" fillId="0" borderId="30" xfId="0" applyBorder="1" applyAlignment="1">
      <alignment horizontal="center"/>
    </xf>
    <xf numFmtId="0" fontId="0" fillId="0" borderId="19" xfId="0" applyBorder="1" applyAlignment="1">
      <alignment horizontal="center"/>
    </xf>
    <xf numFmtId="0" fontId="1" fillId="0" borderId="40" xfId="0" applyFont="1" applyBorder="1" applyAlignment="1">
      <alignment horizontal="center" vertical="center"/>
    </xf>
    <xf numFmtId="22" fontId="0" fillId="0" borderId="7" xfId="0" applyNumberFormat="1" applyBorder="1" applyAlignment="1">
      <alignment horizontal="center" vertical="center" wrapText="1"/>
    </xf>
    <xf numFmtId="0" fontId="0" fillId="0" borderId="5" xfId="0" applyBorder="1" applyAlignment="1">
      <alignment vertical="center" wrapText="1"/>
    </xf>
    <xf numFmtId="0" fontId="0" fillId="5" borderId="5" xfId="0" applyFill="1" applyBorder="1" applyAlignment="1">
      <alignment horizontal="center" vertical="center" wrapText="1"/>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27" xfId="0" applyNumberFormat="1" applyBorder="1" applyAlignment="1">
      <alignment horizontal="center" vertical="center"/>
    </xf>
    <xf numFmtId="0" fontId="0" fillId="0" borderId="27" xfId="0"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0" fontId="1" fillId="0" borderId="41"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1" fillId="0" borderId="45" xfId="0"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43" xfId="0" applyBorder="1" applyAlignment="1">
      <alignment wrapText="1"/>
    </xf>
    <xf numFmtId="0" fontId="0" fillId="11" borderId="1" xfId="0" applyFill="1" applyBorder="1" applyAlignment="1">
      <alignment horizontal="center" vertical="center" wrapText="1"/>
    </xf>
    <xf numFmtId="0" fontId="0" fillId="0" borderId="2" xfId="0" applyBorder="1" applyAlignment="1">
      <alignment horizontal="center" vertical="center" wrapText="1"/>
    </xf>
    <xf numFmtId="0" fontId="18" fillId="11" borderId="1" xfId="0" applyFont="1" applyFill="1" applyBorder="1" applyAlignment="1">
      <alignment horizontal="center"/>
    </xf>
    <xf numFmtId="0" fontId="0" fillId="11" borderId="17" xfId="0" applyFill="1" applyBorder="1" applyAlignment="1">
      <alignment horizontal="center" vertical="center"/>
    </xf>
    <xf numFmtId="0" fontId="0" fillId="0" borderId="15" xfId="0" applyBorder="1" applyAlignment="1">
      <alignment horizontal="center" vertical="center" wrapText="1"/>
    </xf>
    <xf numFmtId="0" fontId="0" fillId="11" borderId="17" xfId="0" applyFill="1" applyBorder="1" applyAlignment="1">
      <alignment horizontal="center" vertical="center" wrapText="1"/>
    </xf>
    <xf numFmtId="0" fontId="0" fillId="5" borderId="11" xfId="0" applyFill="1" applyBorder="1" applyAlignment="1">
      <alignment horizontal="center" vertical="center"/>
    </xf>
    <xf numFmtId="0" fontId="0" fillId="5" borderId="10" xfId="0" applyFill="1" applyBorder="1" applyAlignment="1">
      <alignment horizontal="center" vertical="center"/>
    </xf>
    <xf numFmtId="0" fontId="0" fillId="0" borderId="12" xfId="0" applyBorder="1" applyAlignment="1">
      <alignment horizontal="center" vertical="center"/>
    </xf>
    <xf numFmtId="0" fontId="0" fillId="11" borderId="10" xfId="0" applyFill="1" applyBorder="1" applyAlignment="1">
      <alignment horizontal="center" vertical="center"/>
    </xf>
    <xf numFmtId="0" fontId="0" fillId="5" borderId="7" xfId="0" applyFill="1" applyBorder="1" applyAlignment="1">
      <alignment horizontal="center" vertical="center"/>
    </xf>
    <xf numFmtId="0" fontId="0" fillId="0" borderId="24" xfId="0" applyBorder="1" applyAlignment="1">
      <alignment horizontal="center" vertical="center" wrapText="1"/>
    </xf>
    <xf numFmtId="0" fontId="0" fillId="2" borderId="1" xfId="0" applyFill="1" applyBorder="1" applyAlignment="1">
      <alignment horizontal="center" vertical="center"/>
    </xf>
    <xf numFmtId="0" fontId="0" fillId="0" borderId="1" xfId="0" applyBorder="1"/>
    <xf numFmtId="22"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wrapText="1"/>
    </xf>
    <xf numFmtId="0" fontId="15" fillId="11" borderId="1" xfId="0" applyFont="1" applyFill="1" applyBorder="1" applyAlignment="1">
      <alignment horizont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1"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7" xfId="0" applyFill="1" applyBorder="1" applyAlignment="1">
      <alignment horizontal="center" vertical="center"/>
    </xf>
    <xf numFmtId="0" fontId="0" fillId="5" borderId="11" xfId="0" applyFill="1" applyBorder="1" applyAlignment="1">
      <alignment horizontal="center" vertical="center" wrapText="1"/>
    </xf>
    <xf numFmtId="0" fontId="0" fillId="2" borderId="28" xfId="0" applyFill="1" applyBorder="1" applyAlignment="1">
      <alignment horizontal="center" vertical="center"/>
    </xf>
    <xf numFmtId="0" fontId="0" fillId="2" borderId="5" xfId="0" applyFill="1" applyBorder="1" applyAlignment="1">
      <alignment horizontal="center" vertical="center"/>
    </xf>
    <xf numFmtId="0" fontId="0" fillId="2" borderId="27" xfId="0" applyNumberFormat="1" applyFill="1" applyBorder="1" applyAlignment="1">
      <alignment horizontal="center" vertical="center"/>
    </xf>
    <xf numFmtId="0" fontId="0" fillId="2" borderId="18" xfId="0" applyNumberFormat="1" applyFill="1" applyBorder="1" applyAlignment="1">
      <alignment horizontal="center" vertical="center"/>
    </xf>
    <xf numFmtId="0" fontId="0" fillId="5" borderId="10" xfId="0" applyFill="1"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2" borderId="1" xfId="0" applyFill="1" applyBorder="1" applyAlignment="1">
      <alignment horizontal="center" vertical="center" wrapText="1"/>
    </xf>
    <xf numFmtId="0" fontId="8" fillId="11" borderId="1" xfId="0" applyFont="1" applyFill="1" applyBorder="1" applyAlignment="1">
      <alignment horizontal="center"/>
    </xf>
    <xf numFmtId="0" fontId="0" fillId="9" borderId="1" xfId="0" applyFill="1" applyBorder="1"/>
    <xf numFmtId="0" fontId="8" fillId="11" borderId="1" xfId="0" applyFont="1" applyFill="1" applyBorder="1" applyAlignment="1">
      <alignment horizontal="center" vertical="center" wrapText="1"/>
    </xf>
    <xf numFmtId="0" fontId="0" fillId="5" borderId="49" xfId="0" applyFill="1" applyBorder="1" applyAlignment="1">
      <alignment horizontal="center" vertical="center" wrapText="1"/>
    </xf>
    <xf numFmtId="0" fontId="0" fillId="0" borderId="50" xfId="0" applyBorder="1" applyAlignment="1">
      <alignment horizontal="center" vertical="center" wrapText="1"/>
    </xf>
    <xf numFmtId="0" fontId="0" fillId="11" borderId="18" xfId="0" applyFill="1" applyBorder="1" applyAlignment="1">
      <alignment horizontal="center" vertical="center" wrapText="1"/>
    </xf>
    <xf numFmtId="0" fontId="0" fillId="0" borderId="0" xfId="0" applyAlignment="1">
      <alignment horizontal="center"/>
    </xf>
    <xf numFmtId="0" fontId="12" fillId="0" borderId="17" xfId="0" applyFont="1" applyBorder="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wrapText="1"/>
    </xf>
    <xf numFmtId="0" fontId="1" fillId="0" borderId="1" xfId="0" applyFont="1" applyBorder="1"/>
    <xf numFmtId="0" fontId="0" fillId="0" borderId="1" xfId="0" applyFont="1" applyBorder="1" applyAlignment="1">
      <alignment horizontal="center"/>
    </xf>
    <xf numFmtId="22" fontId="34" fillId="0" borderId="0" xfId="0" applyNumberFormat="1" applyFont="1"/>
    <xf numFmtId="0" fontId="33" fillId="10" borderId="17" xfId="0" applyFont="1" applyFill="1" applyBorder="1" applyAlignment="1">
      <alignment horizontal="center" vertical="center"/>
    </xf>
    <xf numFmtId="0" fontId="12" fillId="11" borderId="17" xfId="0" applyFont="1" applyFill="1" applyBorder="1" applyAlignment="1">
      <alignment horizontal="center" vertical="center" wrapText="1"/>
    </xf>
    <xf numFmtId="0" fontId="1" fillId="0" borderId="3" xfId="0" applyFont="1" applyBorder="1" applyAlignment="1">
      <alignment wrapText="1"/>
    </xf>
    <xf numFmtId="0" fontId="1" fillId="0" borderId="3" xfId="0" applyFont="1" applyBorder="1"/>
    <xf numFmtId="167" fontId="0" fillId="0" borderId="1" xfId="0" applyNumberFormat="1" applyBorder="1" applyAlignment="1">
      <alignment horizontal="center"/>
    </xf>
    <xf numFmtId="2" fontId="0" fillId="0" borderId="1" xfId="0" applyNumberFormat="1" applyBorder="1" applyAlignment="1">
      <alignment horizontal="center"/>
    </xf>
    <xf numFmtId="164" fontId="0" fillId="0" borderId="1" xfId="0" applyNumberFormat="1" applyBorder="1" applyAlignment="1">
      <alignment horizontal="center"/>
    </xf>
    <xf numFmtId="0" fontId="9" fillId="0" borderId="3" xfId="0" applyFont="1" applyBorder="1" applyAlignment="1">
      <alignment horizontal="center"/>
    </xf>
    <xf numFmtId="0" fontId="9" fillId="0" borderId="3" xfId="0" applyFont="1" applyBorder="1" applyAlignment="1">
      <alignment horizontal="center" wrapText="1"/>
    </xf>
    <xf numFmtId="0" fontId="0" fillId="0" borderId="0" xfId="0" applyAlignment="1">
      <alignment horizontal="center" wrapText="1"/>
    </xf>
    <xf numFmtId="0" fontId="0" fillId="0" borderId="0" xfId="0" applyAlignment="1">
      <alignment vertical="center"/>
    </xf>
    <xf numFmtId="0" fontId="8" fillId="0" borderId="1" xfId="0" applyFont="1" applyBorder="1" applyAlignment="1">
      <alignment horizontal="center" vertical="center" wrapText="1"/>
    </xf>
    <xf numFmtId="0" fontId="1" fillId="0" borderId="45" xfId="0" applyFont="1" applyBorder="1" applyAlignment="1">
      <alignment horizontal="center" wrapText="1"/>
    </xf>
    <xf numFmtId="0" fontId="8" fillId="11" borderId="11" xfId="0" applyFont="1" applyFill="1" applyBorder="1" applyAlignment="1">
      <alignment horizontal="center" vertical="center" wrapText="1"/>
    </xf>
    <xf numFmtId="0" fontId="8" fillId="11" borderId="17" xfId="0" applyFont="1" applyFill="1" applyBorder="1" applyAlignment="1">
      <alignment horizontal="center" vertical="center"/>
    </xf>
    <xf numFmtId="0" fontId="12" fillId="11" borderId="11" xfId="0" applyFont="1" applyFill="1" applyBorder="1" applyAlignment="1">
      <alignment horizontal="center" vertical="center" wrapText="1"/>
    </xf>
    <xf numFmtId="0" fontId="15" fillId="0" borderId="20" xfId="0"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7" xfId="0" applyFont="1" applyFill="1" applyBorder="1" applyAlignment="1">
      <alignment horizontal="center" vertical="center"/>
    </xf>
    <xf numFmtId="0" fontId="18" fillId="0" borderId="1" xfId="0" applyFont="1" applyFill="1" applyBorder="1" applyAlignment="1">
      <alignment horizontal="center" vertical="center"/>
    </xf>
    <xf numFmtId="0" fontId="15" fillId="0" borderId="17" xfId="0" applyFont="1" applyFill="1" applyBorder="1" applyAlignment="1">
      <alignment horizontal="center" vertical="center"/>
    </xf>
    <xf numFmtId="0" fontId="18" fillId="0" borderId="0" xfId="0" applyFont="1" applyFill="1" applyAlignment="1">
      <alignment vertical="center"/>
    </xf>
    <xf numFmtId="0" fontId="18" fillId="11" borderId="1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0" fillId="5" borderId="25" xfId="0"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18" xfId="0" applyFont="1" applyFill="1" applyBorder="1" applyAlignment="1">
      <alignment horizontal="center" vertical="center"/>
    </xf>
    <xf numFmtId="0" fontId="18" fillId="5" borderId="17"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7" xfId="0" applyFont="1" applyFill="1" applyBorder="1" applyAlignment="1">
      <alignment horizontal="center" vertical="center"/>
    </xf>
    <xf numFmtId="0" fontId="23" fillId="4" borderId="23" xfId="0" applyFont="1" applyFill="1" applyBorder="1" applyAlignment="1">
      <alignment horizontal="center" vertical="center" textRotation="90"/>
    </xf>
    <xf numFmtId="0" fontId="23" fillId="4" borderId="0"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4" borderId="23" xfId="0" applyFont="1" applyFill="1" applyBorder="1" applyAlignment="1">
      <alignment horizontal="center" vertical="center" textRotation="90" wrapText="1"/>
    </xf>
    <xf numFmtId="0" fontId="23" fillId="4" borderId="0"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0" fillId="11" borderId="0" xfId="0" applyFill="1" applyAlignment="1">
      <alignment vertical="center"/>
    </xf>
    <xf numFmtId="0" fontId="1" fillId="11" borderId="10" xfId="0" applyFont="1" applyFill="1" applyBorder="1" applyAlignment="1">
      <alignment horizontal="center" vertical="center" wrapText="1"/>
    </xf>
    <xf numFmtId="0" fontId="1" fillId="11" borderId="11"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1" xfId="0" applyFont="1" applyFill="1" applyBorder="1" applyAlignment="1">
      <alignment horizontal="center" vertical="center" wrapText="1"/>
    </xf>
    <xf numFmtId="22" fontId="0" fillId="0" borderId="0" xfId="0" applyNumberFormat="1" applyAlignment="1">
      <alignment horizontal="center" vertical="center"/>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xf>
    <xf numFmtId="0" fontId="1" fillId="11" borderId="4" xfId="0" applyFont="1" applyFill="1" applyBorder="1" applyAlignment="1">
      <alignment horizontal="center" vertical="center"/>
    </xf>
    <xf numFmtId="0" fontId="1" fillId="11" borderId="5"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5" xfId="0" applyFont="1" applyFill="1" applyBorder="1" applyAlignment="1">
      <alignment horizontal="center" vertical="center"/>
    </xf>
    <xf numFmtId="0" fontId="1" fillId="0" borderId="1" xfId="0" applyFont="1" applyBorder="1" applyAlignment="1">
      <alignment horizontal="center" vertical="center" wrapText="1"/>
    </xf>
    <xf numFmtId="0" fontId="15" fillId="0" borderId="1" xfId="0" applyFont="1" applyBorder="1" applyAlignment="1">
      <alignment horizontal="center" vertical="center"/>
    </xf>
    <xf numFmtId="0" fontId="0" fillId="11" borderId="1" xfId="0" applyFill="1" applyBorder="1" applyAlignment="1">
      <alignment horizontal="center" vertical="center"/>
    </xf>
    <xf numFmtId="0" fontId="2" fillId="0" borderId="1" xfId="0" applyFont="1" applyBorder="1" applyAlignment="1">
      <alignment horizontal="center" wrapText="1"/>
    </xf>
    <xf numFmtId="0" fontId="4" fillId="11" borderId="1" xfId="0" applyFont="1" applyFill="1" applyBorder="1" applyAlignment="1">
      <alignment horizontal="center" vertical="center"/>
    </xf>
    <xf numFmtId="0" fontId="2" fillId="0" borderId="1" xfId="0" applyFont="1" applyBorder="1" applyAlignment="1">
      <alignment horizontal="center" vertical="center"/>
    </xf>
    <xf numFmtId="0" fontId="1" fillId="11" borderId="8" xfId="0" applyFont="1" applyFill="1" applyBorder="1" applyAlignment="1">
      <alignment horizontal="center" vertical="center"/>
    </xf>
    <xf numFmtId="0" fontId="1" fillId="11" borderId="6"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9" xfId="0" applyFont="1" applyFill="1" applyBorder="1" applyAlignment="1">
      <alignment horizontal="center" vertical="center"/>
    </xf>
    <xf numFmtId="0" fontId="1" fillId="11" borderId="7" xfId="0" applyFont="1" applyFill="1" applyBorder="1" applyAlignment="1">
      <alignment horizontal="center" vertical="center"/>
    </xf>
    <xf numFmtId="0" fontId="1" fillId="11" borderId="10" xfId="0" applyFont="1" applyFill="1" applyBorder="1" applyAlignment="1">
      <alignment horizontal="center" vertical="center"/>
    </xf>
    <xf numFmtId="0" fontId="1" fillId="11" borderId="11" xfId="0" applyFont="1" applyFill="1" applyBorder="1" applyAlignment="1">
      <alignment horizontal="center" vertical="center"/>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1" fillId="0" borderId="1" xfId="0" applyFont="1" applyBorder="1" applyAlignment="1">
      <alignment horizontal="center" vertical="center"/>
    </xf>
    <xf numFmtId="0" fontId="0" fillId="2" borderId="1" xfId="0"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1" xfId="0" applyFont="1" applyBorder="1" applyAlignment="1">
      <alignment horizontal="center" wrapText="1"/>
    </xf>
    <xf numFmtId="0" fontId="8" fillId="11" borderId="46" xfId="0" applyFont="1" applyFill="1" applyBorder="1" applyAlignment="1">
      <alignment horizontal="center" vertical="center"/>
    </xf>
    <xf numFmtId="0" fontId="8" fillId="11" borderId="25" xfId="0" applyFont="1" applyFill="1" applyBorder="1" applyAlignment="1">
      <alignment horizontal="center" vertical="center"/>
    </xf>
    <xf numFmtId="0" fontId="8" fillId="11" borderId="36" xfId="0" applyFont="1" applyFill="1" applyBorder="1" applyAlignment="1">
      <alignment horizontal="center" vertical="center"/>
    </xf>
    <xf numFmtId="0" fontId="1" fillId="0" borderId="29" xfId="0" applyFont="1" applyBorder="1" applyAlignment="1">
      <alignment horizontal="center"/>
    </xf>
    <xf numFmtId="0" fontId="1" fillId="0" borderId="19" xfId="0" applyFont="1" applyBorder="1" applyAlignment="1">
      <alignment horizontal="center"/>
    </xf>
    <xf numFmtId="0" fontId="1" fillId="0" borderId="30" xfId="0" applyFont="1" applyBorder="1" applyAlignment="1">
      <alignment horizontal="center"/>
    </xf>
    <xf numFmtId="0" fontId="1" fillId="0" borderId="35" xfId="0" applyFont="1" applyBorder="1" applyAlignment="1">
      <alignment horizontal="center"/>
    </xf>
    <xf numFmtId="0" fontId="1" fillId="0" borderId="38" xfId="0" applyFont="1" applyBorder="1" applyAlignment="1">
      <alignment horizontal="center"/>
    </xf>
    <xf numFmtId="0" fontId="1" fillId="0" borderId="37" xfId="0" applyFont="1" applyBorder="1" applyAlignment="1">
      <alignment horizontal="center"/>
    </xf>
    <xf numFmtId="0" fontId="1" fillId="0" borderId="39" xfId="0" applyFont="1" applyBorder="1" applyAlignment="1">
      <alignment horizontal="center"/>
    </xf>
    <xf numFmtId="0" fontId="1" fillId="0" borderId="31"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1" fillId="0" borderId="43" xfId="0" applyFont="1" applyBorder="1" applyAlignment="1">
      <alignment horizontal="center"/>
    </xf>
    <xf numFmtId="22" fontId="18" fillId="0" borderId="11" xfId="0" applyNumberFormat="1" applyFont="1" applyFill="1" applyBorder="1" applyAlignment="1">
      <alignment horizontal="center" vertical="center" wrapText="1"/>
    </xf>
    <xf numFmtId="0" fontId="36" fillId="14" borderId="17" xfId="2" applyBorder="1" applyAlignment="1">
      <alignment horizontal="center" vertical="center" wrapText="1"/>
    </xf>
    <xf numFmtId="0" fontId="35" fillId="13" borderId="17" xfId="1" applyBorder="1" applyAlignment="1">
      <alignment horizontal="center" vertical="center" wrapText="1"/>
    </xf>
    <xf numFmtId="22" fontId="18" fillId="0" borderId="1" xfId="0" applyNumberFormat="1" applyFont="1" applyFill="1" applyBorder="1" applyAlignment="1">
      <alignment horizontal="center" vertical="center" wrapText="1"/>
    </xf>
    <xf numFmtId="0" fontId="39" fillId="0" borderId="51" xfId="3" applyFill="1" applyBorder="1" applyAlignment="1">
      <alignment horizontal="center" vertical="center" wrapText="1"/>
    </xf>
    <xf numFmtId="0" fontId="39" fillId="0" borderId="52" xfId="3" applyFill="1" applyBorder="1" applyAlignment="1">
      <alignment horizontal="center" vertical="center" wrapText="1"/>
    </xf>
    <xf numFmtId="0" fontId="39" fillId="0" borderId="40" xfId="3" applyFill="1" applyBorder="1" applyAlignment="1">
      <alignment horizontal="center" vertical="center" wrapText="1"/>
    </xf>
    <xf numFmtId="0" fontId="1" fillId="0" borderId="42" xfId="0" applyFont="1" applyBorder="1" applyAlignment="1">
      <alignment horizontal="center" wrapText="1"/>
    </xf>
    <xf numFmtId="0" fontId="0" fillId="5" borderId="28" xfId="0" applyFill="1" applyBorder="1" applyAlignment="1">
      <alignment horizontal="center" vertical="center" wrapText="1"/>
    </xf>
    <xf numFmtId="0" fontId="0" fillId="5" borderId="27" xfId="0" applyFill="1" applyBorder="1" applyAlignment="1">
      <alignment horizontal="center" vertical="center"/>
    </xf>
    <xf numFmtId="0" fontId="18" fillId="0" borderId="18" xfId="0" applyFont="1" applyFill="1" applyBorder="1" applyAlignment="1">
      <alignment horizontal="center" vertical="center"/>
    </xf>
    <xf numFmtId="0" fontId="39" fillId="0" borderId="11" xfId="3" applyFill="1" applyBorder="1" applyAlignment="1">
      <alignment horizontal="center" vertical="center" wrapText="1"/>
    </xf>
    <xf numFmtId="0" fontId="39" fillId="0" borderId="11" xfId="3" applyBorder="1" applyAlignment="1">
      <alignment horizontal="center" vertical="center" wrapText="1"/>
    </xf>
    <xf numFmtId="0" fontId="39" fillId="0" borderId="17" xfId="3" applyBorder="1" applyAlignment="1">
      <alignment horizontal="center" vertical="center" wrapText="1"/>
    </xf>
    <xf numFmtId="0" fontId="0" fillId="0" borderId="35" xfId="0" applyBorder="1" applyAlignment="1">
      <alignment horizontal="center" wrapText="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colors>
    <mruColors>
      <color rgb="FF008000"/>
      <color rgb="FF0000FF"/>
      <color rgb="FF66CCFF"/>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8984766109303"/>
          <c:y val="0.24248430002711899"/>
          <c:w val="0.38780466790460411"/>
          <c:h val="0.64807699620208792"/>
        </c:manualLayout>
      </c:layout>
      <c:scatterChart>
        <c:scatterStyle val="lineMarker"/>
        <c:varyColors val="0"/>
        <c:ser>
          <c:idx val="0"/>
          <c:order val="0"/>
          <c:tx>
            <c:strRef>
              <c:f>'Eigen &amp; Mod Tuning'!$C$264</c:f>
              <c:strCache>
                <c:ptCount val="1"/>
                <c:pt idx="0">
                  <c:v>Unmodulated</c:v>
                </c:pt>
              </c:strCache>
            </c:strRef>
          </c:tx>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'Eigen &amp; Mod Tuning'!$A$268:$A$279</c:f>
              <c:numCache>
                <c:formatCode>General</c:formatCode>
                <c:ptCount val="12"/>
                <c:pt idx="0">
                  <c:v>17.5</c:v>
                </c:pt>
                <c:pt idx="1">
                  <c:v>16</c:v>
                </c:pt>
                <c:pt idx="2">
                  <c:v>14.5</c:v>
                </c:pt>
                <c:pt idx="3">
                  <c:v>13</c:v>
                </c:pt>
                <c:pt idx="4">
                  <c:v>11.5</c:v>
                </c:pt>
                <c:pt idx="5">
                  <c:v>10</c:v>
                </c:pt>
                <c:pt idx="6">
                  <c:v>8.5</c:v>
                </c:pt>
                <c:pt idx="7">
                  <c:v>7</c:v>
                </c:pt>
                <c:pt idx="8">
                  <c:v>5.5</c:v>
                </c:pt>
                <c:pt idx="9">
                  <c:v>4</c:v>
                </c:pt>
                <c:pt idx="10">
                  <c:v>2.5</c:v>
                </c:pt>
                <c:pt idx="11">
                  <c:v>1</c:v>
                </c:pt>
              </c:numCache>
            </c:numRef>
          </c:xVal>
          <c:yVal>
            <c:numRef>
              <c:f>'Eigen &amp; Mod Tuning'!$C$268:$C$279</c:f>
              <c:numCache>
                <c:formatCode>General</c:formatCode>
                <c:ptCount val="12"/>
                <c:pt idx="0">
                  <c:v>-13.93</c:v>
                </c:pt>
                <c:pt idx="1">
                  <c:v>-15.474</c:v>
                </c:pt>
                <c:pt idx="2">
                  <c:v>-17</c:v>
                </c:pt>
                <c:pt idx="3">
                  <c:v>-18.54</c:v>
                </c:pt>
                <c:pt idx="4">
                  <c:v>-20.07</c:v>
                </c:pt>
                <c:pt idx="5">
                  <c:v>-21.63</c:v>
                </c:pt>
                <c:pt idx="6">
                  <c:v>-23.17</c:v>
                </c:pt>
                <c:pt idx="7">
                  <c:v>-24.69</c:v>
                </c:pt>
                <c:pt idx="8">
                  <c:v>-26.25</c:v>
                </c:pt>
                <c:pt idx="9">
                  <c:v>-27.81</c:v>
                </c:pt>
                <c:pt idx="10">
                  <c:v>-29.31</c:v>
                </c:pt>
                <c:pt idx="11">
                  <c:v>-30.7</c:v>
                </c:pt>
              </c:numCache>
            </c:numRef>
          </c:yVal>
          <c:smooth val="0"/>
          <c:extLst>
            <c:ext xmlns:c16="http://schemas.microsoft.com/office/drawing/2014/chart" uri="{C3380CC4-5D6E-409C-BE32-E72D297353CC}">
              <c16:uniqueId val="{00000000-62A0-49A3-B2AC-F2306C51E0EF}"/>
            </c:ext>
          </c:extLst>
        </c:ser>
        <c:dLbls>
          <c:showLegendKey val="0"/>
          <c:showVal val="0"/>
          <c:showCatName val="0"/>
          <c:showSerName val="0"/>
          <c:showPercent val="0"/>
          <c:showBubbleSize val="0"/>
        </c:dLbls>
        <c:axId val="283629120"/>
        <c:axId val="283629512"/>
      </c:scatterChart>
      <c:valAx>
        <c:axId val="283629120"/>
        <c:scaling>
          <c:orientation val="minMax"/>
          <c:max val="25"/>
          <c:min val="-10"/>
        </c:scaling>
        <c:delete val="0"/>
        <c:axPos val="b"/>
        <c:majorGridlines>
          <c:spPr>
            <a:ln w="9525" cap="flat" cmpd="sng" algn="ctr">
              <a:solidFill>
                <a:schemeClr val="tx1">
                  <a:lumMod val="50000"/>
                  <a:lumOff val="50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Light</a:t>
                </a:r>
                <a:r>
                  <a:rPr lang="en-US" sz="1100" b="1" baseline="0"/>
                  <a:t> Source Output Power (dBm)</a:t>
                </a:r>
                <a:endParaRPr lang="en-US" sz="1100" b="1"/>
              </a:p>
            </c:rich>
          </c:tx>
          <c:layout>
            <c:manualLayout>
              <c:xMode val="edge"/>
              <c:yMode val="edge"/>
              <c:x val="0.26327909064376714"/>
              <c:y val="5.1233579744245777E-3"/>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high"/>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83629512"/>
        <c:crossesAt val="-100000"/>
        <c:crossBetween val="midCat"/>
        <c:majorUnit val="5"/>
      </c:valAx>
      <c:valAx>
        <c:axId val="283629512"/>
        <c:scaling>
          <c:orientation val="minMax"/>
          <c:max val="-10"/>
          <c:min val="-35"/>
        </c:scaling>
        <c:delete val="0"/>
        <c:axPos val="l"/>
        <c:majorGridlines>
          <c:spPr>
            <a:ln w="9525" cap="flat" cmpd="sng" algn="ctr">
              <a:solidFill>
                <a:schemeClr val="tx1">
                  <a:lumMod val="50000"/>
                  <a:lumOff val="50000"/>
                </a:schemeClr>
              </a:solidFill>
              <a:round/>
            </a:ln>
            <a:effectLst/>
          </c:spPr>
        </c:majorGridlines>
        <c:minorGridlines>
          <c:spPr>
            <a:ln w="9525" cap="flat" cmpd="sng" algn="ctr">
              <a:solidFill>
                <a:schemeClr val="bg1">
                  <a:lumMod val="75000"/>
                </a:schemeClr>
              </a:solidFill>
              <a:round/>
            </a:ln>
            <a:effectLst/>
          </c:spPr>
        </c:min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sz="1100" b="1"/>
                  <a:t>Un-modulated</a:t>
                </a:r>
                <a:r>
                  <a:rPr lang="en-US" sz="1100" b="1" baseline="0"/>
                  <a:t> Detector Power (dBm)</a:t>
                </a:r>
                <a:endParaRPr lang="en-US" sz="1100" b="1"/>
              </a:p>
            </c:rich>
          </c:tx>
          <c:layout>
            <c:manualLayout>
              <c:xMode val="edge"/>
              <c:yMode val="edge"/>
              <c:x val="0.10568031747966393"/>
              <c:y val="0.13223103452912618"/>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283629120"/>
        <c:crossesAt val="-1000000000"/>
        <c:crossBetween val="midCat"/>
        <c:majorUnit val="5"/>
      </c:valAx>
      <c:spPr>
        <a:noFill/>
        <a:ln>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ARW vs.</a:t>
            </a:r>
            <a:r>
              <a:rPr lang="en-US" baseline="0"/>
              <a:t> Detector Power</a:t>
            </a:r>
          </a:p>
          <a:p>
            <a:pPr>
              <a:defRPr/>
            </a:pPr>
            <a:r>
              <a:rPr lang="en-US" sz="1050" b="0" i="1" baseline="0"/>
              <a:t>ARW from 2hr. Bias runs at various FLS Powers</a:t>
            </a:r>
            <a:endParaRPr lang="en-US" sz="1050" b="0" i="1"/>
          </a:p>
        </c:rich>
      </c:tx>
      <c:layout>
        <c:manualLayout>
          <c:xMode val="edge"/>
          <c:yMode val="edge"/>
          <c:x val="0.2401696498100912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689294597720697"/>
          <c:y val="0.23106481481481481"/>
          <c:w val="0.70599055379354991"/>
          <c:h val="0.56336431904345285"/>
        </c:manualLayout>
      </c:layout>
      <c:scatterChart>
        <c:scatterStyle val="lineMarker"/>
        <c:varyColors val="0"/>
        <c:ser>
          <c:idx val="0"/>
          <c:order val="0"/>
          <c:tx>
            <c:v>All Data</c:v>
          </c:tx>
          <c:spPr>
            <a:ln w="25400" cap="rnd">
              <a:noFill/>
              <a:round/>
            </a:ln>
            <a:effectLst/>
          </c:spPr>
          <c:marker>
            <c:symbol val="diamond"/>
            <c:size val="3"/>
            <c:spPr>
              <a:solidFill>
                <a:schemeClr val="accent1"/>
              </a:solidFill>
              <a:ln w="9525">
                <a:solidFill>
                  <a:schemeClr val="accent1"/>
                </a:solidFill>
              </a:ln>
              <a:effectLst/>
            </c:spPr>
          </c:marker>
          <c:xVal>
            <c:numRef>
              <c:f>'Power Sweep'!$D$4:$D$27</c:f>
              <c:numCache>
                <c:formatCode>0.0</c:formatCode>
                <c:ptCount val="24"/>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formatCode="0.00">
                  <c:v>2.3713737056616537</c:v>
                </c:pt>
                <c:pt idx="9" formatCode="0.00">
                  <c:v>1.6557699634695282</c:v>
                </c:pt>
                <c:pt idx="10" formatCode="0.00">
                  <c:v>1.1721953655481292</c:v>
                </c:pt>
                <c:pt idx="11" formatCode="0.000">
                  <c:v>0.85113803820237643</c:v>
                </c:pt>
                <c:pt idx="12">
                  <c:v>40.457589169744253</c:v>
                </c:pt>
                <c:pt idx="13">
                  <c:v>28.353064117606845</c:v>
                </c:pt>
                <c:pt idx="14">
                  <c:v>19.95262314968879</c:v>
                </c:pt>
                <c:pt idx="15">
                  <c:v>13.995873225726179</c:v>
                </c:pt>
                <c:pt idx="16" formatCode="0.00">
                  <c:v>9.8401110576113275</c:v>
                </c:pt>
                <c:pt idx="17" formatCode="0.00">
                  <c:v>6.8706844001423208</c:v>
                </c:pt>
                <c:pt idx="18" formatCode="0.00">
                  <c:v>4.8194779762512709</c:v>
                </c:pt>
                <c:pt idx="19" formatCode="0.00">
                  <c:v>3.3962527259040791</c:v>
                </c:pt>
                <c:pt idx="20" formatCode="0.00">
                  <c:v>2.3713737056616537</c:v>
                </c:pt>
                <c:pt idx="21" formatCode="0.00">
                  <c:v>1.6557699634695282</c:v>
                </c:pt>
                <c:pt idx="22" formatCode="0.00">
                  <c:v>1.1721953655481292</c:v>
                </c:pt>
                <c:pt idx="23" formatCode="0.000">
                  <c:v>0.85113803820237643</c:v>
                </c:pt>
              </c:numCache>
            </c:numRef>
          </c:xVal>
          <c:yVal>
            <c:numRef>
              <c:f>'Power Sweep'!$E$4:$E$27</c:f>
              <c:numCache>
                <c:formatCode>General</c:formatCode>
                <c:ptCount val="24"/>
                <c:pt idx="0">
                  <c:v>2471</c:v>
                </c:pt>
                <c:pt idx="1">
                  <c:v>2295</c:v>
                </c:pt>
                <c:pt idx="2">
                  <c:v>2196</c:v>
                </c:pt>
                <c:pt idx="3">
                  <c:v>2241</c:v>
                </c:pt>
                <c:pt idx="4">
                  <c:v>2297</c:v>
                </c:pt>
                <c:pt idx="5">
                  <c:v>2609</c:v>
                </c:pt>
                <c:pt idx="6">
                  <c:v>2902</c:v>
                </c:pt>
                <c:pt idx="7">
                  <c:v>3467</c:v>
                </c:pt>
                <c:pt idx="8">
                  <c:v>4104</c:v>
                </c:pt>
                <c:pt idx="9">
                  <c:v>5448</c:v>
                </c:pt>
                <c:pt idx="10">
                  <c:v>7202</c:v>
                </c:pt>
                <c:pt idx="11">
                  <c:v>9953</c:v>
                </c:pt>
                <c:pt idx="12">
                  <c:v>2427</c:v>
                </c:pt>
                <c:pt idx="13">
                  <c:v>2212</c:v>
                </c:pt>
                <c:pt idx="14">
                  <c:v>2264</c:v>
                </c:pt>
                <c:pt idx="15">
                  <c:v>2245</c:v>
                </c:pt>
                <c:pt idx="16">
                  <c:v>2398</c:v>
                </c:pt>
                <c:pt idx="17">
                  <c:v>2541</c:v>
                </c:pt>
                <c:pt idx="18">
                  <c:v>3065</c:v>
                </c:pt>
                <c:pt idx="19">
                  <c:v>3547</c:v>
                </c:pt>
                <c:pt idx="20">
                  <c:v>4280</c:v>
                </c:pt>
                <c:pt idx="21">
                  <c:v>5641</c:v>
                </c:pt>
                <c:pt idx="22">
                  <c:v>7419</c:v>
                </c:pt>
                <c:pt idx="23">
                  <c:v>9781</c:v>
                </c:pt>
              </c:numCache>
            </c:numRef>
          </c:yVal>
          <c:smooth val="0"/>
          <c:extLst>
            <c:ext xmlns:c16="http://schemas.microsoft.com/office/drawing/2014/chart" uri="{C3380CC4-5D6E-409C-BE32-E72D297353CC}">
              <c16:uniqueId val="{00000000-87DB-4913-BF2C-2561FE471BEA}"/>
            </c:ext>
          </c:extLst>
        </c:ser>
        <c:ser>
          <c:idx val="1"/>
          <c:order val="1"/>
          <c:tx>
            <c:v>High-Power</c:v>
          </c:tx>
          <c:spPr>
            <a:ln w="25400" cap="rnd">
              <a:noFill/>
              <a:round/>
            </a:ln>
            <a:effectLst/>
          </c:spPr>
          <c:marker>
            <c:symbol val="diamond"/>
            <c:size val="5"/>
            <c:spPr>
              <a:solidFill>
                <a:schemeClr val="tx1"/>
              </a:solidFill>
              <a:ln w="9525">
                <a:noFill/>
              </a:ln>
              <a:effectLst/>
            </c:spPr>
          </c:marker>
          <c:trendline>
            <c:spPr>
              <a:ln w="6350" cap="rnd">
                <a:solidFill>
                  <a:srgbClr val="008000"/>
                </a:solidFill>
                <a:prstDash val="solid"/>
              </a:ln>
              <a:effectLst/>
            </c:spPr>
            <c:trendlineType val="power"/>
            <c:dispRSqr val="0"/>
            <c:dispEq val="1"/>
            <c:trendlineLbl>
              <c:layout>
                <c:manualLayout>
                  <c:x val="7.9419542647662864E-2"/>
                  <c:y val="8.9036526684164397E-2"/>
                </c:manualLayout>
              </c:layout>
              <c:numFmt formatCode="General" sourceLinked="0"/>
              <c:spPr>
                <a:solidFill>
                  <a:sysClr val="window" lastClr="FFFFFF"/>
                </a:solidFill>
                <a:ln>
                  <a:noFill/>
                </a:ln>
                <a:effectLst/>
              </c:spPr>
              <c:txPr>
                <a:bodyPr rot="0" spcFirstLastPara="1" vertOverflow="ellipsis" vert="horz" wrap="square" anchor="ctr" anchorCtr="1"/>
                <a:lstStyle/>
                <a:p>
                  <a:pPr>
                    <a:defRPr sz="1100" b="0" i="0" u="none" strike="noStrike" kern="1200" baseline="0">
                      <a:solidFill>
                        <a:srgbClr val="008000"/>
                      </a:solidFill>
                      <a:latin typeface="+mn-lt"/>
                      <a:ea typeface="+mn-ea"/>
                      <a:cs typeface="+mn-cs"/>
                    </a:defRPr>
                  </a:pPr>
                  <a:endParaRPr lang="en-US"/>
                </a:p>
              </c:txPr>
            </c:trendlineLbl>
          </c:trendline>
          <c:xVal>
            <c:numRef>
              <c:f>('Power Sweep'!$D$4:$D$8,'Power Sweep'!$D$16:$D$20)</c:f>
              <c:numCache>
                <c:formatCode>0.0</c:formatCode>
                <c:ptCount val="10"/>
                <c:pt idx="0">
                  <c:v>40.457589169744253</c:v>
                </c:pt>
                <c:pt idx="1">
                  <c:v>28.353064117606845</c:v>
                </c:pt>
                <c:pt idx="2">
                  <c:v>19.95262314968879</c:v>
                </c:pt>
                <c:pt idx="3">
                  <c:v>13.995873225726179</c:v>
                </c:pt>
                <c:pt idx="4" formatCode="0.00">
                  <c:v>9.8401110576113275</c:v>
                </c:pt>
                <c:pt idx="5">
                  <c:v>40.457589169744253</c:v>
                </c:pt>
                <c:pt idx="6">
                  <c:v>28.353064117606845</c:v>
                </c:pt>
                <c:pt idx="7">
                  <c:v>19.95262314968879</c:v>
                </c:pt>
                <c:pt idx="8">
                  <c:v>13.995873225726179</c:v>
                </c:pt>
                <c:pt idx="9" formatCode="0.00">
                  <c:v>9.8401110576113275</c:v>
                </c:pt>
              </c:numCache>
            </c:numRef>
          </c:xVal>
          <c:yVal>
            <c:numRef>
              <c:f>('Power Sweep'!$E$4:$E$8,'Power Sweep'!$E$16:$E$20)</c:f>
              <c:numCache>
                <c:formatCode>General</c:formatCode>
                <c:ptCount val="10"/>
                <c:pt idx="0">
                  <c:v>2471</c:v>
                </c:pt>
                <c:pt idx="1">
                  <c:v>2295</c:v>
                </c:pt>
                <c:pt idx="2">
                  <c:v>2196</c:v>
                </c:pt>
                <c:pt idx="3">
                  <c:v>2241</c:v>
                </c:pt>
                <c:pt idx="4">
                  <c:v>2297</c:v>
                </c:pt>
                <c:pt idx="5">
                  <c:v>2427</c:v>
                </c:pt>
                <c:pt idx="6">
                  <c:v>2212</c:v>
                </c:pt>
                <c:pt idx="7">
                  <c:v>2264</c:v>
                </c:pt>
                <c:pt idx="8">
                  <c:v>2245</c:v>
                </c:pt>
                <c:pt idx="9">
                  <c:v>2398</c:v>
                </c:pt>
              </c:numCache>
            </c:numRef>
          </c:yVal>
          <c:smooth val="0"/>
          <c:extLst>
            <c:ext xmlns:c16="http://schemas.microsoft.com/office/drawing/2014/chart" uri="{C3380CC4-5D6E-409C-BE32-E72D297353CC}">
              <c16:uniqueId val="{00000001-87DB-4913-BF2C-2561FE471BEA}"/>
            </c:ext>
          </c:extLst>
        </c:ser>
        <c:ser>
          <c:idx val="2"/>
          <c:order val="2"/>
          <c:tx>
            <c:v>Mid-Power</c:v>
          </c:tx>
          <c:spPr>
            <a:ln w="25400" cap="rnd">
              <a:noFill/>
              <a:round/>
            </a:ln>
            <a:effectLst/>
          </c:spPr>
          <c:marker>
            <c:symbol val="diamond"/>
            <c:size val="5"/>
            <c:spPr>
              <a:solidFill>
                <a:schemeClr val="tx1"/>
              </a:solidFill>
              <a:ln w="9525">
                <a:noFill/>
              </a:ln>
              <a:effectLst/>
            </c:spPr>
          </c:marker>
          <c:trendline>
            <c:spPr>
              <a:ln w="6350" cap="rnd">
                <a:solidFill>
                  <a:srgbClr val="0000FF"/>
                </a:solidFill>
                <a:prstDash val="solid"/>
              </a:ln>
              <a:effectLst/>
            </c:spPr>
            <c:trendlineType val="power"/>
            <c:dispRSqr val="0"/>
            <c:dispEq val="1"/>
            <c:trendlineLbl>
              <c:layout>
                <c:manualLayout>
                  <c:x val="-5.4027268486886403E-2"/>
                  <c:y val="7.2974263633712372E-2"/>
                </c:manualLayout>
              </c:layout>
              <c:numFmt formatCode="General" sourceLinked="0"/>
              <c:spPr>
                <a:solidFill>
                  <a:schemeClr val="bg1"/>
                </a:solidFill>
                <a:ln>
                  <a:noFill/>
                </a:ln>
                <a:effectLst/>
              </c:spPr>
              <c:txPr>
                <a:bodyPr rot="0" spcFirstLastPara="1" vertOverflow="ellipsis" vert="horz" wrap="square" anchor="ctr" anchorCtr="1"/>
                <a:lstStyle/>
                <a:p>
                  <a:pPr>
                    <a:defRPr sz="1100" b="0" i="0" u="none" strike="noStrike" kern="1200" baseline="0">
                      <a:solidFill>
                        <a:srgbClr val="0000FF"/>
                      </a:solidFill>
                      <a:latin typeface="+mn-lt"/>
                      <a:ea typeface="+mn-ea"/>
                      <a:cs typeface="+mn-cs"/>
                    </a:defRPr>
                  </a:pPr>
                  <a:endParaRPr lang="en-US"/>
                </a:p>
              </c:txPr>
            </c:trendlineLbl>
          </c:trendline>
          <c:xVal>
            <c:numRef>
              <c:f>('Power Sweep'!$D$8:$D$12,'Power Sweep'!$D$20:$D$24)</c:f>
              <c:numCache>
                <c:formatCode>0.00</c:formatCode>
                <c:ptCount val="10"/>
                <c:pt idx="0">
                  <c:v>9.8401110576113275</c:v>
                </c:pt>
                <c:pt idx="1">
                  <c:v>6.8706844001423208</c:v>
                </c:pt>
                <c:pt idx="2">
                  <c:v>4.8194779762512709</c:v>
                </c:pt>
                <c:pt idx="3">
                  <c:v>3.3962527259040791</c:v>
                </c:pt>
                <c:pt idx="4">
                  <c:v>2.3713737056616537</c:v>
                </c:pt>
                <c:pt idx="5">
                  <c:v>9.8401110576113275</c:v>
                </c:pt>
                <c:pt idx="6">
                  <c:v>6.8706844001423208</c:v>
                </c:pt>
                <c:pt idx="7">
                  <c:v>4.8194779762512709</c:v>
                </c:pt>
                <c:pt idx="8">
                  <c:v>3.3962527259040791</c:v>
                </c:pt>
                <c:pt idx="9">
                  <c:v>2.3713737056616537</c:v>
                </c:pt>
              </c:numCache>
            </c:numRef>
          </c:xVal>
          <c:yVal>
            <c:numRef>
              <c:f>('Power Sweep'!$E$8:$E$12,'Power Sweep'!$E$20:$E$24)</c:f>
              <c:numCache>
                <c:formatCode>General</c:formatCode>
                <c:ptCount val="10"/>
                <c:pt idx="0">
                  <c:v>2297</c:v>
                </c:pt>
                <c:pt idx="1">
                  <c:v>2609</c:v>
                </c:pt>
                <c:pt idx="2">
                  <c:v>2902</c:v>
                </c:pt>
                <c:pt idx="3">
                  <c:v>3467</c:v>
                </c:pt>
                <c:pt idx="4">
                  <c:v>4104</c:v>
                </c:pt>
                <c:pt idx="5">
                  <c:v>2398</c:v>
                </c:pt>
                <c:pt idx="6">
                  <c:v>2541</c:v>
                </c:pt>
                <c:pt idx="7">
                  <c:v>3065</c:v>
                </c:pt>
                <c:pt idx="8">
                  <c:v>3547</c:v>
                </c:pt>
                <c:pt idx="9">
                  <c:v>4280</c:v>
                </c:pt>
              </c:numCache>
            </c:numRef>
          </c:yVal>
          <c:smooth val="0"/>
          <c:extLst>
            <c:ext xmlns:c16="http://schemas.microsoft.com/office/drawing/2014/chart" uri="{C3380CC4-5D6E-409C-BE32-E72D297353CC}">
              <c16:uniqueId val="{00000002-87DB-4913-BF2C-2561FE471BEA}"/>
            </c:ext>
          </c:extLst>
        </c:ser>
        <c:ser>
          <c:idx val="3"/>
          <c:order val="3"/>
          <c:tx>
            <c:v>Low-Power</c:v>
          </c:tx>
          <c:spPr>
            <a:ln w="25400" cap="rnd">
              <a:noFill/>
              <a:round/>
            </a:ln>
            <a:effectLst/>
          </c:spPr>
          <c:marker>
            <c:symbol val="diamond"/>
            <c:size val="5"/>
            <c:spPr>
              <a:solidFill>
                <a:schemeClr val="tx1"/>
              </a:solidFill>
              <a:ln w="9525">
                <a:noFill/>
              </a:ln>
              <a:effectLst/>
            </c:spPr>
          </c:marker>
          <c:trendline>
            <c:spPr>
              <a:ln w="6350" cap="rnd">
                <a:solidFill>
                  <a:srgbClr val="FF0000"/>
                </a:solidFill>
                <a:prstDash val="solid"/>
              </a:ln>
              <a:effectLst/>
            </c:spPr>
            <c:trendlineType val="power"/>
            <c:dispRSqr val="0"/>
            <c:dispEq val="1"/>
            <c:trendlineLbl>
              <c:layout>
                <c:manualLayout>
                  <c:x val="-7.9108249468166039E-2"/>
                  <c:y val="-2.2412146398366872E-2"/>
                </c:manualLayout>
              </c:layout>
              <c:numFmt formatCode="General" sourceLinked="0"/>
              <c:spPr>
                <a:solidFill>
                  <a:schemeClr val="bg1"/>
                </a:solidFill>
                <a:ln>
                  <a:noFill/>
                </a:ln>
                <a:effectLst/>
              </c:spPr>
              <c:txPr>
                <a:bodyPr rot="0" spcFirstLastPara="1" vertOverflow="ellipsis" vert="horz" wrap="square" anchor="ctr" anchorCtr="1"/>
                <a:lstStyle/>
                <a:p>
                  <a:pPr>
                    <a:defRPr sz="1100" b="0" i="0" u="none" strike="noStrike" kern="1200" baseline="0">
                      <a:solidFill>
                        <a:srgbClr val="FF0000"/>
                      </a:solidFill>
                      <a:latin typeface="+mn-lt"/>
                      <a:ea typeface="+mn-ea"/>
                      <a:cs typeface="+mn-cs"/>
                    </a:defRPr>
                  </a:pPr>
                  <a:endParaRPr lang="en-US"/>
                </a:p>
              </c:txPr>
            </c:trendlineLbl>
          </c:trendline>
          <c:xVal>
            <c:numRef>
              <c:f>('Power Sweep'!$D$12:$D$15,'Power Sweep'!$D$24:$D$27)</c:f>
              <c:numCache>
                <c:formatCode>0.00</c:formatCode>
                <c:ptCount val="8"/>
                <c:pt idx="0">
                  <c:v>2.3713737056616537</c:v>
                </c:pt>
                <c:pt idx="1">
                  <c:v>1.6557699634695282</c:v>
                </c:pt>
                <c:pt idx="2">
                  <c:v>1.1721953655481292</c:v>
                </c:pt>
                <c:pt idx="3" formatCode="0.000">
                  <c:v>0.85113803820237643</c:v>
                </c:pt>
                <c:pt idx="4">
                  <c:v>2.3713737056616537</c:v>
                </c:pt>
                <c:pt idx="5">
                  <c:v>1.6557699634695282</c:v>
                </c:pt>
                <c:pt idx="6">
                  <c:v>1.1721953655481292</c:v>
                </c:pt>
                <c:pt idx="7" formatCode="0.000">
                  <c:v>0.85113803820237643</c:v>
                </c:pt>
              </c:numCache>
            </c:numRef>
          </c:xVal>
          <c:yVal>
            <c:numRef>
              <c:f>('Power Sweep'!$E$12:$E$15,'Power Sweep'!$E$24:$E$27)</c:f>
              <c:numCache>
                <c:formatCode>General</c:formatCode>
                <c:ptCount val="8"/>
                <c:pt idx="0">
                  <c:v>4104</c:v>
                </c:pt>
                <c:pt idx="1">
                  <c:v>5448</c:v>
                </c:pt>
                <c:pt idx="2">
                  <c:v>7202</c:v>
                </c:pt>
                <c:pt idx="3">
                  <c:v>9953</c:v>
                </c:pt>
                <c:pt idx="4">
                  <c:v>4280</c:v>
                </c:pt>
                <c:pt idx="5">
                  <c:v>5641</c:v>
                </c:pt>
                <c:pt idx="6">
                  <c:v>7419</c:v>
                </c:pt>
                <c:pt idx="7">
                  <c:v>9781</c:v>
                </c:pt>
              </c:numCache>
            </c:numRef>
          </c:yVal>
          <c:smooth val="0"/>
          <c:extLst>
            <c:ext xmlns:c16="http://schemas.microsoft.com/office/drawing/2014/chart" uri="{C3380CC4-5D6E-409C-BE32-E72D297353CC}">
              <c16:uniqueId val="{00000003-87DB-4913-BF2C-2561FE471BEA}"/>
            </c:ext>
          </c:extLst>
        </c:ser>
        <c:dLbls>
          <c:showLegendKey val="0"/>
          <c:showVal val="0"/>
          <c:showCatName val="0"/>
          <c:showSerName val="0"/>
          <c:showPercent val="0"/>
          <c:showBubbleSize val="0"/>
        </c:dLbls>
        <c:axId val="283631080"/>
        <c:axId val="283631472"/>
      </c:scatterChart>
      <c:valAx>
        <c:axId val="283631080"/>
        <c:scaling>
          <c:logBase val="10"/>
          <c:orientation val="minMax"/>
        </c:scaling>
        <c:delete val="0"/>
        <c:axPos val="b"/>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Un-Modulated</a:t>
                </a:r>
                <a:r>
                  <a:rPr lang="en-US" b="1" baseline="0"/>
                  <a:t> Detector Optical Power (µW)</a:t>
                </a:r>
                <a:endParaRPr lang="en-US" b="1"/>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631472"/>
        <c:crosses val="autoZero"/>
        <c:crossBetween val="midCat"/>
      </c:valAx>
      <c:valAx>
        <c:axId val="283631472"/>
        <c:scaling>
          <c:logBase val="10"/>
          <c:orientation val="minMax"/>
          <c:max val="20000"/>
          <c:min val="1000"/>
        </c:scaling>
        <c:delete val="0"/>
        <c:axPos val="l"/>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ARW (µdeg/rt-hr.)</a:t>
                </a:r>
              </a:p>
            </c:rich>
          </c:tx>
          <c:layout>
            <c:manualLayout>
              <c:xMode val="edge"/>
              <c:yMode val="edge"/>
              <c:x val="5.6956706378924353E-2"/>
              <c:y val="0.3627354913969087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631080"/>
        <c:crossesAt val="1.0000000000000005E-9"/>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ARW vs.</a:t>
            </a:r>
            <a:r>
              <a:rPr lang="en-US" baseline="0"/>
              <a:t> Detector Power</a:t>
            </a:r>
          </a:p>
          <a:p>
            <a:pPr>
              <a:defRPr/>
            </a:pPr>
            <a:r>
              <a:rPr lang="en-US" sz="1050" b="0" i="1" baseline="0"/>
              <a:t>ARW from 2hr. Bias runs at various FLS Powers</a:t>
            </a:r>
            <a:endParaRPr lang="en-US" sz="1050" b="0" i="1"/>
          </a:p>
        </c:rich>
      </c:tx>
      <c:layout>
        <c:manualLayout>
          <c:xMode val="edge"/>
          <c:yMode val="edge"/>
          <c:x val="0.24016964981009126"/>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689294597720697"/>
          <c:y val="0.23106481481481481"/>
          <c:w val="0.70599055379354991"/>
          <c:h val="0.56336431904345285"/>
        </c:manualLayout>
      </c:layout>
      <c:scatterChart>
        <c:scatterStyle val="lineMarker"/>
        <c:varyColors val="0"/>
        <c:ser>
          <c:idx val="0"/>
          <c:order val="0"/>
          <c:tx>
            <c:v>All Data</c:v>
          </c:tx>
          <c:spPr>
            <a:ln w="25400" cap="rnd">
              <a:noFill/>
              <a:round/>
            </a:ln>
            <a:effectLst/>
          </c:spPr>
          <c:marker>
            <c:symbol val="diamond"/>
            <c:size val="3"/>
            <c:spPr>
              <a:solidFill>
                <a:schemeClr val="accent1"/>
              </a:solidFill>
              <a:ln w="9525">
                <a:solidFill>
                  <a:schemeClr val="accent1"/>
                </a:solidFill>
              </a:ln>
              <a:effectLst/>
            </c:spPr>
          </c:marker>
          <c:xVal>
            <c:numRef>
              <c:f>'Power Sweep'!$D$4:$D$27</c:f>
              <c:numCache>
                <c:formatCode>0.0</c:formatCode>
                <c:ptCount val="24"/>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formatCode="0.00">
                  <c:v>2.3713737056616537</c:v>
                </c:pt>
                <c:pt idx="9" formatCode="0.00">
                  <c:v>1.6557699634695282</c:v>
                </c:pt>
                <c:pt idx="10" formatCode="0.00">
                  <c:v>1.1721953655481292</c:v>
                </c:pt>
                <c:pt idx="11" formatCode="0.000">
                  <c:v>0.85113803820237643</c:v>
                </c:pt>
                <c:pt idx="12">
                  <c:v>40.457589169744253</c:v>
                </c:pt>
                <c:pt idx="13">
                  <c:v>28.353064117606845</c:v>
                </c:pt>
                <c:pt idx="14">
                  <c:v>19.95262314968879</c:v>
                </c:pt>
                <c:pt idx="15">
                  <c:v>13.995873225726179</c:v>
                </c:pt>
                <c:pt idx="16" formatCode="0.00">
                  <c:v>9.8401110576113275</c:v>
                </c:pt>
                <c:pt idx="17" formatCode="0.00">
                  <c:v>6.8706844001423208</c:v>
                </c:pt>
                <c:pt idx="18" formatCode="0.00">
                  <c:v>4.8194779762512709</c:v>
                </c:pt>
                <c:pt idx="19" formatCode="0.00">
                  <c:v>3.3962527259040791</c:v>
                </c:pt>
                <c:pt idx="20" formatCode="0.00">
                  <c:v>2.3713737056616537</c:v>
                </c:pt>
                <c:pt idx="21" formatCode="0.00">
                  <c:v>1.6557699634695282</c:v>
                </c:pt>
                <c:pt idx="22" formatCode="0.00">
                  <c:v>1.1721953655481292</c:v>
                </c:pt>
                <c:pt idx="23" formatCode="0.000">
                  <c:v>0.85113803820237643</c:v>
                </c:pt>
              </c:numCache>
            </c:numRef>
          </c:xVal>
          <c:yVal>
            <c:numRef>
              <c:f>'Power Sweep'!$E$4:$E$27</c:f>
              <c:numCache>
                <c:formatCode>General</c:formatCode>
                <c:ptCount val="24"/>
                <c:pt idx="0">
                  <c:v>2471</c:v>
                </c:pt>
                <c:pt idx="1">
                  <c:v>2295</c:v>
                </c:pt>
                <c:pt idx="2">
                  <c:v>2196</c:v>
                </c:pt>
                <c:pt idx="3">
                  <c:v>2241</c:v>
                </c:pt>
                <c:pt idx="4">
                  <c:v>2297</c:v>
                </c:pt>
                <c:pt idx="5">
                  <c:v>2609</c:v>
                </c:pt>
                <c:pt idx="6">
                  <c:v>2902</c:v>
                </c:pt>
                <c:pt idx="7">
                  <c:v>3467</c:v>
                </c:pt>
                <c:pt idx="8">
                  <c:v>4104</c:v>
                </c:pt>
                <c:pt idx="9">
                  <c:v>5448</c:v>
                </c:pt>
                <c:pt idx="10">
                  <c:v>7202</c:v>
                </c:pt>
                <c:pt idx="11">
                  <c:v>9953</c:v>
                </c:pt>
                <c:pt idx="12">
                  <c:v>2427</c:v>
                </c:pt>
                <c:pt idx="13">
                  <c:v>2212</c:v>
                </c:pt>
                <c:pt idx="14">
                  <c:v>2264</c:v>
                </c:pt>
                <c:pt idx="15">
                  <c:v>2245</c:v>
                </c:pt>
                <c:pt idx="16">
                  <c:v>2398</c:v>
                </c:pt>
                <c:pt idx="17">
                  <c:v>2541</c:v>
                </c:pt>
                <c:pt idx="18">
                  <c:v>3065</c:v>
                </c:pt>
                <c:pt idx="19">
                  <c:v>3547</c:v>
                </c:pt>
                <c:pt idx="20">
                  <c:v>4280</c:v>
                </c:pt>
                <c:pt idx="21">
                  <c:v>5641</c:v>
                </c:pt>
                <c:pt idx="22">
                  <c:v>7419</c:v>
                </c:pt>
                <c:pt idx="23">
                  <c:v>9781</c:v>
                </c:pt>
              </c:numCache>
            </c:numRef>
          </c:yVal>
          <c:smooth val="0"/>
          <c:extLst>
            <c:ext xmlns:c16="http://schemas.microsoft.com/office/drawing/2014/chart" uri="{C3380CC4-5D6E-409C-BE32-E72D297353CC}">
              <c16:uniqueId val="{00000000-1340-482F-B24B-1E6FEFBABC59}"/>
            </c:ext>
          </c:extLst>
        </c:ser>
        <c:ser>
          <c:idx val="1"/>
          <c:order val="1"/>
          <c:tx>
            <c:v>High-Power</c:v>
          </c:tx>
          <c:spPr>
            <a:ln w="25400" cap="rnd">
              <a:noFill/>
              <a:round/>
            </a:ln>
            <a:effectLst/>
          </c:spPr>
          <c:marker>
            <c:symbol val="diamond"/>
            <c:size val="5"/>
            <c:spPr>
              <a:solidFill>
                <a:schemeClr val="tx1"/>
              </a:solidFill>
              <a:ln w="9525">
                <a:noFill/>
              </a:ln>
              <a:effectLst/>
            </c:spPr>
          </c:marker>
          <c:xVal>
            <c:numRef>
              <c:f>('Power Sweep'!$D$4:$D$8,'Power Sweep'!$D$16:$D$20)</c:f>
              <c:numCache>
                <c:formatCode>0.0</c:formatCode>
                <c:ptCount val="10"/>
                <c:pt idx="0">
                  <c:v>40.457589169744253</c:v>
                </c:pt>
                <c:pt idx="1">
                  <c:v>28.353064117606845</c:v>
                </c:pt>
                <c:pt idx="2">
                  <c:v>19.95262314968879</c:v>
                </c:pt>
                <c:pt idx="3">
                  <c:v>13.995873225726179</c:v>
                </c:pt>
                <c:pt idx="4" formatCode="0.00">
                  <c:v>9.8401110576113275</c:v>
                </c:pt>
                <c:pt idx="5">
                  <c:v>40.457589169744253</c:v>
                </c:pt>
                <c:pt idx="6">
                  <c:v>28.353064117606845</c:v>
                </c:pt>
                <c:pt idx="7">
                  <c:v>19.95262314968879</c:v>
                </c:pt>
                <c:pt idx="8">
                  <c:v>13.995873225726179</c:v>
                </c:pt>
                <c:pt idx="9" formatCode="0.00">
                  <c:v>9.8401110576113275</c:v>
                </c:pt>
              </c:numCache>
            </c:numRef>
          </c:xVal>
          <c:yVal>
            <c:numRef>
              <c:f>('Power Sweep'!$E$4:$E$8,'Power Sweep'!$E$16:$E$20)</c:f>
              <c:numCache>
                <c:formatCode>General</c:formatCode>
                <c:ptCount val="10"/>
                <c:pt idx="0">
                  <c:v>2471</c:v>
                </c:pt>
                <c:pt idx="1">
                  <c:v>2295</c:v>
                </c:pt>
                <c:pt idx="2">
                  <c:v>2196</c:v>
                </c:pt>
                <c:pt idx="3">
                  <c:v>2241</c:v>
                </c:pt>
                <c:pt idx="4">
                  <c:v>2297</c:v>
                </c:pt>
                <c:pt idx="5">
                  <c:v>2427</c:v>
                </c:pt>
                <c:pt idx="6">
                  <c:v>2212</c:v>
                </c:pt>
                <c:pt idx="7">
                  <c:v>2264</c:v>
                </c:pt>
                <c:pt idx="8">
                  <c:v>2245</c:v>
                </c:pt>
                <c:pt idx="9">
                  <c:v>2398</c:v>
                </c:pt>
              </c:numCache>
            </c:numRef>
          </c:yVal>
          <c:smooth val="0"/>
          <c:extLst>
            <c:ext xmlns:c16="http://schemas.microsoft.com/office/drawing/2014/chart" uri="{C3380CC4-5D6E-409C-BE32-E72D297353CC}">
              <c16:uniqueId val="{00000001-1340-482F-B24B-1E6FEFBABC59}"/>
            </c:ext>
          </c:extLst>
        </c:ser>
        <c:ser>
          <c:idx val="2"/>
          <c:order val="2"/>
          <c:tx>
            <c:v>Mid-Power</c:v>
          </c:tx>
          <c:spPr>
            <a:ln w="25400" cap="rnd">
              <a:noFill/>
              <a:round/>
            </a:ln>
            <a:effectLst/>
          </c:spPr>
          <c:marker>
            <c:symbol val="diamond"/>
            <c:size val="5"/>
            <c:spPr>
              <a:solidFill>
                <a:schemeClr val="tx1"/>
              </a:solidFill>
              <a:ln w="9525">
                <a:noFill/>
              </a:ln>
              <a:effectLst/>
            </c:spPr>
          </c:marker>
          <c:xVal>
            <c:numRef>
              <c:f>('Power Sweep'!$D$8:$D$12,'Power Sweep'!$D$20:$D$24)</c:f>
              <c:numCache>
                <c:formatCode>0.00</c:formatCode>
                <c:ptCount val="10"/>
                <c:pt idx="0">
                  <c:v>9.8401110576113275</c:v>
                </c:pt>
                <c:pt idx="1">
                  <c:v>6.8706844001423208</c:v>
                </c:pt>
                <c:pt idx="2">
                  <c:v>4.8194779762512709</c:v>
                </c:pt>
                <c:pt idx="3">
                  <c:v>3.3962527259040791</c:v>
                </c:pt>
                <c:pt idx="4">
                  <c:v>2.3713737056616537</c:v>
                </c:pt>
                <c:pt idx="5">
                  <c:v>9.8401110576113275</c:v>
                </c:pt>
                <c:pt idx="6">
                  <c:v>6.8706844001423208</c:v>
                </c:pt>
                <c:pt idx="7">
                  <c:v>4.8194779762512709</c:v>
                </c:pt>
                <c:pt idx="8">
                  <c:v>3.3962527259040791</c:v>
                </c:pt>
                <c:pt idx="9">
                  <c:v>2.3713737056616537</c:v>
                </c:pt>
              </c:numCache>
            </c:numRef>
          </c:xVal>
          <c:yVal>
            <c:numRef>
              <c:f>('Power Sweep'!$E$8:$E$12,'Power Sweep'!$E$20:$E$24)</c:f>
              <c:numCache>
                <c:formatCode>General</c:formatCode>
                <c:ptCount val="10"/>
                <c:pt idx="0">
                  <c:v>2297</c:v>
                </c:pt>
                <c:pt idx="1">
                  <c:v>2609</c:v>
                </c:pt>
                <c:pt idx="2">
                  <c:v>2902</c:v>
                </c:pt>
                <c:pt idx="3">
                  <c:v>3467</c:v>
                </c:pt>
                <c:pt idx="4">
                  <c:v>4104</c:v>
                </c:pt>
                <c:pt idx="5">
                  <c:v>2398</c:v>
                </c:pt>
                <c:pt idx="6">
                  <c:v>2541</c:v>
                </c:pt>
                <c:pt idx="7">
                  <c:v>3065</c:v>
                </c:pt>
                <c:pt idx="8">
                  <c:v>3547</c:v>
                </c:pt>
                <c:pt idx="9">
                  <c:v>4280</c:v>
                </c:pt>
              </c:numCache>
            </c:numRef>
          </c:yVal>
          <c:smooth val="0"/>
          <c:extLst>
            <c:ext xmlns:c16="http://schemas.microsoft.com/office/drawing/2014/chart" uri="{C3380CC4-5D6E-409C-BE32-E72D297353CC}">
              <c16:uniqueId val="{00000002-1340-482F-B24B-1E6FEFBABC59}"/>
            </c:ext>
          </c:extLst>
        </c:ser>
        <c:ser>
          <c:idx val="3"/>
          <c:order val="3"/>
          <c:tx>
            <c:v>Low-Power</c:v>
          </c:tx>
          <c:spPr>
            <a:ln w="25400" cap="rnd">
              <a:noFill/>
              <a:round/>
            </a:ln>
            <a:effectLst/>
          </c:spPr>
          <c:marker>
            <c:symbol val="diamond"/>
            <c:size val="5"/>
            <c:spPr>
              <a:solidFill>
                <a:schemeClr val="tx1"/>
              </a:solidFill>
              <a:ln w="9525">
                <a:noFill/>
              </a:ln>
              <a:effectLst/>
            </c:spPr>
          </c:marker>
          <c:xVal>
            <c:numRef>
              <c:f>('Power Sweep'!$D$12:$D$15,'Power Sweep'!$D$24:$D$27)</c:f>
              <c:numCache>
                <c:formatCode>0.00</c:formatCode>
                <c:ptCount val="8"/>
                <c:pt idx="0">
                  <c:v>2.3713737056616537</c:v>
                </c:pt>
                <c:pt idx="1">
                  <c:v>1.6557699634695282</c:v>
                </c:pt>
                <c:pt idx="2">
                  <c:v>1.1721953655481292</c:v>
                </c:pt>
                <c:pt idx="3" formatCode="0.000">
                  <c:v>0.85113803820237643</c:v>
                </c:pt>
                <c:pt idx="4">
                  <c:v>2.3713737056616537</c:v>
                </c:pt>
                <c:pt idx="5">
                  <c:v>1.6557699634695282</c:v>
                </c:pt>
                <c:pt idx="6">
                  <c:v>1.1721953655481292</c:v>
                </c:pt>
                <c:pt idx="7" formatCode="0.000">
                  <c:v>0.85113803820237643</c:v>
                </c:pt>
              </c:numCache>
            </c:numRef>
          </c:xVal>
          <c:yVal>
            <c:numRef>
              <c:f>('Power Sweep'!$E$12:$E$15,'Power Sweep'!$E$24:$E$27)</c:f>
              <c:numCache>
                <c:formatCode>General</c:formatCode>
                <c:ptCount val="8"/>
                <c:pt idx="0">
                  <c:v>4104</c:v>
                </c:pt>
                <c:pt idx="1">
                  <c:v>5448</c:v>
                </c:pt>
                <c:pt idx="2">
                  <c:v>7202</c:v>
                </c:pt>
                <c:pt idx="3">
                  <c:v>9953</c:v>
                </c:pt>
                <c:pt idx="4">
                  <c:v>4280</c:v>
                </c:pt>
                <c:pt idx="5">
                  <c:v>5641</c:v>
                </c:pt>
                <c:pt idx="6">
                  <c:v>7419</c:v>
                </c:pt>
                <c:pt idx="7">
                  <c:v>9781</c:v>
                </c:pt>
              </c:numCache>
            </c:numRef>
          </c:yVal>
          <c:smooth val="0"/>
          <c:extLst>
            <c:ext xmlns:c16="http://schemas.microsoft.com/office/drawing/2014/chart" uri="{C3380CC4-5D6E-409C-BE32-E72D297353CC}">
              <c16:uniqueId val="{00000003-1340-482F-B24B-1E6FEFBABC59}"/>
            </c:ext>
          </c:extLst>
        </c:ser>
        <c:dLbls>
          <c:showLegendKey val="0"/>
          <c:showVal val="0"/>
          <c:showCatName val="0"/>
          <c:showSerName val="0"/>
          <c:showPercent val="0"/>
          <c:showBubbleSize val="0"/>
        </c:dLbls>
        <c:axId val="283632256"/>
        <c:axId val="283886840"/>
      </c:scatterChart>
      <c:valAx>
        <c:axId val="283632256"/>
        <c:scaling>
          <c:logBase val="10"/>
          <c:orientation val="minMax"/>
        </c:scaling>
        <c:delete val="0"/>
        <c:axPos val="b"/>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Un-Modulated</a:t>
                </a:r>
                <a:r>
                  <a:rPr lang="en-US" b="1" baseline="0"/>
                  <a:t> Detector Optical Power (µW)</a:t>
                </a:r>
                <a:endParaRPr lang="en-US" b="1"/>
              </a:p>
            </c:rich>
          </c:tx>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886840"/>
        <c:crosses val="autoZero"/>
        <c:crossBetween val="midCat"/>
      </c:valAx>
      <c:valAx>
        <c:axId val="283886840"/>
        <c:scaling>
          <c:logBase val="10"/>
          <c:orientation val="minMax"/>
          <c:max val="20000"/>
          <c:min val="1000"/>
        </c:scaling>
        <c:delete val="0"/>
        <c:axPos val="l"/>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ARW (µdeg/rt-hr.)</a:t>
                </a:r>
              </a:p>
            </c:rich>
          </c:tx>
          <c:layout>
            <c:manualLayout>
              <c:xMode val="edge"/>
              <c:yMode val="edge"/>
              <c:x val="5.6956706378924353E-2"/>
              <c:y val="0.3627354913969087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632256"/>
        <c:crossesAt val="1.0000000000000005E-9"/>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Bias Offset vs.</a:t>
            </a:r>
            <a:r>
              <a:rPr lang="en-US" baseline="0"/>
              <a:t> Detector Power</a:t>
            </a:r>
          </a:p>
          <a:p>
            <a:pPr>
              <a:defRPr/>
            </a:pPr>
            <a:r>
              <a:rPr lang="en-US" sz="1050" b="0" i="1" baseline="0"/>
              <a:t>2hr. Bias mean rate subtracted from true IA vertical rate</a:t>
            </a:r>
            <a:endParaRPr lang="en-US" sz="1050" b="0" i="1"/>
          </a:p>
        </c:rich>
      </c:tx>
      <c:layout>
        <c:manualLayout>
          <c:xMode val="edge"/>
          <c:yMode val="edge"/>
          <c:x val="0.15064551066502369"/>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689294597720697"/>
          <c:y val="0.23106481481481481"/>
          <c:w val="0.70599055379354991"/>
          <c:h val="0.56336431904345285"/>
        </c:manualLayout>
      </c:layout>
      <c:scatterChart>
        <c:scatterStyle val="lineMarker"/>
        <c:varyColors val="0"/>
        <c:ser>
          <c:idx val="0"/>
          <c:order val="0"/>
          <c:spPr>
            <a:ln w="25400" cap="rnd">
              <a:noFill/>
              <a:round/>
            </a:ln>
            <a:effectLst/>
          </c:spPr>
          <c:marker>
            <c:symbol val="diamond"/>
            <c:size val="5"/>
            <c:spPr>
              <a:solidFill>
                <a:schemeClr val="tx1"/>
              </a:solidFill>
              <a:ln w="9525">
                <a:noFill/>
              </a:ln>
              <a:effectLst/>
            </c:spPr>
          </c:marker>
          <c:xVal>
            <c:numRef>
              <c:f>'Power Sweep'!$D$4:$D$27</c:f>
              <c:numCache>
                <c:formatCode>0.0</c:formatCode>
                <c:ptCount val="24"/>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formatCode="0.00">
                  <c:v>2.3713737056616537</c:v>
                </c:pt>
                <c:pt idx="9" formatCode="0.00">
                  <c:v>1.6557699634695282</c:v>
                </c:pt>
                <c:pt idx="10" formatCode="0.00">
                  <c:v>1.1721953655481292</c:v>
                </c:pt>
                <c:pt idx="11" formatCode="0.000">
                  <c:v>0.85113803820237643</c:v>
                </c:pt>
                <c:pt idx="12">
                  <c:v>40.457589169744253</c:v>
                </c:pt>
                <c:pt idx="13">
                  <c:v>28.353064117606845</c:v>
                </c:pt>
                <c:pt idx="14">
                  <c:v>19.95262314968879</c:v>
                </c:pt>
                <c:pt idx="15">
                  <c:v>13.995873225726179</c:v>
                </c:pt>
                <c:pt idx="16" formatCode="0.00">
                  <c:v>9.8401110576113275</c:v>
                </c:pt>
                <c:pt idx="17" formatCode="0.00">
                  <c:v>6.8706844001423208</c:v>
                </c:pt>
                <c:pt idx="18" formatCode="0.00">
                  <c:v>4.8194779762512709</c:v>
                </c:pt>
                <c:pt idx="19" formatCode="0.00">
                  <c:v>3.3962527259040791</c:v>
                </c:pt>
                <c:pt idx="20" formatCode="0.00">
                  <c:v>2.3713737056616537</c:v>
                </c:pt>
                <c:pt idx="21" formatCode="0.00">
                  <c:v>1.6557699634695282</c:v>
                </c:pt>
                <c:pt idx="22" formatCode="0.00">
                  <c:v>1.1721953655481292</c:v>
                </c:pt>
                <c:pt idx="23" formatCode="0.000">
                  <c:v>0.85113803820237643</c:v>
                </c:pt>
              </c:numCache>
            </c:numRef>
          </c:xVal>
          <c:yVal>
            <c:numRef>
              <c:f>'Power Sweep'!$G$4:$G$27</c:f>
              <c:numCache>
                <c:formatCode>General</c:formatCode>
                <c:ptCount val="24"/>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0.45139560506558496</c:v>
                </c:pt>
                <c:pt idx="9">
                  <c:v>0.46769560506558427</c:v>
                </c:pt>
                <c:pt idx="10">
                  <c:v>0.43819560506558553</c:v>
                </c:pt>
                <c:pt idx="11">
                  <c:v>0.39809560506558483</c:v>
                </c:pt>
                <c:pt idx="12">
                  <c:v>-1.7604394934414458E-2</c:v>
                </c:pt>
                <c:pt idx="13">
                  <c:v>0.13619560506558415</c:v>
                </c:pt>
                <c:pt idx="14">
                  <c:v>0.26909560506558527</c:v>
                </c:pt>
                <c:pt idx="15">
                  <c:v>0.34029560506558454</c:v>
                </c:pt>
                <c:pt idx="16">
                  <c:v>0.40159560506558556</c:v>
                </c:pt>
                <c:pt idx="17">
                  <c:v>0.43159560506558492</c:v>
                </c:pt>
                <c:pt idx="18">
                  <c:v>0.45409560506558577</c:v>
                </c:pt>
                <c:pt idx="19">
                  <c:v>0.48759560506558408</c:v>
                </c:pt>
                <c:pt idx="20">
                  <c:v>0.48539560506558566</c:v>
                </c:pt>
                <c:pt idx="21">
                  <c:v>0.47429560506558488</c:v>
                </c:pt>
                <c:pt idx="22">
                  <c:v>0.44719560506558409</c:v>
                </c:pt>
                <c:pt idx="23">
                  <c:v>0.41539560506558537</c:v>
                </c:pt>
              </c:numCache>
            </c:numRef>
          </c:yVal>
          <c:smooth val="0"/>
          <c:extLst>
            <c:ext xmlns:c16="http://schemas.microsoft.com/office/drawing/2014/chart" uri="{C3380CC4-5D6E-409C-BE32-E72D297353CC}">
              <c16:uniqueId val="{00000000-B398-4047-AE34-1650FCC502E7}"/>
            </c:ext>
          </c:extLst>
        </c:ser>
        <c:ser>
          <c:idx val="1"/>
          <c:order val="1"/>
          <c:tx>
            <c:v>high power</c:v>
          </c:tx>
          <c:spPr>
            <a:ln w="25400" cap="rnd">
              <a:noFill/>
              <a:round/>
            </a:ln>
            <a:effectLst/>
          </c:spPr>
          <c:marker>
            <c:symbol val="diamond"/>
            <c:size val="2"/>
            <c:spPr>
              <a:solidFill>
                <a:schemeClr val="tx1"/>
              </a:solidFill>
              <a:ln w="9525">
                <a:noFill/>
              </a:ln>
              <a:effectLst/>
            </c:spPr>
          </c:marker>
          <c:trendline>
            <c:spPr>
              <a:ln w="6350" cap="rnd">
                <a:solidFill>
                  <a:srgbClr val="C00000"/>
                </a:solidFill>
                <a:prstDash val="solid"/>
              </a:ln>
              <a:effectLst/>
            </c:spPr>
            <c:trendlineType val="linear"/>
            <c:dispRSqr val="0"/>
            <c:dispEq val="1"/>
            <c:trendlineLbl>
              <c:layout>
                <c:manualLayout>
                  <c:x val="-5.9155649573389105E-2"/>
                  <c:y val="-0.10954505686789151"/>
                </c:manualLayout>
              </c:layout>
              <c:numFmt formatCode="General" sourceLinked="0"/>
              <c:spPr>
                <a:solidFill>
                  <a:sysClr val="window" lastClr="FFFFFF"/>
                </a:solidFill>
                <a:ln>
                  <a:noFill/>
                </a:ln>
                <a:effectLst/>
              </c:spPr>
              <c:txPr>
                <a:bodyPr rot="0" spcFirstLastPara="1" vertOverflow="ellipsis" vert="horz" wrap="square" anchor="ctr" anchorCtr="1"/>
                <a:lstStyle/>
                <a:p>
                  <a:pPr>
                    <a:defRPr sz="1100" b="0" i="0" u="none" strike="noStrike" kern="1200" baseline="0">
                      <a:solidFill>
                        <a:srgbClr val="C00000"/>
                      </a:solidFill>
                      <a:latin typeface="+mn-lt"/>
                      <a:ea typeface="+mn-ea"/>
                      <a:cs typeface="+mn-cs"/>
                    </a:defRPr>
                  </a:pPr>
                  <a:endParaRPr lang="en-US"/>
                </a:p>
              </c:txPr>
            </c:trendlineLbl>
          </c:trendline>
          <c:xVal>
            <c:numRef>
              <c:f>('Power Sweep'!$D$4:$D$11,'Power Sweep'!$D$16:$D$23)</c:f>
              <c:numCache>
                <c:formatCode>0.0</c:formatCode>
                <c:ptCount val="16"/>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c:v>40.457589169744253</c:v>
                </c:pt>
                <c:pt idx="9">
                  <c:v>28.353064117606845</c:v>
                </c:pt>
                <c:pt idx="10">
                  <c:v>19.95262314968879</c:v>
                </c:pt>
                <c:pt idx="11">
                  <c:v>13.995873225726179</c:v>
                </c:pt>
                <c:pt idx="12" formatCode="0.00">
                  <c:v>9.8401110576113275</c:v>
                </c:pt>
                <c:pt idx="13" formatCode="0.00">
                  <c:v>6.8706844001423208</c:v>
                </c:pt>
                <c:pt idx="14" formatCode="0.00">
                  <c:v>4.8194779762512709</c:v>
                </c:pt>
                <c:pt idx="15" formatCode="0.00">
                  <c:v>3.3962527259040791</c:v>
                </c:pt>
              </c:numCache>
            </c:numRef>
          </c:xVal>
          <c:yVal>
            <c:numRef>
              <c:f>('Power Sweep'!$G$4:$G$11,'Power Sweep'!$G$16:$G$23)</c:f>
              <c:numCache>
                <c:formatCode>General</c:formatCode>
                <c:ptCount val="16"/>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-1.7604394934414458E-2</c:v>
                </c:pt>
                <c:pt idx="9">
                  <c:v>0.13619560506558415</c:v>
                </c:pt>
                <c:pt idx="10">
                  <c:v>0.26909560506558527</c:v>
                </c:pt>
                <c:pt idx="11">
                  <c:v>0.34029560506558454</c:v>
                </c:pt>
                <c:pt idx="12">
                  <c:v>0.40159560506558556</c:v>
                </c:pt>
                <c:pt idx="13">
                  <c:v>0.43159560506558492</c:v>
                </c:pt>
                <c:pt idx="14">
                  <c:v>0.45409560506558577</c:v>
                </c:pt>
                <c:pt idx="15">
                  <c:v>0.48759560506558408</c:v>
                </c:pt>
              </c:numCache>
            </c:numRef>
          </c:yVal>
          <c:smooth val="0"/>
          <c:extLst>
            <c:ext xmlns:c16="http://schemas.microsoft.com/office/drawing/2014/chart" uri="{C3380CC4-5D6E-409C-BE32-E72D297353CC}">
              <c16:uniqueId val="{00000001-B398-4047-AE34-1650FCC502E7}"/>
            </c:ext>
          </c:extLst>
        </c:ser>
        <c:ser>
          <c:idx val="2"/>
          <c:order val="2"/>
          <c:tx>
            <c:v>Low Power</c:v>
          </c:tx>
          <c:spPr>
            <a:ln w="25400" cap="rnd">
              <a:noFill/>
              <a:round/>
            </a:ln>
            <a:effectLst/>
          </c:spPr>
          <c:marker>
            <c:symbol val="diamond"/>
            <c:size val="2"/>
            <c:spPr>
              <a:solidFill>
                <a:schemeClr val="tx1"/>
              </a:solidFill>
              <a:ln w="9525">
                <a:noFill/>
              </a:ln>
              <a:effectLst/>
            </c:spPr>
          </c:marker>
          <c:trendline>
            <c:spPr>
              <a:ln w="6350" cap="rnd">
                <a:solidFill>
                  <a:schemeClr val="tx2">
                    <a:lumMod val="60000"/>
                    <a:lumOff val="40000"/>
                  </a:schemeClr>
                </a:solidFill>
                <a:prstDash val="solid"/>
              </a:ln>
              <a:effectLst/>
            </c:spPr>
            <c:trendlineType val="linear"/>
            <c:dispRSqr val="0"/>
            <c:dispEq val="1"/>
            <c:trendlineLbl>
              <c:layout>
                <c:manualLayout>
                  <c:x val="8.0891472058702132E-2"/>
                  <c:y val="0.16863188976377952"/>
                </c:manualLayout>
              </c:layout>
              <c:numFmt formatCode="General" sourceLinked="0"/>
              <c:spPr>
                <a:solidFill>
                  <a:schemeClr val="bg1"/>
                </a:solidFill>
                <a:ln>
                  <a:noFill/>
                </a:ln>
                <a:effectLst/>
              </c:spPr>
              <c:txPr>
                <a:bodyPr rot="0" spcFirstLastPara="1" vertOverflow="ellipsis" vert="horz" wrap="square" anchor="ctr" anchorCtr="1"/>
                <a:lstStyle/>
                <a:p>
                  <a:pPr>
                    <a:defRPr sz="1100" b="0" i="0" u="none" strike="noStrike" kern="1200" baseline="0">
                      <a:solidFill>
                        <a:schemeClr val="tx2">
                          <a:lumMod val="60000"/>
                          <a:lumOff val="40000"/>
                        </a:schemeClr>
                      </a:solidFill>
                      <a:latin typeface="+mn-lt"/>
                      <a:ea typeface="+mn-ea"/>
                      <a:cs typeface="+mn-cs"/>
                    </a:defRPr>
                  </a:pPr>
                  <a:endParaRPr lang="en-US"/>
                </a:p>
              </c:txPr>
            </c:trendlineLbl>
          </c:trendline>
          <c:xVal>
            <c:numRef>
              <c:f>('Power Sweep'!$D$12:$D$15,'Power Sweep'!$D$24:$D$27)</c:f>
              <c:numCache>
                <c:formatCode>0.00</c:formatCode>
                <c:ptCount val="8"/>
                <c:pt idx="0">
                  <c:v>2.3713737056616537</c:v>
                </c:pt>
                <c:pt idx="1">
                  <c:v>1.6557699634695282</c:v>
                </c:pt>
                <c:pt idx="2">
                  <c:v>1.1721953655481292</c:v>
                </c:pt>
                <c:pt idx="3" formatCode="0.000">
                  <c:v>0.85113803820237643</c:v>
                </c:pt>
                <c:pt idx="4">
                  <c:v>2.3713737056616537</c:v>
                </c:pt>
                <c:pt idx="5">
                  <c:v>1.6557699634695282</c:v>
                </c:pt>
                <c:pt idx="6">
                  <c:v>1.1721953655481292</c:v>
                </c:pt>
                <c:pt idx="7" formatCode="0.000">
                  <c:v>0.85113803820237643</c:v>
                </c:pt>
              </c:numCache>
            </c:numRef>
          </c:xVal>
          <c:yVal>
            <c:numRef>
              <c:f>('Power Sweep'!$G$12:$G$15,'Power Sweep'!$G$24:$G$27)</c:f>
              <c:numCache>
                <c:formatCode>General</c:formatCode>
                <c:ptCount val="8"/>
                <c:pt idx="0">
                  <c:v>0.45139560506558496</c:v>
                </c:pt>
                <c:pt idx="1">
                  <c:v>0.46769560506558427</c:v>
                </c:pt>
                <c:pt idx="2">
                  <c:v>0.43819560506558553</c:v>
                </c:pt>
                <c:pt idx="3">
                  <c:v>0.39809560506558483</c:v>
                </c:pt>
                <c:pt idx="4">
                  <c:v>0.48539560506558566</c:v>
                </c:pt>
                <c:pt idx="5">
                  <c:v>0.47429560506558488</c:v>
                </c:pt>
                <c:pt idx="6">
                  <c:v>0.44719560506558409</c:v>
                </c:pt>
                <c:pt idx="7">
                  <c:v>0.41539560506558537</c:v>
                </c:pt>
              </c:numCache>
            </c:numRef>
          </c:yVal>
          <c:smooth val="0"/>
          <c:extLst>
            <c:ext xmlns:c16="http://schemas.microsoft.com/office/drawing/2014/chart" uri="{C3380CC4-5D6E-409C-BE32-E72D297353CC}">
              <c16:uniqueId val="{00000002-B398-4047-AE34-1650FCC502E7}"/>
            </c:ext>
          </c:extLst>
        </c:ser>
        <c:dLbls>
          <c:showLegendKey val="0"/>
          <c:showVal val="0"/>
          <c:showCatName val="0"/>
          <c:showSerName val="0"/>
          <c:showPercent val="0"/>
          <c:showBubbleSize val="0"/>
        </c:dLbls>
        <c:axId val="283887624"/>
        <c:axId val="283888016"/>
      </c:scatterChart>
      <c:valAx>
        <c:axId val="283887624"/>
        <c:scaling>
          <c:logBase val="10"/>
          <c:orientation val="minMax"/>
        </c:scaling>
        <c:delete val="0"/>
        <c:axPos val="b"/>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Un-Modulated</a:t>
                </a:r>
                <a:r>
                  <a:rPr lang="en-US" b="1" baseline="0"/>
                  <a:t> Detector Optical Power (µW)</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888016"/>
        <c:crossesAt val="-1000000000"/>
        <c:crossBetween val="midCat"/>
      </c:valAx>
      <c:valAx>
        <c:axId val="283888016"/>
        <c:scaling>
          <c:orientation val="minMax"/>
        </c:scaling>
        <c:delete val="0"/>
        <c:axPos val="l"/>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Bias Offset (deg/hr)</a:t>
                </a:r>
              </a:p>
            </c:rich>
          </c:tx>
          <c:layout>
            <c:manualLayout>
              <c:xMode val="edge"/>
              <c:yMode val="edge"/>
              <c:x val="4.7483647162607417E-2"/>
              <c:y val="0.321068824730242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887624"/>
        <c:crossesAt val="1.0000000000000005E-9"/>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Bias Offset vs.</a:t>
            </a:r>
            <a:r>
              <a:rPr lang="en-US" baseline="0"/>
              <a:t> Detector Power</a:t>
            </a:r>
          </a:p>
          <a:p>
            <a:pPr>
              <a:defRPr/>
            </a:pPr>
            <a:r>
              <a:rPr lang="en-US" sz="1050" b="0" i="1" baseline="0"/>
              <a:t>2hr. Bias mean rate subtracted from true IA vertical rate</a:t>
            </a:r>
            <a:endParaRPr lang="en-US" sz="1050" b="0" i="1"/>
          </a:p>
        </c:rich>
      </c:tx>
      <c:layout>
        <c:manualLayout>
          <c:xMode val="edge"/>
          <c:yMode val="edge"/>
          <c:x val="0.15064551066502369"/>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689294597720697"/>
          <c:y val="0.23106481481481481"/>
          <c:w val="0.70599055379354991"/>
          <c:h val="0.56336431904345285"/>
        </c:manualLayout>
      </c:layout>
      <c:scatterChart>
        <c:scatterStyle val="lineMarker"/>
        <c:varyColors val="0"/>
        <c:ser>
          <c:idx val="0"/>
          <c:order val="0"/>
          <c:spPr>
            <a:ln w="25400" cap="rnd">
              <a:noFill/>
              <a:round/>
            </a:ln>
            <a:effectLst/>
          </c:spPr>
          <c:marker>
            <c:symbol val="diamond"/>
            <c:size val="5"/>
            <c:spPr>
              <a:solidFill>
                <a:schemeClr val="tx1"/>
              </a:solidFill>
              <a:ln w="9525">
                <a:noFill/>
              </a:ln>
              <a:effectLst/>
            </c:spPr>
          </c:marker>
          <c:xVal>
            <c:numRef>
              <c:f>'Power Sweep'!$D$4:$D$27</c:f>
              <c:numCache>
                <c:formatCode>0.0</c:formatCode>
                <c:ptCount val="24"/>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formatCode="0.00">
                  <c:v>2.3713737056616537</c:v>
                </c:pt>
                <c:pt idx="9" formatCode="0.00">
                  <c:v>1.6557699634695282</c:v>
                </c:pt>
                <c:pt idx="10" formatCode="0.00">
                  <c:v>1.1721953655481292</c:v>
                </c:pt>
                <c:pt idx="11" formatCode="0.000">
                  <c:v>0.85113803820237643</c:v>
                </c:pt>
                <c:pt idx="12">
                  <c:v>40.457589169744253</c:v>
                </c:pt>
                <c:pt idx="13">
                  <c:v>28.353064117606845</c:v>
                </c:pt>
                <c:pt idx="14">
                  <c:v>19.95262314968879</c:v>
                </c:pt>
                <c:pt idx="15">
                  <c:v>13.995873225726179</c:v>
                </c:pt>
                <c:pt idx="16" formatCode="0.00">
                  <c:v>9.8401110576113275</c:v>
                </c:pt>
                <c:pt idx="17" formatCode="0.00">
                  <c:v>6.8706844001423208</c:v>
                </c:pt>
                <c:pt idx="18" formatCode="0.00">
                  <c:v>4.8194779762512709</c:v>
                </c:pt>
                <c:pt idx="19" formatCode="0.00">
                  <c:v>3.3962527259040791</c:v>
                </c:pt>
                <c:pt idx="20" formatCode="0.00">
                  <c:v>2.3713737056616537</c:v>
                </c:pt>
                <c:pt idx="21" formatCode="0.00">
                  <c:v>1.6557699634695282</c:v>
                </c:pt>
                <c:pt idx="22" formatCode="0.00">
                  <c:v>1.1721953655481292</c:v>
                </c:pt>
                <c:pt idx="23" formatCode="0.000">
                  <c:v>0.85113803820237643</c:v>
                </c:pt>
              </c:numCache>
            </c:numRef>
          </c:xVal>
          <c:yVal>
            <c:numRef>
              <c:f>'Power Sweep'!$G$4:$G$27</c:f>
              <c:numCache>
                <c:formatCode>General</c:formatCode>
                <c:ptCount val="24"/>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0.45139560506558496</c:v>
                </c:pt>
                <c:pt idx="9">
                  <c:v>0.46769560506558427</c:v>
                </c:pt>
                <c:pt idx="10">
                  <c:v>0.43819560506558553</c:v>
                </c:pt>
                <c:pt idx="11">
                  <c:v>0.39809560506558483</c:v>
                </c:pt>
                <c:pt idx="12">
                  <c:v>-1.7604394934414458E-2</c:v>
                </c:pt>
                <c:pt idx="13">
                  <c:v>0.13619560506558415</c:v>
                </c:pt>
                <c:pt idx="14">
                  <c:v>0.26909560506558527</c:v>
                </c:pt>
                <c:pt idx="15">
                  <c:v>0.34029560506558454</c:v>
                </c:pt>
                <c:pt idx="16">
                  <c:v>0.40159560506558556</c:v>
                </c:pt>
                <c:pt idx="17">
                  <c:v>0.43159560506558492</c:v>
                </c:pt>
                <c:pt idx="18">
                  <c:v>0.45409560506558577</c:v>
                </c:pt>
                <c:pt idx="19">
                  <c:v>0.48759560506558408</c:v>
                </c:pt>
                <c:pt idx="20">
                  <c:v>0.48539560506558566</c:v>
                </c:pt>
                <c:pt idx="21">
                  <c:v>0.47429560506558488</c:v>
                </c:pt>
                <c:pt idx="22">
                  <c:v>0.44719560506558409</c:v>
                </c:pt>
                <c:pt idx="23">
                  <c:v>0.41539560506558537</c:v>
                </c:pt>
              </c:numCache>
            </c:numRef>
          </c:yVal>
          <c:smooth val="0"/>
          <c:extLst>
            <c:ext xmlns:c16="http://schemas.microsoft.com/office/drawing/2014/chart" uri="{C3380CC4-5D6E-409C-BE32-E72D297353CC}">
              <c16:uniqueId val="{00000000-0B05-4B0E-8E68-A95E744A5E23}"/>
            </c:ext>
          </c:extLst>
        </c:ser>
        <c:ser>
          <c:idx val="1"/>
          <c:order val="1"/>
          <c:tx>
            <c:v>high power</c:v>
          </c:tx>
          <c:spPr>
            <a:ln w="25400" cap="rnd">
              <a:noFill/>
              <a:round/>
            </a:ln>
            <a:effectLst/>
          </c:spPr>
          <c:marker>
            <c:symbol val="diamond"/>
            <c:size val="2"/>
            <c:spPr>
              <a:solidFill>
                <a:schemeClr val="tx1"/>
              </a:solidFill>
              <a:ln w="9525">
                <a:noFill/>
              </a:ln>
              <a:effectLst/>
            </c:spPr>
          </c:marker>
          <c:xVal>
            <c:numRef>
              <c:f>('Power Sweep'!$D$4:$D$11,'Power Sweep'!$D$16:$D$23)</c:f>
              <c:numCache>
                <c:formatCode>0.0</c:formatCode>
                <c:ptCount val="16"/>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c:v>40.457589169744253</c:v>
                </c:pt>
                <c:pt idx="9">
                  <c:v>28.353064117606845</c:v>
                </c:pt>
                <c:pt idx="10">
                  <c:v>19.95262314968879</c:v>
                </c:pt>
                <c:pt idx="11">
                  <c:v>13.995873225726179</c:v>
                </c:pt>
                <c:pt idx="12" formatCode="0.00">
                  <c:v>9.8401110576113275</c:v>
                </c:pt>
                <c:pt idx="13" formatCode="0.00">
                  <c:v>6.8706844001423208</c:v>
                </c:pt>
                <c:pt idx="14" formatCode="0.00">
                  <c:v>4.8194779762512709</c:v>
                </c:pt>
                <c:pt idx="15" formatCode="0.00">
                  <c:v>3.3962527259040791</c:v>
                </c:pt>
              </c:numCache>
            </c:numRef>
          </c:xVal>
          <c:yVal>
            <c:numRef>
              <c:f>('Power Sweep'!$G$4:$G$11,'Power Sweep'!$G$16:$G$23)</c:f>
              <c:numCache>
                <c:formatCode>General</c:formatCode>
                <c:ptCount val="16"/>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-1.7604394934414458E-2</c:v>
                </c:pt>
                <c:pt idx="9">
                  <c:v>0.13619560506558415</c:v>
                </c:pt>
                <c:pt idx="10">
                  <c:v>0.26909560506558527</c:v>
                </c:pt>
                <c:pt idx="11">
                  <c:v>0.34029560506558454</c:v>
                </c:pt>
                <c:pt idx="12">
                  <c:v>0.40159560506558556</c:v>
                </c:pt>
                <c:pt idx="13">
                  <c:v>0.43159560506558492</c:v>
                </c:pt>
                <c:pt idx="14">
                  <c:v>0.45409560506558577</c:v>
                </c:pt>
                <c:pt idx="15">
                  <c:v>0.48759560506558408</c:v>
                </c:pt>
              </c:numCache>
            </c:numRef>
          </c:yVal>
          <c:smooth val="0"/>
          <c:extLst>
            <c:ext xmlns:c16="http://schemas.microsoft.com/office/drawing/2014/chart" uri="{C3380CC4-5D6E-409C-BE32-E72D297353CC}">
              <c16:uniqueId val="{00000001-0B05-4B0E-8E68-A95E744A5E23}"/>
            </c:ext>
          </c:extLst>
        </c:ser>
        <c:ser>
          <c:idx val="2"/>
          <c:order val="2"/>
          <c:tx>
            <c:v>Low Power</c:v>
          </c:tx>
          <c:spPr>
            <a:ln w="25400" cap="rnd">
              <a:noFill/>
              <a:round/>
            </a:ln>
            <a:effectLst/>
          </c:spPr>
          <c:marker>
            <c:symbol val="diamond"/>
            <c:size val="2"/>
            <c:spPr>
              <a:solidFill>
                <a:schemeClr val="tx1"/>
              </a:solidFill>
              <a:ln w="9525">
                <a:noFill/>
              </a:ln>
              <a:effectLst/>
            </c:spPr>
          </c:marker>
          <c:xVal>
            <c:numRef>
              <c:f>('Power Sweep'!$D$12:$D$15,'Power Sweep'!$D$24:$D$27)</c:f>
              <c:numCache>
                <c:formatCode>0.00</c:formatCode>
                <c:ptCount val="8"/>
                <c:pt idx="0">
                  <c:v>2.3713737056616537</c:v>
                </c:pt>
                <c:pt idx="1">
                  <c:v>1.6557699634695282</c:v>
                </c:pt>
                <c:pt idx="2">
                  <c:v>1.1721953655481292</c:v>
                </c:pt>
                <c:pt idx="3" formatCode="0.000">
                  <c:v>0.85113803820237643</c:v>
                </c:pt>
                <c:pt idx="4">
                  <c:v>2.3713737056616537</c:v>
                </c:pt>
                <c:pt idx="5">
                  <c:v>1.6557699634695282</c:v>
                </c:pt>
                <c:pt idx="6">
                  <c:v>1.1721953655481292</c:v>
                </c:pt>
                <c:pt idx="7" formatCode="0.000">
                  <c:v>0.85113803820237643</c:v>
                </c:pt>
              </c:numCache>
            </c:numRef>
          </c:xVal>
          <c:yVal>
            <c:numRef>
              <c:f>('Power Sweep'!$G$12:$G$15,'Power Sweep'!$G$24:$G$27)</c:f>
              <c:numCache>
                <c:formatCode>General</c:formatCode>
                <c:ptCount val="8"/>
                <c:pt idx="0">
                  <c:v>0.45139560506558496</c:v>
                </c:pt>
                <c:pt idx="1">
                  <c:v>0.46769560506558427</c:v>
                </c:pt>
                <c:pt idx="2">
                  <c:v>0.43819560506558553</c:v>
                </c:pt>
                <c:pt idx="3">
                  <c:v>0.39809560506558483</c:v>
                </c:pt>
                <c:pt idx="4">
                  <c:v>0.48539560506558566</c:v>
                </c:pt>
                <c:pt idx="5">
                  <c:v>0.47429560506558488</c:v>
                </c:pt>
                <c:pt idx="6">
                  <c:v>0.44719560506558409</c:v>
                </c:pt>
                <c:pt idx="7">
                  <c:v>0.41539560506558537</c:v>
                </c:pt>
              </c:numCache>
            </c:numRef>
          </c:yVal>
          <c:smooth val="0"/>
          <c:extLst>
            <c:ext xmlns:c16="http://schemas.microsoft.com/office/drawing/2014/chart" uri="{C3380CC4-5D6E-409C-BE32-E72D297353CC}">
              <c16:uniqueId val="{00000002-0B05-4B0E-8E68-A95E744A5E23}"/>
            </c:ext>
          </c:extLst>
        </c:ser>
        <c:dLbls>
          <c:showLegendKey val="0"/>
          <c:showVal val="0"/>
          <c:showCatName val="0"/>
          <c:showSerName val="0"/>
          <c:showPercent val="0"/>
          <c:showBubbleSize val="0"/>
        </c:dLbls>
        <c:axId val="306649752"/>
        <c:axId val="306648184"/>
      </c:scatterChart>
      <c:valAx>
        <c:axId val="306649752"/>
        <c:scaling>
          <c:logBase val="10"/>
          <c:orientation val="minMax"/>
        </c:scaling>
        <c:delete val="0"/>
        <c:axPos val="b"/>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Un-Modulated</a:t>
                </a:r>
                <a:r>
                  <a:rPr lang="en-US" b="1" baseline="0"/>
                  <a:t> Detector Optical Power (µW)</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648184"/>
        <c:crossesAt val="-1000000000"/>
        <c:crossBetween val="midCat"/>
      </c:valAx>
      <c:valAx>
        <c:axId val="306648184"/>
        <c:scaling>
          <c:orientation val="minMax"/>
        </c:scaling>
        <c:delete val="0"/>
        <c:axPos val="l"/>
        <c:majorGridlines>
          <c:spPr>
            <a:ln w="9525"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Bias Offset (deg/hr)</a:t>
                </a:r>
              </a:p>
            </c:rich>
          </c:tx>
          <c:layout>
            <c:manualLayout>
              <c:xMode val="edge"/>
              <c:yMode val="edge"/>
              <c:x val="4.7483647162607417E-2"/>
              <c:y val="0.321068824730242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6649752"/>
        <c:crossesAt val="1.0000000000000005E-9"/>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Bias Offset vs.</a:t>
            </a:r>
            <a:r>
              <a:rPr lang="en-US" baseline="0"/>
              <a:t> Detector Power</a:t>
            </a:r>
          </a:p>
          <a:p>
            <a:pPr>
              <a:defRPr/>
            </a:pPr>
            <a:r>
              <a:rPr lang="en-US" sz="1050" b="0" i="1" baseline="0"/>
              <a:t>2hr. Bias mean rate subtracted from true IA vertical rate</a:t>
            </a:r>
            <a:endParaRPr lang="en-US" sz="1050" b="0" i="1"/>
          </a:p>
        </c:rich>
      </c:tx>
      <c:layout>
        <c:manualLayout>
          <c:xMode val="edge"/>
          <c:yMode val="edge"/>
          <c:x val="0.27512889035371929"/>
          <c:y val="7.95729218951805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53045239928343"/>
          <c:y val="0.23106481481481481"/>
          <c:w val="0.79935313988893597"/>
          <c:h val="0.56336431904345285"/>
        </c:manualLayout>
      </c:layout>
      <c:scatterChart>
        <c:scatterStyle val="lineMarker"/>
        <c:varyColors val="0"/>
        <c:ser>
          <c:idx val="0"/>
          <c:order val="0"/>
          <c:spPr>
            <a:ln w="25400" cap="rnd">
              <a:noFill/>
              <a:round/>
            </a:ln>
            <a:effectLst/>
          </c:spPr>
          <c:marker>
            <c:symbol val="diamond"/>
            <c:size val="5"/>
            <c:spPr>
              <a:solidFill>
                <a:schemeClr val="tx1"/>
              </a:solidFill>
              <a:ln w="9525">
                <a:noFill/>
              </a:ln>
              <a:effectLst/>
            </c:spPr>
          </c:marker>
          <c:xVal>
            <c:numRef>
              <c:f>'Power Sweep'!$D$4:$D$27</c:f>
              <c:numCache>
                <c:formatCode>0.0</c:formatCode>
                <c:ptCount val="24"/>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formatCode="0.00">
                  <c:v>2.3713737056616537</c:v>
                </c:pt>
                <c:pt idx="9" formatCode="0.00">
                  <c:v>1.6557699634695282</c:v>
                </c:pt>
                <c:pt idx="10" formatCode="0.00">
                  <c:v>1.1721953655481292</c:v>
                </c:pt>
                <c:pt idx="11" formatCode="0.000">
                  <c:v>0.85113803820237643</c:v>
                </c:pt>
                <c:pt idx="12">
                  <c:v>40.457589169744253</c:v>
                </c:pt>
                <c:pt idx="13">
                  <c:v>28.353064117606845</c:v>
                </c:pt>
                <c:pt idx="14">
                  <c:v>19.95262314968879</c:v>
                </c:pt>
                <c:pt idx="15">
                  <c:v>13.995873225726179</c:v>
                </c:pt>
                <c:pt idx="16" formatCode="0.00">
                  <c:v>9.8401110576113275</c:v>
                </c:pt>
                <c:pt idx="17" formatCode="0.00">
                  <c:v>6.8706844001423208</c:v>
                </c:pt>
                <c:pt idx="18" formatCode="0.00">
                  <c:v>4.8194779762512709</c:v>
                </c:pt>
                <c:pt idx="19" formatCode="0.00">
                  <c:v>3.3962527259040791</c:v>
                </c:pt>
                <c:pt idx="20" formatCode="0.00">
                  <c:v>2.3713737056616537</c:v>
                </c:pt>
                <c:pt idx="21" formatCode="0.00">
                  <c:v>1.6557699634695282</c:v>
                </c:pt>
                <c:pt idx="22" formatCode="0.00">
                  <c:v>1.1721953655481292</c:v>
                </c:pt>
                <c:pt idx="23" formatCode="0.000">
                  <c:v>0.85113803820237643</c:v>
                </c:pt>
              </c:numCache>
            </c:numRef>
          </c:xVal>
          <c:yVal>
            <c:numRef>
              <c:f>'Power Sweep'!$G$4:$G$27</c:f>
              <c:numCache>
                <c:formatCode>General</c:formatCode>
                <c:ptCount val="24"/>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0.45139560506558496</c:v>
                </c:pt>
                <c:pt idx="9">
                  <c:v>0.46769560506558427</c:v>
                </c:pt>
                <c:pt idx="10">
                  <c:v>0.43819560506558553</c:v>
                </c:pt>
                <c:pt idx="11">
                  <c:v>0.39809560506558483</c:v>
                </c:pt>
                <c:pt idx="12">
                  <c:v>-1.7604394934414458E-2</c:v>
                </c:pt>
                <c:pt idx="13">
                  <c:v>0.13619560506558415</c:v>
                </c:pt>
                <c:pt idx="14">
                  <c:v>0.26909560506558527</c:v>
                </c:pt>
                <c:pt idx="15">
                  <c:v>0.34029560506558454</c:v>
                </c:pt>
                <c:pt idx="16">
                  <c:v>0.40159560506558556</c:v>
                </c:pt>
                <c:pt idx="17">
                  <c:v>0.43159560506558492</c:v>
                </c:pt>
                <c:pt idx="18">
                  <c:v>0.45409560506558577</c:v>
                </c:pt>
                <c:pt idx="19">
                  <c:v>0.48759560506558408</c:v>
                </c:pt>
                <c:pt idx="20">
                  <c:v>0.48539560506558566</c:v>
                </c:pt>
                <c:pt idx="21">
                  <c:v>0.47429560506558488</c:v>
                </c:pt>
                <c:pt idx="22">
                  <c:v>0.44719560506558409</c:v>
                </c:pt>
                <c:pt idx="23">
                  <c:v>0.41539560506558537</c:v>
                </c:pt>
              </c:numCache>
            </c:numRef>
          </c:yVal>
          <c:smooth val="0"/>
          <c:extLst>
            <c:ext xmlns:c16="http://schemas.microsoft.com/office/drawing/2014/chart" uri="{C3380CC4-5D6E-409C-BE32-E72D297353CC}">
              <c16:uniqueId val="{00000000-CD75-4048-A558-9D8513F70556}"/>
            </c:ext>
          </c:extLst>
        </c:ser>
        <c:ser>
          <c:idx val="1"/>
          <c:order val="1"/>
          <c:tx>
            <c:v>high power</c:v>
          </c:tx>
          <c:spPr>
            <a:ln w="25400" cap="rnd">
              <a:noFill/>
              <a:round/>
            </a:ln>
            <a:effectLst/>
          </c:spPr>
          <c:marker>
            <c:symbol val="diamond"/>
            <c:size val="2"/>
            <c:spPr>
              <a:solidFill>
                <a:schemeClr val="tx1"/>
              </a:solidFill>
              <a:ln w="9525">
                <a:noFill/>
              </a:ln>
              <a:effectLst/>
            </c:spPr>
          </c:marker>
          <c:trendline>
            <c:spPr>
              <a:ln w="6350" cap="rnd" cmpd="sng">
                <a:solidFill>
                  <a:schemeClr val="accent2">
                    <a:lumMod val="75000"/>
                  </a:schemeClr>
                </a:solidFill>
                <a:prstDash val="solid"/>
              </a:ln>
              <a:effectLst/>
            </c:spPr>
            <c:trendlineType val="linear"/>
            <c:dispRSqr val="0"/>
            <c:dispEq val="1"/>
            <c:trendlineLbl>
              <c:layout>
                <c:manualLayout>
                  <c:x val="-0.14534335305902377"/>
                  <c:y val="1.8627334100192957E-3"/>
                </c:manualLayout>
              </c:layout>
              <c:numFmt formatCode="General" sourceLinked="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accent2">
                          <a:lumMod val="75000"/>
                        </a:schemeClr>
                      </a:solidFill>
                      <a:latin typeface="+mn-lt"/>
                      <a:ea typeface="+mn-ea"/>
                      <a:cs typeface="+mn-cs"/>
                    </a:defRPr>
                  </a:pPr>
                  <a:endParaRPr lang="en-US"/>
                </a:p>
              </c:txPr>
            </c:trendlineLbl>
          </c:trendline>
          <c:xVal>
            <c:numRef>
              <c:f>('Power Sweep'!$D$4:$D$11,'Power Sweep'!$D$16:$D$23)</c:f>
              <c:numCache>
                <c:formatCode>0.0</c:formatCode>
                <c:ptCount val="16"/>
                <c:pt idx="0">
                  <c:v>40.457589169744253</c:v>
                </c:pt>
                <c:pt idx="1">
                  <c:v>28.353064117606845</c:v>
                </c:pt>
                <c:pt idx="2">
                  <c:v>19.95262314968879</c:v>
                </c:pt>
                <c:pt idx="3">
                  <c:v>13.995873225726179</c:v>
                </c:pt>
                <c:pt idx="4" formatCode="0.00">
                  <c:v>9.8401110576113275</c:v>
                </c:pt>
                <c:pt idx="5" formatCode="0.00">
                  <c:v>6.8706844001423208</c:v>
                </c:pt>
                <c:pt idx="6" formatCode="0.00">
                  <c:v>4.8194779762512709</c:v>
                </c:pt>
                <c:pt idx="7" formatCode="0.00">
                  <c:v>3.3962527259040791</c:v>
                </c:pt>
                <c:pt idx="8">
                  <c:v>40.457589169744253</c:v>
                </c:pt>
                <c:pt idx="9">
                  <c:v>28.353064117606845</c:v>
                </c:pt>
                <c:pt idx="10">
                  <c:v>19.95262314968879</c:v>
                </c:pt>
                <c:pt idx="11">
                  <c:v>13.995873225726179</c:v>
                </c:pt>
                <c:pt idx="12" formatCode="0.00">
                  <c:v>9.8401110576113275</c:v>
                </c:pt>
                <c:pt idx="13" formatCode="0.00">
                  <c:v>6.8706844001423208</c:v>
                </c:pt>
                <c:pt idx="14" formatCode="0.00">
                  <c:v>4.8194779762512709</c:v>
                </c:pt>
                <c:pt idx="15" formatCode="0.00">
                  <c:v>3.3962527259040791</c:v>
                </c:pt>
              </c:numCache>
            </c:numRef>
          </c:xVal>
          <c:yVal>
            <c:numRef>
              <c:f>('Power Sweep'!$G$4:$G$11,'Power Sweep'!$G$16:$G$23)</c:f>
              <c:numCache>
                <c:formatCode>General</c:formatCode>
                <c:ptCount val="16"/>
                <c:pt idx="0">
                  <c:v>-5.0904394934415009E-2</c:v>
                </c:pt>
                <c:pt idx="1">
                  <c:v>0.10399560506558458</c:v>
                </c:pt>
                <c:pt idx="2">
                  <c:v>0.23959560506558475</c:v>
                </c:pt>
                <c:pt idx="3">
                  <c:v>0.3375956050655855</c:v>
                </c:pt>
                <c:pt idx="4">
                  <c:v>0.39779560506558553</c:v>
                </c:pt>
                <c:pt idx="5">
                  <c:v>0.42359560506558402</c:v>
                </c:pt>
                <c:pt idx="6">
                  <c:v>0.45339560506558563</c:v>
                </c:pt>
                <c:pt idx="7">
                  <c:v>0.47069560506558439</c:v>
                </c:pt>
                <c:pt idx="8">
                  <c:v>-1.7604394934414458E-2</c:v>
                </c:pt>
                <c:pt idx="9">
                  <c:v>0.13619560506558415</c:v>
                </c:pt>
                <c:pt idx="10">
                  <c:v>0.26909560506558527</c:v>
                </c:pt>
                <c:pt idx="11">
                  <c:v>0.34029560506558454</c:v>
                </c:pt>
                <c:pt idx="12">
                  <c:v>0.40159560506558556</c:v>
                </c:pt>
                <c:pt idx="13">
                  <c:v>0.43159560506558492</c:v>
                </c:pt>
                <c:pt idx="14">
                  <c:v>0.45409560506558577</c:v>
                </c:pt>
                <c:pt idx="15">
                  <c:v>0.48759560506558408</c:v>
                </c:pt>
              </c:numCache>
            </c:numRef>
          </c:yVal>
          <c:smooth val="0"/>
          <c:extLst>
            <c:ext xmlns:c16="http://schemas.microsoft.com/office/drawing/2014/chart" uri="{C3380CC4-5D6E-409C-BE32-E72D297353CC}">
              <c16:uniqueId val="{00000001-CD75-4048-A558-9D8513F70556}"/>
            </c:ext>
          </c:extLst>
        </c:ser>
        <c:ser>
          <c:idx val="2"/>
          <c:order val="2"/>
          <c:tx>
            <c:v>Low Power</c:v>
          </c:tx>
          <c:spPr>
            <a:ln w="25400" cap="rnd">
              <a:noFill/>
              <a:round/>
            </a:ln>
            <a:effectLst/>
          </c:spPr>
          <c:marker>
            <c:symbol val="diamond"/>
            <c:size val="2"/>
            <c:spPr>
              <a:solidFill>
                <a:schemeClr val="tx1"/>
              </a:solidFill>
              <a:ln w="9525">
                <a:noFill/>
              </a:ln>
              <a:effectLst/>
            </c:spPr>
          </c:marker>
          <c:xVal>
            <c:numRef>
              <c:f>('Power Sweep'!$D$12:$D$15,'Power Sweep'!$D$24:$D$27)</c:f>
              <c:numCache>
                <c:formatCode>0.00</c:formatCode>
                <c:ptCount val="8"/>
                <c:pt idx="0">
                  <c:v>2.3713737056616537</c:v>
                </c:pt>
                <c:pt idx="1">
                  <c:v>1.6557699634695282</c:v>
                </c:pt>
                <c:pt idx="2">
                  <c:v>1.1721953655481292</c:v>
                </c:pt>
                <c:pt idx="3" formatCode="0.000">
                  <c:v>0.85113803820237643</c:v>
                </c:pt>
                <c:pt idx="4">
                  <c:v>2.3713737056616537</c:v>
                </c:pt>
                <c:pt idx="5">
                  <c:v>1.6557699634695282</c:v>
                </c:pt>
                <c:pt idx="6">
                  <c:v>1.1721953655481292</c:v>
                </c:pt>
                <c:pt idx="7" formatCode="0.000">
                  <c:v>0.85113803820237643</c:v>
                </c:pt>
              </c:numCache>
            </c:numRef>
          </c:xVal>
          <c:yVal>
            <c:numRef>
              <c:f>('Power Sweep'!$G$12:$G$15,'Power Sweep'!$G$24:$G$27)</c:f>
              <c:numCache>
                <c:formatCode>General</c:formatCode>
                <c:ptCount val="8"/>
                <c:pt idx="0">
                  <c:v>0.45139560506558496</c:v>
                </c:pt>
                <c:pt idx="1">
                  <c:v>0.46769560506558427</c:v>
                </c:pt>
                <c:pt idx="2">
                  <c:v>0.43819560506558553</c:v>
                </c:pt>
                <c:pt idx="3">
                  <c:v>0.39809560506558483</c:v>
                </c:pt>
                <c:pt idx="4">
                  <c:v>0.48539560506558566</c:v>
                </c:pt>
                <c:pt idx="5">
                  <c:v>0.47429560506558488</c:v>
                </c:pt>
                <c:pt idx="6">
                  <c:v>0.44719560506558409</c:v>
                </c:pt>
                <c:pt idx="7">
                  <c:v>0.41539560506558537</c:v>
                </c:pt>
              </c:numCache>
            </c:numRef>
          </c:yVal>
          <c:smooth val="0"/>
          <c:extLst>
            <c:ext xmlns:c16="http://schemas.microsoft.com/office/drawing/2014/chart" uri="{C3380CC4-5D6E-409C-BE32-E72D297353CC}">
              <c16:uniqueId val="{00000002-CD75-4048-A558-9D8513F70556}"/>
            </c:ext>
          </c:extLst>
        </c:ser>
        <c:dLbls>
          <c:showLegendKey val="0"/>
          <c:showVal val="0"/>
          <c:showCatName val="0"/>
          <c:showSerName val="0"/>
          <c:showPercent val="0"/>
          <c:showBubbleSize val="0"/>
        </c:dLbls>
        <c:axId val="307612168"/>
        <c:axId val="307612560"/>
      </c:scatterChart>
      <c:valAx>
        <c:axId val="307612168"/>
        <c:scaling>
          <c:orientation val="minMax"/>
        </c:scaling>
        <c:delete val="0"/>
        <c:axPos val="b"/>
        <c:majorGridlines>
          <c:spPr>
            <a:ln w="9525" cap="flat" cmpd="sng" algn="ctr">
              <a:solidFill>
                <a:schemeClr val="tx1"/>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Un-Modulated</a:t>
                </a:r>
                <a:r>
                  <a:rPr lang="en-US" b="1" baseline="0"/>
                  <a:t> Detector Optical Power (µW)</a:t>
                </a:r>
                <a:endParaRPr lang="en-US" b="1"/>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612560"/>
        <c:crossesAt val="-1000000000"/>
        <c:crossBetween val="midCat"/>
      </c:valAx>
      <c:valAx>
        <c:axId val="307612560"/>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Bias Offset (deg/hr)</a:t>
                </a:r>
              </a:p>
            </c:rich>
          </c:tx>
          <c:layout>
            <c:manualLayout>
              <c:xMode val="edge"/>
              <c:yMode val="edge"/>
              <c:x val="4.7483647162607417E-2"/>
              <c:y val="0.321068824730242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solidFill>
            <a:schemeClr val="bg1"/>
          </a:solid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7612168"/>
        <c:crossesAt val="1.0000000000000005E-9"/>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3</xdr:col>
      <xdr:colOff>209550</xdr:colOff>
      <xdr:row>8</xdr:row>
      <xdr:rowOff>52387</xdr:rowOff>
    </xdr:from>
    <xdr:ext cx="490711" cy="34996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295650" y="2576512"/>
              <a:ext cx="490711"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GB" sz="1100" b="0" i="1">
                            <a:latin typeface="Cambria Math" panose="02040503050406030204" pitchFamily="18" charset="0"/>
                          </a:rPr>
                        </m:ctrlPr>
                      </m:fPr>
                      <m:num>
                        <m:r>
                          <a:rPr lang="en-GB" sz="1100" b="0" i="1">
                            <a:solidFill>
                              <a:schemeClr val="tx1"/>
                            </a:solidFill>
                            <a:effectLst/>
                            <a:latin typeface="Cambria Math" panose="02040503050406030204" pitchFamily="18" charset="0"/>
                            <a:ea typeface="+mn-ea"/>
                            <a:cs typeface="+mn-cs"/>
                          </a:rPr>
                          <m:t>𝑑𝑒𝑔</m:t>
                        </m:r>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h𝑟</m:t>
                        </m:r>
                      </m:num>
                      <m:den>
                        <m:r>
                          <a:rPr lang="en-GB" sz="1100" b="0" i="1">
                            <a:latin typeface="Cambria Math" panose="02040503050406030204" pitchFamily="18" charset="0"/>
                          </a:rPr>
                          <m:t>°</m:t>
                        </m:r>
                        <m:r>
                          <a:rPr lang="en-GB" sz="1100" b="0" i="1">
                            <a:latin typeface="Cambria Math" panose="02040503050406030204" pitchFamily="18" charset="0"/>
                          </a:rPr>
                          <m:t>𝐶</m:t>
                        </m:r>
                        <m:r>
                          <a:rPr lang="en-GB" sz="1100" b="0" i="1">
                            <a:latin typeface="Cambria Math" panose="02040503050406030204" pitchFamily="18" charset="0"/>
                          </a:rPr>
                          <m:t>/</m:t>
                        </m:r>
                        <m:r>
                          <a:rPr lang="en-GB" sz="1100" b="0" i="1">
                            <a:latin typeface="Cambria Math" panose="02040503050406030204" pitchFamily="18" charset="0"/>
                          </a:rPr>
                          <m:t>𝑚𝑖𝑛</m:t>
                        </m:r>
                      </m:den>
                    </m:f>
                  </m:oMath>
                </m:oMathPara>
              </a14:m>
              <a:endParaRPr lang="en-GB" sz="1100"/>
            </a:p>
          </xdr:txBody>
        </xdr:sp>
      </mc:Choice>
      <mc:Fallback xmlns="">
        <xdr:sp macro="" textlink="">
          <xdr:nvSpPr>
            <xdr:cNvPr id="2" name="TextBox 1"/>
            <xdr:cNvSpPr txBox="1"/>
          </xdr:nvSpPr>
          <xdr:spPr>
            <a:xfrm>
              <a:off x="3295650" y="2576512"/>
              <a:ext cx="490711"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a:t>
              </a:r>
              <a:r>
                <a:rPr lang="en-GB" sz="1100" b="0" i="0">
                  <a:solidFill>
                    <a:schemeClr val="tx1"/>
                  </a:solidFill>
                  <a:effectLst/>
                  <a:latin typeface="+mn-lt"/>
                  <a:ea typeface="+mn-ea"/>
                  <a:cs typeface="+mn-cs"/>
                </a:rPr>
                <a:t>𝑑𝑒𝑔</a:t>
              </a:r>
              <a:r>
                <a:rPr lang="en-GB" sz="1100" b="0" i="0">
                  <a:solidFill>
                    <a:schemeClr val="tx1"/>
                  </a:solidFill>
                  <a:effectLst/>
                  <a:latin typeface="Cambria Math" panose="02040503050406030204" pitchFamily="18" charset="0"/>
                  <a:ea typeface="+mn-ea"/>
                  <a:cs typeface="+mn-cs"/>
                </a:rPr>
                <a:t>/</a:t>
              </a:r>
              <a:r>
                <a:rPr lang="en-GB" sz="1100" b="0" i="0">
                  <a:solidFill>
                    <a:schemeClr val="tx1"/>
                  </a:solidFill>
                  <a:effectLst/>
                  <a:latin typeface="+mn-lt"/>
                  <a:ea typeface="+mn-ea"/>
                  <a:cs typeface="+mn-cs"/>
                </a:rPr>
                <a:t>ℎ𝑟</a:t>
              </a:r>
              <a:r>
                <a:rPr lang="en-GB" sz="1100" b="0" i="0">
                  <a:solidFill>
                    <a:schemeClr val="tx1"/>
                  </a:solidFill>
                  <a:effectLst/>
                  <a:latin typeface="Cambria Math" panose="02040503050406030204" pitchFamily="18" charset="0"/>
                  <a:ea typeface="+mn-ea"/>
                  <a:cs typeface="+mn-cs"/>
                </a:rPr>
                <a:t>)/(</a:t>
              </a:r>
              <a:r>
                <a:rPr lang="en-GB" sz="1100" b="0" i="0">
                  <a:latin typeface="Cambria Math" panose="02040503050406030204" pitchFamily="18" charset="0"/>
                </a:rPr>
                <a:t>°𝐶/𝑚𝑖𝑛)</a:t>
              </a:r>
              <a:endParaRPr lang="en-GB" sz="1100"/>
            </a:p>
          </xdr:txBody>
        </xdr:sp>
      </mc:Fallback>
    </mc:AlternateContent>
    <xdr:clientData/>
  </xdr:oneCellAnchor>
  <xdr:oneCellAnchor>
    <xdr:from>
      <xdr:col>3</xdr:col>
      <xdr:colOff>200025</xdr:colOff>
      <xdr:row>7</xdr:row>
      <xdr:rowOff>71437</xdr:rowOff>
    </xdr:from>
    <xdr:ext cx="484363" cy="32149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286125" y="2157412"/>
              <a:ext cx="484363"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GB" sz="1100" b="0" i="1">
                            <a:latin typeface="Cambria Math" panose="02040503050406030204" pitchFamily="18" charset="0"/>
                          </a:rPr>
                        </m:ctrlPr>
                      </m:fPr>
                      <m:num>
                        <m:r>
                          <a:rPr lang="en-GB" sz="1100" b="0" i="1">
                            <a:solidFill>
                              <a:schemeClr val="tx1"/>
                            </a:solidFill>
                            <a:effectLst/>
                            <a:latin typeface="Cambria Math" panose="02040503050406030204" pitchFamily="18" charset="0"/>
                            <a:ea typeface="+mn-ea"/>
                            <a:cs typeface="+mn-cs"/>
                          </a:rPr>
                          <m:t>𝑑𝑒𝑔</m:t>
                        </m:r>
                        <m:r>
                          <a:rPr lang="en-GB" sz="1100" b="0" i="1">
                            <a:solidFill>
                              <a:schemeClr val="tx1"/>
                            </a:solidFill>
                            <a:effectLst/>
                            <a:latin typeface="Cambria Math" panose="02040503050406030204" pitchFamily="18" charset="0"/>
                            <a:ea typeface="+mn-ea"/>
                            <a:cs typeface="+mn-cs"/>
                          </a:rPr>
                          <m:t>/</m:t>
                        </m:r>
                        <m:r>
                          <a:rPr lang="en-GB" sz="1100" b="0" i="1">
                            <a:solidFill>
                              <a:schemeClr val="tx1"/>
                            </a:solidFill>
                            <a:effectLst/>
                            <a:latin typeface="Cambria Math" panose="02040503050406030204" pitchFamily="18" charset="0"/>
                            <a:ea typeface="+mn-ea"/>
                            <a:cs typeface="+mn-cs"/>
                          </a:rPr>
                          <m:t>h𝑟</m:t>
                        </m:r>
                      </m:num>
                      <m:den>
                        <m:r>
                          <a:rPr lang="en-GB" sz="1100" b="0" i="1">
                            <a:latin typeface="Cambria Math" panose="02040503050406030204" pitchFamily="18" charset="0"/>
                          </a:rPr>
                          <m:t>°</m:t>
                        </m:r>
                        <m:r>
                          <a:rPr lang="en-GB" sz="1100" b="0" i="1">
                            <a:latin typeface="Cambria Math" panose="02040503050406030204" pitchFamily="18" charset="0"/>
                          </a:rPr>
                          <m:t>𝐶</m:t>
                        </m:r>
                      </m:den>
                    </m:f>
                  </m:oMath>
                </m:oMathPara>
              </a14:m>
              <a:endParaRPr lang="en-GB" sz="1100"/>
            </a:p>
          </xdr:txBody>
        </xdr:sp>
      </mc:Choice>
      <mc:Fallback xmlns="">
        <xdr:sp macro="" textlink="">
          <xdr:nvSpPr>
            <xdr:cNvPr id="3" name="TextBox 2"/>
            <xdr:cNvSpPr txBox="1"/>
          </xdr:nvSpPr>
          <xdr:spPr>
            <a:xfrm>
              <a:off x="3286125" y="2157412"/>
              <a:ext cx="484363"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a:t>
              </a:r>
              <a:r>
                <a:rPr lang="en-GB" sz="1100" b="0" i="0">
                  <a:solidFill>
                    <a:schemeClr val="tx1"/>
                  </a:solidFill>
                  <a:effectLst/>
                  <a:latin typeface="+mn-lt"/>
                  <a:ea typeface="+mn-ea"/>
                  <a:cs typeface="+mn-cs"/>
                </a:rPr>
                <a:t>𝑑𝑒𝑔</a:t>
              </a:r>
              <a:r>
                <a:rPr lang="en-GB" sz="1100" b="0" i="0">
                  <a:solidFill>
                    <a:schemeClr val="tx1"/>
                  </a:solidFill>
                  <a:effectLst/>
                  <a:latin typeface="Cambria Math" panose="02040503050406030204" pitchFamily="18" charset="0"/>
                  <a:ea typeface="+mn-ea"/>
                  <a:cs typeface="+mn-cs"/>
                </a:rPr>
                <a:t>/</a:t>
              </a:r>
              <a:r>
                <a:rPr lang="en-GB" sz="1100" b="0" i="0">
                  <a:solidFill>
                    <a:schemeClr val="tx1"/>
                  </a:solidFill>
                  <a:effectLst/>
                  <a:latin typeface="+mn-lt"/>
                  <a:ea typeface="+mn-ea"/>
                  <a:cs typeface="+mn-cs"/>
                </a:rPr>
                <a:t>ℎ𝑟</a:t>
              </a:r>
              <a:r>
                <a:rPr lang="en-GB" sz="1100" b="0" i="0">
                  <a:solidFill>
                    <a:schemeClr val="tx1"/>
                  </a:solidFill>
                  <a:effectLst/>
                  <a:latin typeface="Cambria Math" panose="02040503050406030204" pitchFamily="18" charset="0"/>
                  <a:ea typeface="+mn-ea"/>
                  <a:cs typeface="+mn-cs"/>
                </a:rPr>
                <a:t>)/(</a:t>
              </a:r>
              <a:r>
                <a:rPr lang="en-GB" sz="1100" b="0" i="0">
                  <a:latin typeface="Cambria Math" panose="02040503050406030204" pitchFamily="18" charset="0"/>
                </a:rPr>
                <a:t>°𝐶)</a:t>
              </a:r>
              <a:endParaRPr lang="en-GB" sz="1100"/>
            </a:p>
          </xdr:txBody>
        </xdr:sp>
      </mc:Fallback>
    </mc:AlternateContent>
    <xdr:clientData/>
  </xdr:oneCellAnchor>
  <xdr:oneCellAnchor>
    <xdr:from>
      <xdr:col>3</xdr:col>
      <xdr:colOff>123825</xdr:colOff>
      <xdr:row>6</xdr:row>
      <xdr:rowOff>119062</xdr:rowOff>
    </xdr:from>
    <xdr:ext cx="688778" cy="199157"/>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209925" y="1766887"/>
              <a:ext cx="688778" cy="199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𝜇</m:t>
                    </m:r>
                    <m:r>
                      <a:rPr lang="en-GB" sz="1100" b="0" i="1">
                        <a:latin typeface="Cambria Math" panose="02040503050406030204" pitchFamily="18" charset="0"/>
                      </a:rPr>
                      <m:t>𝑑𝑒𝑔</m:t>
                    </m:r>
                    <m:r>
                      <a:rPr lang="en-GB" sz="1100" b="0" i="1">
                        <a:latin typeface="Cambria Math" panose="02040503050406030204" pitchFamily="18" charset="0"/>
                      </a:rPr>
                      <m:t>/</m:t>
                    </m:r>
                    <m:rad>
                      <m:radPr>
                        <m:degHide m:val="on"/>
                        <m:ctrlPr>
                          <a:rPr lang="en-GB" sz="1100" b="0" i="1">
                            <a:latin typeface="Cambria Math" panose="02040503050406030204" pitchFamily="18" charset="0"/>
                          </a:rPr>
                        </m:ctrlPr>
                      </m:radPr>
                      <m:deg/>
                      <m:e>
                        <m:r>
                          <a:rPr lang="en-GB" sz="1100" b="0" i="1">
                            <a:latin typeface="Cambria Math" panose="02040503050406030204" pitchFamily="18" charset="0"/>
                          </a:rPr>
                          <m:t>h𝑟</m:t>
                        </m:r>
                        <m:r>
                          <a:rPr lang="en-GB" sz="1100" b="0" i="1">
                            <a:latin typeface="Cambria Math" panose="02040503050406030204" pitchFamily="18" charset="0"/>
                          </a:rPr>
                          <m:t>.</m:t>
                        </m:r>
                      </m:e>
                    </m:rad>
                  </m:oMath>
                </m:oMathPara>
              </a14:m>
              <a:endParaRPr lang="en-GB" sz="1100"/>
            </a:p>
          </xdr:txBody>
        </xdr:sp>
      </mc:Choice>
      <mc:Fallback xmlns="">
        <xdr:sp macro="" textlink="">
          <xdr:nvSpPr>
            <xdr:cNvPr id="4" name="TextBox 3"/>
            <xdr:cNvSpPr txBox="1"/>
          </xdr:nvSpPr>
          <xdr:spPr>
            <a:xfrm>
              <a:off x="3209925" y="1766887"/>
              <a:ext cx="688778" cy="1991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GB" sz="1100" b="0" i="0">
                  <a:latin typeface="Cambria Math" panose="02040503050406030204" pitchFamily="18" charset="0"/>
                </a:rPr>
                <a:t>𝜇𝑑𝑒𝑔/√(ℎ𝑟.)</a:t>
              </a:r>
              <a:endParaRPr lang="en-GB"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51</xdr:row>
      <xdr:rowOff>123825</xdr:rowOff>
    </xdr:from>
    <xdr:to>
      <xdr:col>28</xdr:col>
      <xdr:colOff>321986</xdr:colOff>
      <xdr:row>67</xdr:row>
      <xdr:rowOff>142451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67250" y="9839325"/>
          <a:ext cx="14914286" cy="3390476"/>
        </a:xfrm>
        <a:prstGeom prst="rect">
          <a:avLst/>
        </a:prstGeom>
      </xdr:spPr>
    </xdr:pic>
    <xdr:clientData/>
  </xdr:twoCellAnchor>
  <xdr:twoCellAnchor editAs="oneCell">
    <xdr:from>
      <xdr:col>3</xdr:col>
      <xdr:colOff>571500</xdr:colOff>
      <xdr:row>70</xdr:row>
      <xdr:rowOff>76200</xdr:rowOff>
    </xdr:from>
    <xdr:to>
      <xdr:col>28</xdr:col>
      <xdr:colOff>283881</xdr:colOff>
      <xdr:row>83</xdr:row>
      <xdr:rowOff>85299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591050" y="13782675"/>
          <a:ext cx="14952381" cy="3409524"/>
        </a:xfrm>
        <a:prstGeom prst="rect">
          <a:avLst/>
        </a:prstGeom>
      </xdr:spPr>
    </xdr:pic>
    <xdr:clientData/>
  </xdr:twoCellAnchor>
  <xdr:twoCellAnchor editAs="oneCell">
    <xdr:from>
      <xdr:col>3</xdr:col>
      <xdr:colOff>514350</xdr:colOff>
      <xdr:row>88</xdr:row>
      <xdr:rowOff>123825</xdr:rowOff>
    </xdr:from>
    <xdr:to>
      <xdr:col>27</xdr:col>
      <xdr:colOff>426807</xdr:colOff>
      <xdr:row>104</xdr:row>
      <xdr:rowOff>161509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4533900" y="18135600"/>
          <a:ext cx="14542857" cy="3323809"/>
        </a:xfrm>
        <a:prstGeom prst="rect">
          <a:avLst/>
        </a:prstGeom>
      </xdr:spPr>
    </xdr:pic>
    <xdr:clientData/>
  </xdr:twoCellAnchor>
  <xdr:twoCellAnchor editAs="oneCell">
    <xdr:from>
      <xdr:col>6</xdr:col>
      <xdr:colOff>609599</xdr:colOff>
      <xdr:row>146</xdr:row>
      <xdr:rowOff>110728</xdr:rowOff>
    </xdr:from>
    <xdr:to>
      <xdr:col>30</xdr:col>
      <xdr:colOff>121538</xdr:colOff>
      <xdr:row>162</xdr:row>
      <xdr:rowOff>114300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4"/>
        <a:srcRect b="55191"/>
        <a:stretch/>
      </xdr:blipFill>
      <xdr:spPr>
        <a:xfrm>
          <a:off x="6457949" y="30628828"/>
          <a:ext cx="14142339" cy="3432572"/>
        </a:xfrm>
        <a:prstGeom prst="rect">
          <a:avLst/>
        </a:prstGeom>
      </xdr:spPr>
    </xdr:pic>
    <xdr:clientData/>
  </xdr:twoCellAnchor>
  <xdr:twoCellAnchor editAs="oneCell">
    <xdr:from>
      <xdr:col>0</xdr:col>
      <xdr:colOff>47625</xdr:colOff>
      <xdr:row>165</xdr:row>
      <xdr:rowOff>180975</xdr:rowOff>
    </xdr:from>
    <xdr:to>
      <xdr:col>24</xdr:col>
      <xdr:colOff>74062</xdr:colOff>
      <xdr:row>183</xdr:row>
      <xdr:rowOff>161499</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stretch>
          <a:fillRect/>
        </a:stretch>
      </xdr:blipFill>
      <xdr:spPr>
        <a:xfrm>
          <a:off x="47625" y="34699575"/>
          <a:ext cx="17104762" cy="3409524"/>
        </a:xfrm>
        <a:prstGeom prst="rect">
          <a:avLst/>
        </a:prstGeom>
      </xdr:spPr>
    </xdr:pic>
    <xdr:clientData/>
  </xdr:twoCellAnchor>
  <xdr:twoCellAnchor editAs="oneCell">
    <xdr:from>
      <xdr:col>0</xdr:col>
      <xdr:colOff>0</xdr:colOff>
      <xdr:row>197</xdr:row>
      <xdr:rowOff>66675</xdr:rowOff>
    </xdr:from>
    <xdr:to>
      <xdr:col>15</xdr:col>
      <xdr:colOff>320459</xdr:colOff>
      <xdr:row>212</xdr:row>
      <xdr:rowOff>151856</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0" y="40681275"/>
          <a:ext cx="11912384" cy="2942681"/>
        </a:xfrm>
        <a:prstGeom prst="rect">
          <a:avLst/>
        </a:prstGeom>
      </xdr:spPr>
    </xdr:pic>
    <xdr:clientData/>
  </xdr:twoCellAnchor>
  <xdr:twoCellAnchor editAs="oneCell">
    <xdr:from>
      <xdr:col>8</xdr:col>
      <xdr:colOff>261733</xdr:colOff>
      <xdr:row>262</xdr:row>
      <xdr:rowOff>671513</xdr:rowOff>
    </xdr:from>
    <xdr:to>
      <xdr:col>18</xdr:col>
      <xdr:colOff>599149</xdr:colOff>
      <xdr:row>294</xdr:row>
      <xdr:rowOff>151514</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a:stretch>
          <a:fillRect/>
        </a:stretch>
      </xdr:blipFill>
      <xdr:spPr>
        <a:xfrm>
          <a:off x="7962696" y="52635151"/>
          <a:ext cx="6623916" cy="5995101"/>
        </a:xfrm>
        <a:prstGeom prst="rect">
          <a:avLst/>
        </a:prstGeom>
      </xdr:spPr>
    </xdr:pic>
    <xdr:clientData/>
  </xdr:twoCellAnchor>
  <xdr:twoCellAnchor>
    <xdr:from>
      <xdr:col>7</xdr:col>
      <xdr:colOff>114299</xdr:colOff>
      <xdr:row>270</xdr:row>
      <xdr:rowOff>50003</xdr:rowOff>
    </xdr:from>
    <xdr:to>
      <xdr:col>14</xdr:col>
      <xdr:colOff>507206</xdr:colOff>
      <xdr:row>283</xdr:row>
      <xdr:rowOff>28574</xdr:rowOff>
    </xdr:to>
    <xdr:graphicFrame macro="">
      <xdr:nvGraphicFramePr>
        <xdr:cNvPr id="9" name="Chart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85723</xdr:colOff>
      <xdr:row>14</xdr:row>
      <xdr:rowOff>57150</xdr:rowOff>
    </xdr:from>
    <xdr:to>
      <xdr:col>14</xdr:col>
      <xdr:colOff>335755</xdr:colOff>
      <xdr:row>29</xdr:row>
      <xdr:rowOff>14287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71438</xdr:colOff>
      <xdr:row>0</xdr:row>
      <xdr:rowOff>121445</xdr:rowOff>
    </xdr:from>
    <xdr:to>
      <xdr:col>14</xdr:col>
      <xdr:colOff>321470</xdr:colOff>
      <xdr:row>13</xdr:row>
      <xdr:rowOff>78582</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621506</xdr:colOff>
      <xdr:row>14</xdr:row>
      <xdr:rowOff>35719</xdr:rowOff>
    </xdr:from>
    <xdr:to>
      <xdr:col>21</xdr:col>
      <xdr:colOff>242888</xdr:colOff>
      <xdr:row>28</xdr:row>
      <xdr:rowOff>178594</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23</xdr:col>
      <xdr:colOff>278606</xdr:colOff>
      <xdr:row>22</xdr:row>
      <xdr:rowOff>107156</xdr:rowOff>
    </xdr:from>
    <xdr:ext cx="184731" cy="264560"/>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5609094" y="45648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15</xdr:col>
      <xdr:colOff>21431</xdr:colOff>
      <xdr:row>0</xdr:row>
      <xdr:rowOff>164306</xdr:rowOff>
    </xdr:from>
    <xdr:to>
      <xdr:col>21</xdr:col>
      <xdr:colOff>271463</xdr:colOff>
      <xdr:row>13</xdr:row>
      <xdr:rowOff>121443</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628649</xdr:colOff>
      <xdr:row>0</xdr:row>
      <xdr:rowOff>185737</xdr:rowOff>
    </xdr:from>
    <xdr:to>
      <xdr:col>32</xdr:col>
      <xdr:colOff>242886</xdr:colOff>
      <xdr:row>14</xdr:row>
      <xdr:rowOff>7144</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hyperlink" Target="file:///\\ORC.FILES.SOTON.AC.UK\ORCResearch\Q-preforms\FOG%20Development\Test%20Data\MCIFOG%201%20(150m)\Gyro%20Data\20200814%2010Hz%20Overnight%20No%20Light%20-%20PD%20ON%20-%201mV%20LIA%20Scale" TargetMode="External"/><Relationship Id="rId13" Type="http://schemas.openxmlformats.org/officeDocument/2006/relationships/printerSettings" Target="../printerSettings/printerSettings4.bin"/><Relationship Id="rId3" Type="http://schemas.openxmlformats.org/officeDocument/2006/relationships/hyperlink" Target="file:///\\ORC.FILES.SOTON.AC.UK\ORCResearch\Q-preforms\FOG%20Development\Test%20Data\MCIFOG%201%20(150m)\Gyro%20Data\20200814%207kHz%20No%20Light%20-%20PD%20ON%20-%201mV%20LIA%20Scale" TargetMode="External"/><Relationship Id="rId7" Type="http://schemas.openxmlformats.org/officeDocument/2006/relationships/hyperlink" Target="file:///\\filestore.soton.ac.uk\users\aat1f15\mydocuments\Zurich%20Instruments\LabOne\WebServer\session_20200814_130717_00\stream_010" TargetMode="External"/><Relationship Id="rId12" Type="http://schemas.openxmlformats.org/officeDocument/2006/relationships/hyperlink" Target="file:///\\ORC.FILES.SOTON.AC.UK\ORCResearch\Q-preforms\FOG%20Development\Test%20Data\MCIFOG%201%20(150m)\Gyro%20Data\20200818%2010Hz%20Whole%20Month%20-%20No%20Light%20-%20PD%20OFF%20-%20300%20mV%20LIA%20Scale" TargetMode="External"/><Relationship Id="rId2" Type="http://schemas.openxmlformats.org/officeDocument/2006/relationships/hyperlink" Target="file:///\\ORC.FILES.SOTON.AC.UK\ORCResearch\Q-preforms\FOG%20Development\Test%20Data\MCIFOG%201%20(150m)\Gyro%20Data\20200814%207kHz%20No%20Light%20-%20PD%20ON%20-%200.3V%20LIA%20Scale" TargetMode="External"/><Relationship Id="rId1" Type="http://schemas.openxmlformats.org/officeDocument/2006/relationships/hyperlink" Target="file:///\\filestore.soton.ac.uk\users\aat1f15\mydocuments\Zurich%20Instruments\LabOne\WebServer" TargetMode="External"/><Relationship Id="rId6" Type="http://schemas.openxmlformats.org/officeDocument/2006/relationships/hyperlink" Target="file:///\\ORC.FILES.SOTON.AC.UK\ORCResearch\Q-preforms\FOG%20Development\Test%20Data\MCIFOG%201%20(150m)\Gyro%20Data\20200814%2010Hz%20Overnight%20No%20Light%20-%20PD%20ON%20-%200.3V%20LIA%20Scale" TargetMode="External"/><Relationship Id="rId11" Type="http://schemas.openxmlformats.org/officeDocument/2006/relationships/hyperlink" Target="file:///\\filestore.soton.ac.uk\users\aat1f15\mydocuments\Zurich%20Instruments\LabOne\WebServer\session_20200814_130717_00\stream_012" TargetMode="External"/><Relationship Id="rId5" Type="http://schemas.openxmlformats.org/officeDocument/2006/relationships/hyperlink" Target="file:///\\ORC.FILES.SOTON.AC.UK\ORCResearch\Q-preforms\FOG%20Development\Test%20Data\MCIFOG%201%20(150m)\Gyro%20Data\20200814%207kHz%20No%20Light%20-%20PD%20OFF%20-%201mV%20LIA%20Scale" TargetMode="External"/><Relationship Id="rId15" Type="http://schemas.openxmlformats.org/officeDocument/2006/relationships/comments" Target="../comments2.xml"/><Relationship Id="rId10" Type="http://schemas.openxmlformats.org/officeDocument/2006/relationships/hyperlink" Target="file:///\\filestore.soton.ac.uk\users\aat1f15\mydocuments\Zurich%20Instruments\LabOne\WebServer\session_20200814_130717_00\stream_011" TargetMode="External"/><Relationship Id="rId4" Type="http://schemas.openxmlformats.org/officeDocument/2006/relationships/hyperlink" Target="file:///\\ORC.FILES.SOTON.AC.UK\ORCResearch\Q-preforms\FOG%20Development\Test%20Data\MCIFOG%201%20(150m)\Gyro%20Data\20200814%207kHz%20No%20Light%20-%20PD%20OFF%20-%200.3V%20LIA%20Scale" TargetMode="External"/><Relationship Id="rId9" Type="http://schemas.openxmlformats.org/officeDocument/2006/relationships/hyperlink" Target="file:///\\ORC.FILES.SOTON.AC.UK\ORCResearch\Q-preforms\FOG%20Development\Test%20Data\MCIFOG%201%20(150m)\Gyro%20Data\20200818%2010Hz%20Overnight%20No%20Light%20-%20PD%20OFF%20-%201%20mV%20LIA%20Scale" TargetMode="External"/><Relationship Id="rId1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N13" sqref="N12:N13"/>
    </sheetView>
  </sheetViews>
  <sheetFormatPr defaultRowHeight="15" x14ac:dyDescent="0.25"/>
  <cols>
    <col min="1" max="1" width="2" customWidth="1"/>
    <col min="2" max="2" width="32.140625" style="140" bestFit="1" customWidth="1"/>
    <col min="3" max="3" width="12.140625" style="101" customWidth="1"/>
    <col min="4" max="4" width="13.42578125" style="101" customWidth="1"/>
    <col min="5" max="5" width="2.28515625" style="100" customWidth="1"/>
  </cols>
  <sheetData>
    <row r="1" spans="1:11" ht="18" customHeight="1" x14ac:dyDescent="0.25"/>
    <row r="2" spans="1:11" ht="24.75" customHeight="1" x14ac:dyDescent="0.25">
      <c r="J2" s="150">
        <v>43272</v>
      </c>
      <c r="K2" s="150">
        <f>J2+7*7</f>
        <v>43321</v>
      </c>
    </row>
    <row r="3" spans="1:11" ht="15" customHeight="1" x14ac:dyDescent="0.25">
      <c r="A3" s="102"/>
      <c r="B3" s="113"/>
      <c r="C3" s="106"/>
      <c r="D3" s="106"/>
      <c r="E3" s="105"/>
    </row>
    <row r="4" spans="1:11" ht="18" customHeight="1" x14ac:dyDescent="0.25">
      <c r="A4" s="102"/>
      <c r="B4" s="147" t="s">
        <v>199</v>
      </c>
      <c r="C4" s="148" t="s">
        <v>200</v>
      </c>
      <c r="D4" s="149" t="s">
        <v>201</v>
      </c>
      <c r="E4" s="105"/>
    </row>
    <row r="5" spans="1:11" ht="35.25" customHeight="1" x14ac:dyDescent="0.25">
      <c r="A5" s="112"/>
      <c r="B5" s="145" t="s">
        <v>210</v>
      </c>
      <c r="C5" s="141"/>
      <c r="D5" s="142" t="s">
        <v>211</v>
      </c>
      <c r="E5" s="104"/>
    </row>
    <row r="6" spans="1:11" ht="35.25" customHeight="1" x14ac:dyDescent="0.25">
      <c r="A6" s="112"/>
      <c r="B6" s="146" t="s">
        <v>236</v>
      </c>
      <c r="C6" s="130"/>
      <c r="D6" s="143" t="s">
        <v>211</v>
      </c>
      <c r="E6" s="104"/>
    </row>
    <row r="7" spans="1:11" ht="35.25" customHeight="1" x14ac:dyDescent="0.25">
      <c r="A7" s="112"/>
      <c r="B7" s="146" t="s">
        <v>235</v>
      </c>
      <c r="C7" s="130"/>
      <c r="D7" s="144"/>
      <c r="E7" s="104"/>
    </row>
    <row r="8" spans="1:11" ht="35.25" customHeight="1" x14ac:dyDescent="0.25">
      <c r="A8" s="112"/>
      <c r="B8" s="146" t="s">
        <v>237</v>
      </c>
      <c r="C8" s="132"/>
      <c r="D8" s="144"/>
      <c r="E8" s="104"/>
    </row>
    <row r="9" spans="1:11" ht="35.25" customHeight="1" x14ac:dyDescent="0.25">
      <c r="A9" s="112"/>
      <c r="B9" s="146" t="s">
        <v>238</v>
      </c>
      <c r="C9" s="131"/>
      <c r="D9" s="144"/>
      <c r="E9" s="104"/>
    </row>
    <row r="10" spans="1:11" x14ac:dyDescent="0.25">
      <c r="A10" s="102"/>
      <c r="B10" s="113"/>
      <c r="C10" s="106"/>
      <c r="D10" s="114"/>
      <c r="E10" s="105"/>
    </row>
    <row r="21" ht="30" customHeight="1" x14ac:dyDescent="0.25"/>
    <row r="22" ht="30" customHeight="1" x14ac:dyDescent="0.25"/>
    <row r="23" ht="32.25" customHeight="1" x14ac:dyDescent="0.25"/>
    <row r="24" ht="30" customHeight="1" x14ac:dyDescent="0.25"/>
    <row r="25" ht="30" customHeight="1" x14ac:dyDescent="0.25"/>
    <row r="26" ht="30" customHeight="1" x14ac:dyDescent="0.25"/>
    <row r="27" ht="46.5" customHeight="1" x14ac:dyDescent="0.25"/>
    <row r="28" ht="21" customHeight="1" x14ac:dyDescent="0.25"/>
    <row r="29" ht="30" customHeight="1" x14ac:dyDescent="0.25"/>
    <row r="30" ht="46.5" customHeight="1" x14ac:dyDescent="0.25"/>
    <row r="31" ht="30" customHeight="1" x14ac:dyDescent="0.25"/>
    <row r="32" ht="30" customHeight="1" x14ac:dyDescent="0.25"/>
    <row r="33" ht="30" customHeight="1" x14ac:dyDescent="0.25"/>
    <row r="34" ht="30" customHeight="1" x14ac:dyDescent="0.25"/>
    <row r="35" ht="30" customHeight="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1"/>
  <sheetViews>
    <sheetView topLeftCell="A13" workbookViewId="0">
      <selection activeCell="J28" sqref="J28"/>
    </sheetView>
  </sheetViews>
  <sheetFormatPr defaultRowHeight="15" x14ac:dyDescent="0.25"/>
  <cols>
    <col min="1" max="1" width="2" customWidth="1"/>
    <col min="2" max="2" width="9.140625" style="100"/>
    <col min="3" max="3" width="43" style="100" customWidth="1"/>
    <col min="4" max="4" width="12.140625" style="101" customWidth="1"/>
    <col min="5" max="5" width="8.85546875" style="101" customWidth="1"/>
    <col min="6" max="6" width="2.28515625" style="100" customWidth="1"/>
    <col min="8" max="8" width="9.28515625" style="161" bestFit="1" customWidth="1"/>
    <col min="9" max="9" width="11.42578125" style="162" customWidth="1"/>
    <col min="10" max="10" width="12" style="161" bestFit="1" customWidth="1"/>
    <col min="11" max="11" width="4.85546875" style="162" bestFit="1" customWidth="1"/>
    <col min="14" max="14" width="12.5703125" style="23" bestFit="1" customWidth="1"/>
    <col min="15" max="15" width="13.7109375" style="21" bestFit="1" customWidth="1"/>
    <col min="18" max="18" width="10.5703125" bestFit="1" customWidth="1"/>
    <col min="20" max="20" width="26.7109375" bestFit="1" customWidth="1"/>
  </cols>
  <sheetData>
    <row r="1" spans="1:11" ht="18" customHeight="1" x14ac:dyDescent="0.25">
      <c r="H1" s="322"/>
      <c r="I1" s="322"/>
      <c r="J1" s="322"/>
      <c r="K1" s="322"/>
    </row>
    <row r="2" spans="1:11" ht="18" customHeight="1" x14ac:dyDescent="0.25">
      <c r="H2" s="324" t="s">
        <v>28</v>
      </c>
      <c r="I2" s="324"/>
      <c r="J2" s="324"/>
      <c r="K2" s="324"/>
    </row>
    <row r="3" spans="1:11" ht="6.75" customHeight="1" x14ac:dyDescent="0.25">
      <c r="A3" s="102"/>
      <c r="B3" s="105"/>
      <c r="C3" s="105"/>
      <c r="D3" s="106"/>
      <c r="E3" s="106"/>
      <c r="F3" s="105"/>
      <c r="H3" s="334" t="s">
        <v>24</v>
      </c>
      <c r="I3" s="334"/>
      <c r="J3" s="152">
        <v>299792458</v>
      </c>
      <c r="K3" s="153" t="s">
        <v>0</v>
      </c>
    </row>
    <row r="4" spans="1:11" ht="18" customHeight="1" x14ac:dyDescent="0.25">
      <c r="A4" s="102"/>
      <c r="B4" s="107"/>
      <c r="C4" s="122" t="s">
        <v>199</v>
      </c>
      <c r="D4" s="122" t="s">
        <v>200</v>
      </c>
      <c r="E4" s="117" t="s">
        <v>201</v>
      </c>
      <c r="F4" s="105"/>
      <c r="H4" s="334" t="s">
        <v>25</v>
      </c>
      <c r="I4" s="334"/>
      <c r="J4" s="152">
        <v>1.468</v>
      </c>
      <c r="K4" s="153"/>
    </row>
    <row r="5" spans="1:11" ht="7.5" customHeight="1" x14ac:dyDescent="0.25">
      <c r="A5" s="112"/>
      <c r="B5" s="302" t="s">
        <v>28</v>
      </c>
      <c r="C5" s="123"/>
      <c r="D5" s="123"/>
      <c r="E5" s="121"/>
      <c r="F5" s="105"/>
      <c r="H5" s="322"/>
      <c r="I5" s="322"/>
      <c r="J5" s="322"/>
      <c r="K5" s="322"/>
    </row>
    <row r="6" spans="1:11" ht="18" customHeight="1" x14ac:dyDescent="0.25">
      <c r="A6" s="112"/>
      <c r="B6" s="303"/>
      <c r="C6" s="124" t="s">
        <v>216</v>
      </c>
      <c r="D6" s="130">
        <f>J4</f>
        <v>1.468</v>
      </c>
      <c r="E6" s="110"/>
      <c r="F6" s="104"/>
      <c r="G6" t="s">
        <v>7</v>
      </c>
      <c r="H6" s="324" t="s">
        <v>26</v>
      </c>
      <c r="I6" s="324"/>
      <c r="J6" s="324"/>
      <c r="K6" s="324"/>
    </row>
    <row r="7" spans="1:11" ht="18" customHeight="1" x14ac:dyDescent="0.25">
      <c r="A7" s="112"/>
      <c r="B7" s="303"/>
      <c r="C7" s="124" t="s">
        <v>217</v>
      </c>
      <c r="D7" s="130">
        <f>J7</f>
        <v>1547.21</v>
      </c>
      <c r="E7" s="110" t="s">
        <v>6</v>
      </c>
      <c r="F7" s="104"/>
      <c r="H7" s="334" t="s">
        <v>17</v>
      </c>
      <c r="I7" s="334"/>
      <c r="J7" s="152">
        <v>1547.21</v>
      </c>
      <c r="K7" s="153" t="s">
        <v>6</v>
      </c>
    </row>
    <row r="8" spans="1:11" ht="18" customHeight="1" x14ac:dyDescent="0.25">
      <c r="A8" s="112"/>
      <c r="B8" s="303"/>
      <c r="C8" s="124" t="s">
        <v>214</v>
      </c>
      <c r="D8" s="130">
        <f>J15</f>
        <v>6.8000000000000005E-2</v>
      </c>
      <c r="E8" s="110" t="s">
        <v>1</v>
      </c>
      <c r="F8" s="104"/>
      <c r="H8" s="334"/>
      <c r="I8" s="334"/>
      <c r="J8" s="152">
        <f>J7/1000000000</f>
        <v>1.54721E-6</v>
      </c>
      <c r="K8" s="153" t="s">
        <v>1</v>
      </c>
    </row>
    <row r="9" spans="1:11" ht="18" customHeight="1" x14ac:dyDescent="0.25">
      <c r="A9" s="112"/>
      <c r="B9" s="303"/>
      <c r="C9" s="124" t="s">
        <v>218</v>
      </c>
      <c r="D9" s="131">
        <f>J17</f>
        <v>1001.4930000000001</v>
      </c>
      <c r="E9" s="110" t="s">
        <v>1</v>
      </c>
      <c r="F9" s="104"/>
      <c r="H9" s="322"/>
      <c r="I9" s="322"/>
      <c r="J9" s="322"/>
      <c r="K9" s="322"/>
    </row>
    <row r="10" spans="1:11" ht="18" customHeight="1" x14ac:dyDescent="0.25">
      <c r="A10" s="112"/>
      <c r="B10" s="303"/>
      <c r="C10" s="124" t="s">
        <v>219</v>
      </c>
      <c r="D10" s="132">
        <f>J27</f>
        <v>50.937615999999998</v>
      </c>
      <c r="E10" s="110" t="s">
        <v>233</v>
      </c>
      <c r="F10" s="104"/>
      <c r="H10" s="324" t="s">
        <v>18</v>
      </c>
      <c r="I10" s="324"/>
      <c r="J10" s="324"/>
      <c r="K10" s="324"/>
    </row>
    <row r="11" spans="1:11" ht="18" customHeight="1" x14ac:dyDescent="0.25">
      <c r="A11" s="112"/>
      <c r="B11" s="303"/>
      <c r="C11" s="124" t="s">
        <v>220</v>
      </c>
      <c r="D11" s="133">
        <f>J28</f>
        <v>11.646904394934415</v>
      </c>
      <c r="E11" s="110" t="s">
        <v>234</v>
      </c>
      <c r="F11" s="104"/>
      <c r="H11" s="334" t="s">
        <v>187</v>
      </c>
      <c r="I11" s="334"/>
      <c r="J11" s="152">
        <v>998</v>
      </c>
      <c r="K11" s="153" t="s">
        <v>1</v>
      </c>
    </row>
    <row r="12" spans="1:11" ht="18" customHeight="1" x14ac:dyDescent="0.25">
      <c r="A12" s="112"/>
      <c r="B12" s="303"/>
      <c r="C12" s="124" t="s">
        <v>226</v>
      </c>
      <c r="D12" s="134">
        <f>J31</f>
        <v>52.089730427416669</v>
      </c>
      <c r="E12" s="114" t="s">
        <v>44</v>
      </c>
      <c r="F12" s="104"/>
      <c r="H12" s="314" t="s">
        <v>185</v>
      </c>
      <c r="I12" s="154" t="s">
        <v>10</v>
      </c>
      <c r="J12" s="152">
        <v>75.8</v>
      </c>
      <c r="K12" s="153" t="s">
        <v>9</v>
      </c>
    </row>
    <row r="13" spans="1:11" ht="7.5" customHeight="1" x14ac:dyDescent="0.25">
      <c r="A13" s="102"/>
      <c r="B13" s="304"/>
      <c r="C13" s="125"/>
      <c r="D13" s="135"/>
      <c r="E13" s="111"/>
      <c r="F13" s="104"/>
      <c r="H13" s="334"/>
      <c r="I13" s="154" t="s">
        <v>11</v>
      </c>
      <c r="J13" s="152">
        <v>60.2</v>
      </c>
      <c r="K13" s="153" t="s">
        <v>9</v>
      </c>
    </row>
    <row r="14" spans="1:11" ht="7.5" customHeight="1" x14ac:dyDescent="0.25">
      <c r="A14" s="102"/>
      <c r="B14" s="305" t="s">
        <v>215</v>
      </c>
      <c r="C14" s="126"/>
      <c r="D14" s="126"/>
      <c r="E14" s="103"/>
      <c r="F14" s="104"/>
      <c r="H14" s="334"/>
      <c r="I14" s="334" t="s">
        <v>12</v>
      </c>
      <c r="J14" s="152">
        <f>AVERAGE(J12:J13)</f>
        <v>68</v>
      </c>
      <c r="K14" s="153" t="s">
        <v>9</v>
      </c>
    </row>
    <row r="15" spans="1:11" ht="18" customHeight="1" x14ac:dyDescent="0.25">
      <c r="A15" s="102"/>
      <c r="B15" s="306"/>
      <c r="C15" s="124" t="s">
        <v>224</v>
      </c>
      <c r="D15" s="132">
        <f>J18</f>
        <v>68.101524000000012</v>
      </c>
      <c r="E15" s="103" t="s">
        <v>225</v>
      </c>
      <c r="F15" s="104"/>
      <c r="H15" s="334"/>
      <c r="I15" s="334"/>
      <c r="J15" s="152">
        <f>J14/1000</f>
        <v>6.8000000000000005E-2</v>
      </c>
      <c r="K15" s="153" t="s">
        <v>1</v>
      </c>
    </row>
    <row r="16" spans="1:11" ht="18" customHeight="1" x14ac:dyDescent="0.25">
      <c r="A16" s="102"/>
      <c r="B16" s="306"/>
      <c r="C16" s="124" t="s">
        <v>223</v>
      </c>
      <c r="D16" s="132">
        <f>J24</f>
        <v>1.0840099472403861</v>
      </c>
      <c r="E16" s="103" t="s">
        <v>5</v>
      </c>
      <c r="F16" s="104"/>
      <c r="H16" s="334" t="s">
        <v>186</v>
      </c>
      <c r="I16" s="334"/>
      <c r="J16" s="152">
        <f>J11/(PI()*J15)</f>
        <v>4671.6656825209275</v>
      </c>
      <c r="K16" s="153"/>
    </row>
    <row r="17" spans="1:20" ht="18" customHeight="1" x14ac:dyDescent="0.25">
      <c r="A17" s="102"/>
      <c r="B17" s="306"/>
      <c r="C17" s="127" t="s">
        <v>222</v>
      </c>
      <c r="D17" s="136">
        <f>J23</f>
        <v>0.92250075983688706</v>
      </c>
      <c r="E17" s="116" t="s">
        <v>209</v>
      </c>
      <c r="F17" s="104"/>
      <c r="H17" s="332" t="s">
        <v>188</v>
      </c>
      <c r="I17" s="333"/>
      <c r="J17" s="152">
        <f>J11+3.493</f>
        <v>1001.4930000000001</v>
      </c>
      <c r="K17" s="153" t="s">
        <v>1</v>
      </c>
    </row>
    <row r="18" spans="1:20" ht="18" customHeight="1" x14ac:dyDescent="0.25">
      <c r="A18" s="102"/>
      <c r="B18" s="306"/>
      <c r="C18" s="127" t="s">
        <v>221</v>
      </c>
      <c r="D18" s="136">
        <f>J22</f>
        <v>102.3137753709053</v>
      </c>
      <c r="E18" s="116" t="s">
        <v>13</v>
      </c>
      <c r="F18" s="104"/>
      <c r="H18" s="334" t="s">
        <v>3</v>
      </c>
      <c r="I18" s="334"/>
      <c r="J18" s="152">
        <f>J15*J17</f>
        <v>68.101524000000012</v>
      </c>
      <c r="K18" s="153" t="s">
        <v>4</v>
      </c>
    </row>
    <row r="19" spans="1:20" ht="7.5" customHeight="1" x14ac:dyDescent="0.25">
      <c r="A19" s="102"/>
      <c r="B19" s="307"/>
      <c r="C19" s="128"/>
      <c r="D19" s="137"/>
      <c r="E19" s="115"/>
      <c r="F19" s="104"/>
      <c r="H19" s="314" t="s">
        <v>2</v>
      </c>
      <c r="I19" s="314"/>
      <c r="J19" s="152">
        <f>J11/($J$3/$J$4)</f>
        <v>4.8869274756738541E-6</v>
      </c>
      <c r="K19" s="153" t="s">
        <v>7</v>
      </c>
    </row>
    <row r="20" spans="1:20" ht="7.5" customHeight="1" x14ac:dyDescent="0.25">
      <c r="A20" s="102"/>
      <c r="B20" s="305" t="s">
        <v>229</v>
      </c>
      <c r="C20" s="129"/>
      <c r="D20" s="129"/>
      <c r="E20" s="108"/>
      <c r="F20" s="104"/>
      <c r="H20" s="335" t="s">
        <v>14</v>
      </c>
      <c r="I20" s="335"/>
      <c r="J20" s="155">
        <f>1/(2*J19)</f>
        <v>102313.77537090531</v>
      </c>
      <c r="K20" s="156" t="s">
        <v>5</v>
      </c>
    </row>
    <row r="21" spans="1:20" ht="18" customHeight="1" x14ac:dyDescent="0.25">
      <c r="A21" s="102"/>
      <c r="B21" s="306"/>
      <c r="C21" s="124" t="s">
        <v>227</v>
      </c>
      <c r="D21" s="138">
        <f>O28</f>
        <v>1.13176941225801E-4</v>
      </c>
      <c r="E21" s="109"/>
      <c r="F21" s="104"/>
      <c r="H21" s="335"/>
      <c r="I21" s="335"/>
      <c r="J21" s="155"/>
      <c r="K21" s="156"/>
    </row>
    <row r="22" spans="1:20" ht="18" customHeight="1" x14ac:dyDescent="0.25">
      <c r="A22" s="102"/>
      <c r="B22" s="306"/>
      <c r="C22" s="124" t="s">
        <v>230</v>
      </c>
      <c r="D22" s="132">
        <f>O29</f>
        <v>49.857563358514852</v>
      </c>
      <c r="E22" s="110" t="s">
        <v>44</v>
      </c>
      <c r="F22" s="104"/>
      <c r="H22" s="335"/>
      <c r="I22" s="335"/>
      <c r="J22" s="155">
        <f>J20/1000</f>
        <v>102.3137753709053</v>
      </c>
      <c r="K22" s="156" t="s">
        <v>13</v>
      </c>
    </row>
    <row r="23" spans="1:20" ht="18" customHeight="1" x14ac:dyDescent="0.25">
      <c r="A23" s="102"/>
      <c r="B23" s="306"/>
      <c r="C23" s="124" t="s">
        <v>228</v>
      </c>
      <c r="D23" s="138">
        <f>O30</f>
        <v>-1.3068467221607699E-4</v>
      </c>
      <c r="E23" s="110"/>
      <c r="F23" s="104"/>
      <c r="H23" s="336" t="s">
        <v>15</v>
      </c>
      <c r="I23" s="336"/>
      <c r="J23" s="157">
        <f>2*PI()*J18/(J8*J3)</f>
        <v>0.92250075983688706</v>
      </c>
      <c r="K23" s="158" t="s">
        <v>7</v>
      </c>
      <c r="N23" s="23" t="s">
        <v>196</v>
      </c>
      <c r="O23" s="21">
        <f>BESSELJ(PI()/2,1)</f>
        <v>0.56682408890939029</v>
      </c>
    </row>
    <row r="24" spans="1:20" ht="18" customHeight="1" x14ac:dyDescent="0.25">
      <c r="A24" s="102"/>
      <c r="B24" s="306"/>
      <c r="C24" s="124" t="s">
        <v>231</v>
      </c>
      <c r="D24" s="132">
        <f>O31</f>
        <v>-57.570201619077118</v>
      </c>
      <c r="E24" s="110" t="s">
        <v>44</v>
      </c>
      <c r="F24" s="104"/>
      <c r="H24" s="336" t="s">
        <v>16</v>
      </c>
      <c r="I24" s="336"/>
      <c r="J24" s="157">
        <f>1/J23</f>
        <v>1.0840099472403861</v>
      </c>
      <c r="K24" s="158" t="s">
        <v>5</v>
      </c>
      <c r="N24" s="23" t="s">
        <v>197</v>
      </c>
      <c r="O24" s="21">
        <f>BESSELJ(PI()/2,2)</f>
        <v>0.24970164080993765</v>
      </c>
    </row>
    <row r="25" spans="1:20" ht="18" customHeight="1" x14ac:dyDescent="0.25">
      <c r="A25" s="102"/>
      <c r="B25" s="306"/>
      <c r="C25" s="124" t="s">
        <v>210</v>
      </c>
      <c r="D25" s="139">
        <f>O36</f>
        <v>-0.83617452594512254</v>
      </c>
      <c r="E25" s="118" t="s">
        <v>234</v>
      </c>
      <c r="F25" s="104"/>
      <c r="H25" s="322"/>
      <c r="I25" s="322"/>
      <c r="J25" s="322"/>
      <c r="K25" s="322"/>
      <c r="N25" s="23" t="s">
        <v>198</v>
      </c>
      <c r="O25" s="21">
        <f>O23/O24</f>
        <v>2.270005463603793</v>
      </c>
    </row>
    <row r="26" spans="1:20" ht="18" customHeight="1" x14ac:dyDescent="0.25">
      <c r="A26" s="102"/>
      <c r="B26" s="306"/>
      <c r="C26" s="127" t="s">
        <v>208</v>
      </c>
      <c r="D26" s="136">
        <f>O34</f>
        <v>0.95126423199193721</v>
      </c>
      <c r="E26" s="119" t="s">
        <v>209</v>
      </c>
      <c r="F26" s="104"/>
      <c r="H26" s="324" t="s">
        <v>27</v>
      </c>
      <c r="I26" s="324"/>
      <c r="J26" s="324"/>
      <c r="K26" s="324"/>
    </row>
    <row r="27" spans="1:20" ht="18" customHeight="1" x14ac:dyDescent="0.25">
      <c r="A27" s="102"/>
      <c r="B27" s="306"/>
      <c r="C27" s="127" t="s">
        <v>232</v>
      </c>
      <c r="D27" s="127">
        <f>'Eigen &amp; Mod Tuning'!B68/1000</f>
        <v>85.245000000000005</v>
      </c>
      <c r="E27" s="119" t="s">
        <v>13</v>
      </c>
      <c r="F27" s="105"/>
      <c r="H27" s="314" t="s">
        <v>8</v>
      </c>
      <c r="I27" s="314"/>
      <c r="J27" s="152">
        <v>50.937615999999998</v>
      </c>
      <c r="K27" s="153" t="s">
        <v>23</v>
      </c>
      <c r="M27" s="337" t="s">
        <v>199</v>
      </c>
      <c r="N27" s="337"/>
      <c r="O27" s="88" t="s">
        <v>200</v>
      </c>
      <c r="P27" s="88" t="s">
        <v>201</v>
      </c>
    </row>
    <row r="28" spans="1:20" ht="7.5" customHeight="1" x14ac:dyDescent="0.25">
      <c r="A28" s="102"/>
      <c r="B28" s="306"/>
      <c r="C28" s="113"/>
      <c r="D28" s="120"/>
      <c r="E28" s="114"/>
      <c r="F28" s="105"/>
      <c r="H28" s="334" t="s">
        <v>19</v>
      </c>
      <c r="I28" s="158" t="s">
        <v>20</v>
      </c>
      <c r="J28" s="157">
        <f>15*SIN(RADIANS(J27))</f>
        <v>11.646904394934415</v>
      </c>
      <c r="K28" s="158" t="s">
        <v>22</v>
      </c>
      <c r="M28" s="320" t="s">
        <v>202</v>
      </c>
      <c r="N28" s="89" t="s">
        <v>203</v>
      </c>
      <c r="O28" s="91">
        <v>1.13176941225801E-4</v>
      </c>
      <c r="P28" s="92" t="s">
        <v>204</v>
      </c>
    </row>
    <row r="29" spans="1:20" ht="18" customHeight="1" x14ac:dyDescent="0.25">
      <c r="A29" s="102"/>
      <c r="B29" s="105"/>
      <c r="C29" s="105"/>
      <c r="D29" s="106"/>
      <c r="E29" s="106"/>
      <c r="F29" s="105"/>
      <c r="H29" s="334"/>
      <c r="I29" s="158" t="s">
        <v>21</v>
      </c>
      <c r="J29" s="157">
        <f>15*COS(RADIANS(J27))</f>
        <v>9.4524926879240372</v>
      </c>
      <c r="K29" s="158" t="s">
        <v>22</v>
      </c>
      <c r="M29" s="320"/>
      <c r="N29" s="89" t="s">
        <v>45</v>
      </c>
      <c r="O29" s="91">
        <f>O28/$O$25*1000000</f>
        <v>49.857563358514852</v>
      </c>
      <c r="P29" s="46" t="s">
        <v>44</v>
      </c>
      <c r="R29" s="93">
        <f>O28/O25</f>
        <v>4.9857563358514854E-5</v>
      </c>
      <c r="T29" s="94">
        <v>95520.600277959995</v>
      </c>
    </row>
    <row r="30" spans="1:20" ht="18" customHeight="1" x14ac:dyDescent="0.25">
      <c r="A30" s="102"/>
      <c r="B30" s="105"/>
      <c r="C30" s="105"/>
      <c r="D30" s="106"/>
      <c r="E30" s="106"/>
      <c r="F30" s="105"/>
      <c r="H30" s="315" t="s">
        <v>45</v>
      </c>
      <c r="I30" s="318" t="s">
        <v>20</v>
      </c>
      <c r="J30" s="157">
        <f>J28/3600*J23</f>
        <v>2.9845217094651606E-3</v>
      </c>
      <c r="K30" s="158" t="s">
        <v>23</v>
      </c>
      <c r="M30" s="320" t="s">
        <v>205</v>
      </c>
      <c r="N30" s="89" t="s">
        <v>203</v>
      </c>
      <c r="O30" s="91">
        <v>-1.3068467221607699E-4</v>
      </c>
      <c r="P30" s="92" t="s">
        <v>204</v>
      </c>
      <c r="R30" s="93">
        <f>R29/O34</f>
        <v>5.2411897432655116E-5</v>
      </c>
      <c r="T30" s="95">
        <f>T29*O28</f>
        <v>10.810729363511909</v>
      </c>
    </row>
    <row r="31" spans="1:20" ht="18" customHeight="1" x14ac:dyDescent="0.25">
      <c r="A31" s="102"/>
      <c r="B31" s="105"/>
      <c r="C31" s="105"/>
      <c r="D31" s="106"/>
      <c r="E31" s="106"/>
      <c r="F31" s="105"/>
      <c r="H31" s="316"/>
      <c r="I31" s="319"/>
      <c r="J31" s="157">
        <f>RADIANS(J30)*1000000</f>
        <v>52.089730427416669</v>
      </c>
      <c r="K31" s="158" t="s">
        <v>44</v>
      </c>
      <c r="M31" s="320"/>
      <c r="N31" s="89" t="s">
        <v>45</v>
      </c>
      <c r="O31" s="91">
        <f>O30/$O$25*1000000</f>
        <v>-57.570201619077118</v>
      </c>
      <c r="P31" s="46" t="s">
        <v>44</v>
      </c>
      <c r="R31" s="93">
        <f>R30*180/PI()*3600</f>
        <v>10.810729868989295</v>
      </c>
    </row>
    <row r="32" spans="1:20" x14ac:dyDescent="0.25">
      <c r="A32" s="102"/>
      <c r="B32" s="105"/>
      <c r="F32" s="105"/>
      <c r="H32" s="316"/>
      <c r="I32" s="318" t="s">
        <v>21</v>
      </c>
      <c r="J32" s="157">
        <f>J29/3600*J23</f>
        <v>2.4222032463784844E-3</v>
      </c>
      <c r="K32" s="158" t="s">
        <v>22</v>
      </c>
      <c r="M32" s="321" t="s">
        <v>206</v>
      </c>
      <c r="N32" s="321"/>
      <c r="O32" s="97">
        <f>J28</f>
        <v>11.646904394934415</v>
      </c>
      <c r="P32" s="97" t="s">
        <v>22</v>
      </c>
    </row>
    <row r="33" spans="8:16" x14ac:dyDescent="0.25">
      <c r="H33" s="317"/>
      <c r="I33" s="319"/>
      <c r="J33" s="157">
        <f>RADIANS(J32)*1000000</f>
        <v>42.275421801799965</v>
      </c>
      <c r="K33" s="158" t="s">
        <v>44</v>
      </c>
      <c r="M33" s="321"/>
      <c r="N33" s="321"/>
      <c r="O33" s="72">
        <f>O32/3600*PI()/180*1000000</f>
        <v>56.465785932389878</v>
      </c>
      <c r="P33" s="72" t="s">
        <v>207</v>
      </c>
    </row>
    <row r="34" spans="8:16" x14ac:dyDescent="0.25">
      <c r="H34" s="322"/>
      <c r="I34" s="322"/>
      <c r="J34" s="322"/>
      <c r="K34" s="322"/>
      <c r="M34" s="323" t="s">
        <v>208</v>
      </c>
      <c r="N34" s="323"/>
      <c r="O34" s="90">
        <f>(O29-O31)/(2*O33)</f>
        <v>0.95126423199193721</v>
      </c>
      <c r="P34" s="90" t="s">
        <v>209</v>
      </c>
    </row>
    <row r="35" spans="8:16" ht="18.75" x14ac:dyDescent="0.25">
      <c r="H35" s="324" t="s">
        <v>29</v>
      </c>
      <c r="I35" s="324"/>
      <c r="J35" s="324"/>
      <c r="K35" s="324"/>
      <c r="M35" s="325" t="s">
        <v>210</v>
      </c>
      <c r="N35" s="325"/>
      <c r="O35" s="98">
        <f>(O29/$O$34-$O$33)</f>
        <v>-4.0538884997347608</v>
      </c>
      <c r="P35" s="98" t="s">
        <v>207</v>
      </c>
    </row>
    <row r="36" spans="8:16" x14ac:dyDescent="0.25">
      <c r="H36" s="326" t="s">
        <v>30</v>
      </c>
      <c r="I36" s="327"/>
      <c r="J36" s="152">
        <v>-10</v>
      </c>
      <c r="K36" s="153" t="s">
        <v>31</v>
      </c>
      <c r="M36" s="325"/>
      <c r="N36" s="325"/>
      <c r="O36" s="99">
        <f>O35/1000000*3600*180/PI()</f>
        <v>-0.83617452594512254</v>
      </c>
      <c r="P36" s="99" t="s">
        <v>211</v>
      </c>
    </row>
    <row r="37" spans="8:16" x14ac:dyDescent="0.25">
      <c r="H37" s="328"/>
      <c r="I37" s="329"/>
      <c r="J37" s="152">
        <f>10^(J36/10)/1000</f>
        <v>1E-4</v>
      </c>
      <c r="K37" s="153" t="s">
        <v>37</v>
      </c>
    </row>
    <row r="38" spans="8:16" x14ac:dyDescent="0.25">
      <c r="H38" s="330"/>
      <c r="I38" s="331"/>
      <c r="J38" s="152">
        <f>10^(J36/10)*1000</f>
        <v>100</v>
      </c>
      <c r="K38" s="153" t="s">
        <v>38</v>
      </c>
      <c r="O38" s="21">
        <f>O29/O34</f>
        <v>52.411897432655117</v>
      </c>
    </row>
    <row r="39" spans="8:16" x14ac:dyDescent="0.25">
      <c r="H39" s="332" t="s">
        <v>32</v>
      </c>
      <c r="I39" s="333"/>
      <c r="J39" s="152">
        <v>1.05</v>
      </c>
      <c r="K39" s="153" t="s">
        <v>35</v>
      </c>
      <c r="O39" s="21">
        <f>O38/1000000*180/PI()*3600</f>
        <v>10.810729868989295</v>
      </c>
    </row>
    <row r="40" spans="8:16" x14ac:dyDescent="0.25">
      <c r="H40" s="332" t="s">
        <v>39</v>
      </c>
      <c r="I40" s="333"/>
      <c r="J40" s="152">
        <v>750</v>
      </c>
      <c r="K40" s="153" t="s">
        <v>33</v>
      </c>
      <c r="O40" s="21">
        <f>O31/O34</f>
        <v>-60.519674432124631</v>
      </c>
    </row>
    <row r="41" spans="8:16" x14ac:dyDescent="0.25">
      <c r="H41" s="314" t="s">
        <v>34</v>
      </c>
      <c r="I41" s="314"/>
      <c r="J41" s="152">
        <f>J37*J39*J40</f>
        <v>7.8750000000000001E-2</v>
      </c>
      <c r="K41" s="153" t="s">
        <v>36</v>
      </c>
      <c r="O41" s="21">
        <f>O40/1000000*180/PI()*3600</f>
        <v>-12.483078920879539</v>
      </c>
    </row>
    <row r="42" spans="8:16" x14ac:dyDescent="0.25">
      <c r="H42" s="314"/>
      <c r="I42" s="314"/>
      <c r="J42" s="152">
        <f>J41*1000</f>
        <v>78.75</v>
      </c>
      <c r="K42" s="153" t="s">
        <v>40</v>
      </c>
    </row>
    <row r="43" spans="8:16" ht="30" customHeight="1" x14ac:dyDescent="0.25">
      <c r="H43" s="314" t="s">
        <v>41</v>
      </c>
      <c r="I43" s="314"/>
      <c r="J43" s="159" t="str">
        <f>P61</f>
        <v>&lt;1mV</v>
      </c>
      <c r="K43" s="153" t="s">
        <v>40</v>
      </c>
    </row>
    <row r="44" spans="8:16" ht="30" customHeight="1" x14ac:dyDescent="0.25">
      <c r="H44" s="314" t="s">
        <v>60</v>
      </c>
      <c r="I44" s="314"/>
      <c r="J44" s="159">
        <f>P103</f>
        <v>585.20000000000005</v>
      </c>
      <c r="K44" s="153" t="s">
        <v>40</v>
      </c>
    </row>
    <row r="45" spans="8:16" ht="32.25" customHeight="1" x14ac:dyDescent="0.25">
      <c r="H45" s="314" t="s">
        <v>59</v>
      </c>
      <c r="I45" s="314"/>
      <c r="J45" s="152">
        <f t="shared" ref="J45:J46" si="0">P109</f>
        <v>538</v>
      </c>
      <c r="K45" s="153" t="s">
        <v>40</v>
      </c>
    </row>
    <row r="46" spans="8:16" ht="30" customHeight="1" x14ac:dyDescent="0.25">
      <c r="H46" s="314" t="s">
        <v>42</v>
      </c>
      <c r="I46" s="314"/>
      <c r="J46" s="159">
        <f t="shared" si="0"/>
        <v>72</v>
      </c>
      <c r="K46" s="153" t="s">
        <v>40</v>
      </c>
    </row>
    <row r="47" spans="8:16" ht="30" customHeight="1" x14ac:dyDescent="0.25">
      <c r="H47" s="309" t="s">
        <v>58</v>
      </c>
      <c r="I47" s="310"/>
      <c r="J47" s="159">
        <f>J45-J46</f>
        <v>466</v>
      </c>
      <c r="K47" s="153" t="s">
        <v>40</v>
      </c>
    </row>
    <row r="48" spans="8:16" ht="30" customHeight="1" x14ac:dyDescent="0.25">
      <c r="H48" s="314" t="s">
        <v>43</v>
      </c>
      <c r="I48" s="314"/>
      <c r="J48" s="159">
        <v>40</v>
      </c>
      <c r="K48" s="153" t="s">
        <v>40</v>
      </c>
    </row>
    <row r="49" spans="8:17" ht="46.5" customHeight="1" x14ac:dyDescent="0.25">
      <c r="H49" s="309" t="s">
        <v>53</v>
      </c>
      <c r="I49" s="310"/>
      <c r="J49" s="159">
        <v>3.3679999999999999</v>
      </c>
      <c r="K49" s="153" t="s">
        <v>36</v>
      </c>
    </row>
    <row r="50" spans="8:17" ht="21" customHeight="1" x14ac:dyDescent="0.25">
      <c r="H50" s="309" t="s">
        <v>56</v>
      </c>
      <c r="I50" s="310"/>
      <c r="J50" s="159">
        <v>5.1356223018406801</v>
      </c>
      <c r="K50" s="153" t="s">
        <v>57</v>
      </c>
    </row>
    <row r="51" spans="8:17" ht="30" customHeight="1" x14ac:dyDescent="0.25">
      <c r="H51" s="309" t="s">
        <v>54</v>
      </c>
      <c r="I51" s="310"/>
      <c r="J51" s="159">
        <v>0.5</v>
      </c>
      <c r="K51" s="153" t="s">
        <v>46</v>
      </c>
    </row>
    <row r="52" spans="8:17" ht="46.5" customHeight="1" x14ac:dyDescent="0.25">
      <c r="H52" s="311" t="s">
        <v>55</v>
      </c>
      <c r="I52" s="312"/>
      <c r="J52" s="160">
        <f>J49/J50*J51*PI()</f>
        <v>1.0301462447402026</v>
      </c>
      <c r="K52" s="158" t="s">
        <v>36</v>
      </c>
    </row>
    <row r="53" spans="8:17" ht="30" customHeight="1" x14ac:dyDescent="0.25">
      <c r="H53" s="309" t="s">
        <v>49</v>
      </c>
      <c r="I53" s="310"/>
      <c r="J53" s="159">
        <f>BESSELJ($J$51*PI(),0)</f>
        <v>0.47200121589085781</v>
      </c>
      <c r="K53" s="153"/>
    </row>
    <row r="54" spans="8:17" ht="30" customHeight="1" x14ac:dyDescent="0.25">
      <c r="H54" s="309" t="s">
        <v>47</v>
      </c>
      <c r="I54" s="310"/>
      <c r="J54" s="159">
        <f>BESSELJ($J$51*PI(),1)</f>
        <v>0.56682408890939029</v>
      </c>
      <c r="K54" s="153"/>
    </row>
    <row r="55" spans="8:17" ht="30" customHeight="1" x14ac:dyDescent="0.25">
      <c r="H55" s="309" t="s">
        <v>48</v>
      </c>
      <c r="I55" s="310"/>
      <c r="J55" s="159">
        <f>BESSELJ($J$51*PI(),2)</f>
        <v>0.24970164080993765</v>
      </c>
      <c r="K55" s="153"/>
    </row>
    <row r="56" spans="8:17" ht="30" customHeight="1" x14ac:dyDescent="0.25">
      <c r="H56" s="311" t="s">
        <v>51</v>
      </c>
      <c r="I56" s="312"/>
      <c r="J56" s="160">
        <f>-J47*J54*SIN(J31/1000000)*1000/SQRT(2)</f>
        <v>-9.7290699790221549</v>
      </c>
      <c r="K56" s="158" t="s">
        <v>50</v>
      </c>
    </row>
    <row r="57" spans="8:17" ht="30" customHeight="1" x14ac:dyDescent="0.25">
      <c r="H57" s="311" t="s">
        <v>52</v>
      </c>
      <c r="I57" s="312"/>
      <c r="J57" s="160">
        <f>-J47*J55*COS(J32/1000000)/SQRT(2)</f>
        <v>-82.279627146393338</v>
      </c>
      <c r="K57" s="158" t="s">
        <v>40</v>
      </c>
    </row>
    <row r="59" spans="8:17" x14ac:dyDescent="0.25">
      <c r="O59" s="313">
        <v>43222.487731944442</v>
      </c>
      <c r="P59" s="313"/>
    </row>
    <row r="60" spans="8:17" x14ac:dyDescent="0.25">
      <c r="N60" s="24" t="s">
        <v>61</v>
      </c>
      <c r="O60" s="22"/>
      <c r="Q60" s="22"/>
    </row>
    <row r="61" spans="8:17" x14ac:dyDescent="0.25">
      <c r="H61" s="308"/>
      <c r="I61" s="308"/>
      <c r="O61" s="22"/>
      <c r="P61" s="1" t="s">
        <v>62</v>
      </c>
      <c r="Q61" s="22"/>
    </row>
    <row r="62" spans="8:17" x14ac:dyDescent="0.25">
      <c r="H62" s="308"/>
      <c r="I62" s="308"/>
      <c r="N62" s="25" t="s">
        <v>63</v>
      </c>
      <c r="O62" s="22"/>
      <c r="Q62" s="22"/>
    </row>
    <row r="63" spans="8:17" x14ac:dyDescent="0.25">
      <c r="H63" s="308"/>
      <c r="I63" s="308"/>
      <c r="N63" s="23" t="s">
        <v>68</v>
      </c>
      <c r="O63" s="22" t="s">
        <v>64</v>
      </c>
      <c r="P63" s="22">
        <v>8.8000000000000007</v>
      </c>
      <c r="Q63" s="22" t="s">
        <v>40</v>
      </c>
    </row>
    <row r="64" spans="8:17" x14ac:dyDescent="0.25">
      <c r="H64" s="308"/>
      <c r="I64" s="308"/>
      <c r="O64" s="22" t="s">
        <v>65</v>
      </c>
      <c r="P64" s="22">
        <v>10.6</v>
      </c>
      <c r="Q64" s="22" t="s">
        <v>40</v>
      </c>
    </row>
    <row r="65" spans="8:17" x14ac:dyDescent="0.25">
      <c r="H65" s="308"/>
      <c r="I65" s="308"/>
      <c r="O65" s="22" t="s">
        <v>66</v>
      </c>
      <c r="P65" s="22">
        <v>7</v>
      </c>
      <c r="Q65" s="22" t="s">
        <v>40</v>
      </c>
    </row>
    <row r="66" spans="8:17" x14ac:dyDescent="0.25">
      <c r="H66" s="308"/>
      <c r="I66" s="308"/>
      <c r="N66" s="25" t="s">
        <v>67</v>
      </c>
      <c r="O66" s="22"/>
      <c r="Q66" s="22"/>
    </row>
    <row r="67" spans="8:17" x14ac:dyDescent="0.25">
      <c r="H67" s="308"/>
      <c r="I67" s="308"/>
      <c r="N67" s="23" t="s">
        <v>70</v>
      </c>
      <c r="O67" s="22" t="s">
        <v>71</v>
      </c>
      <c r="P67" s="22">
        <v>6</v>
      </c>
      <c r="Q67" s="22" t="s">
        <v>31</v>
      </c>
    </row>
    <row r="68" spans="8:17" x14ac:dyDescent="0.25">
      <c r="H68" s="308"/>
      <c r="I68" s="308"/>
      <c r="O68" s="22" t="s">
        <v>72</v>
      </c>
      <c r="P68" s="22">
        <v>5.97</v>
      </c>
      <c r="Q68" s="22" t="s">
        <v>31</v>
      </c>
    </row>
    <row r="69" spans="8:17" x14ac:dyDescent="0.25">
      <c r="H69" s="308"/>
      <c r="I69" s="308"/>
      <c r="N69" s="23" t="s">
        <v>69</v>
      </c>
      <c r="O69" s="22" t="s">
        <v>12</v>
      </c>
      <c r="P69" s="22">
        <v>-10.048999999999999</v>
      </c>
      <c r="Q69" s="22" t="s">
        <v>31</v>
      </c>
    </row>
    <row r="70" spans="8:17" x14ac:dyDescent="0.25">
      <c r="H70" s="308"/>
      <c r="I70" s="308"/>
      <c r="O70" s="22"/>
      <c r="P70" s="22">
        <f>10^(P69/10)*1000</f>
        <v>98.878074362692814</v>
      </c>
      <c r="Q70" s="22" t="s">
        <v>38</v>
      </c>
    </row>
    <row r="71" spans="8:17" x14ac:dyDescent="0.25">
      <c r="H71" s="308"/>
      <c r="I71" s="308"/>
      <c r="N71" s="23" t="s">
        <v>68</v>
      </c>
      <c r="O71" s="22" t="s">
        <v>64</v>
      </c>
      <c r="P71" s="22">
        <v>47.25</v>
      </c>
      <c r="Q71" s="22" t="s">
        <v>40</v>
      </c>
    </row>
    <row r="72" spans="8:17" x14ac:dyDescent="0.25">
      <c r="H72" s="308"/>
      <c r="I72" s="308"/>
      <c r="O72" s="22" t="s">
        <v>65</v>
      </c>
      <c r="P72" s="22">
        <v>49</v>
      </c>
      <c r="Q72" s="22" t="s">
        <v>40</v>
      </c>
    </row>
    <row r="73" spans="8:17" x14ac:dyDescent="0.25">
      <c r="H73" s="308"/>
      <c r="I73" s="308"/>
      <c r="O73" s="22" t="s">
        <v>66</v>
      </c>
      <c r="P73" s="22">
        <v>45.4</v>
      </c>
      <c r="Q73" s="22" t="s">
        <v>40</v>
      </c>
    </row>
    <row r="74" spans="8:17" x14ac:dyDescent="0.25">
      <c r="H74" s="308"/>
      <c r="I74" s="308"/>
      <c r="N74" s="25" t="s">
        <v>67</v>
      </c>
      <c r="O74" s="22"/>
      <c r="Q74" s="22"/>
    </row>
    <row r="75" spans="8:17" x14ac:dyDescent="0.25">
      <c r="H75" s="308"/>
      <c r="I75" s="308"/>
      <c r="N75" s="23" t="s">
        <v>70</v>
      </c>
      <c r="O75" s="22" t="s">
        <v>71</v>
      </c>
      <c r="P75" s="22">
        <v>9</v>
      </c>
      <c r="Q75" s="22" t="s">
        <v>31</v>
      </c>
    </row>
    <row r="76" spans="8:17" x14ac:dyDescent="0.25">
      <c r="H76" s="308"/>
      <c r="I76" s="308"/>
      <c r="O76" s="22" t="s">
        <v>72</v>
      </c>
      <c r="P76" s="22">
        <v>8.99</v>
      </c>
      <c r="Q76" s="22" t="s">
        <v>31</v>
      </c>
    </row>
    <row r="77" spans="8:17" x14ac:dyDescent="0.25">
      <c r="N77" s="23" t="s">
        <v>69</v>
      </c>
      <c r="O77" s="22" t="s">
        <v>12</v>
      </c>
      <c r="P77" s="22">
        <v>-7.0279999999999996</v>
      </c>
      <c r="Q77" s="22" t="s">
        <v>31</v>
      </c>
    </row>
    <row r="78" spans="8:17" x14ac:dyDescent="0.25">
      <c r="O78" s="22"/>
      <c r="P78" s="22">
        <f>10^(P77/10)*1000</f>
        <v>198.24397628726405</v>
      </c>
      <c r="Q78" s="22" t="s">
        <v>38</v>
      </c>
    </row>
    <row r="79" spans="8:17" x14ac:dyDescent="0.25">
      <c r="N79" s="23" t="s">
        <v>68</v>
      </c>
      <c r="O79" s="22" t="s">
        <v>64</v>
      </c>
      <c r="P79" s="22">
        <v>87.9</v>
      </c>
      <c r="Q79" s="22" t="s">
        <v>40</v>
      </c>
    </row>
    <row r="80" spans="8:17" x14ac:dyDescent="0.25">
      <c r="O80" s="22" t="s">
        <v>65</v>
      </c>
      <c r="P80" s="22">
        <v>90.7</v>
      </c>
      <c r="Q80" s="22" t="s">
        <v>40</v>
      </c>
    </row>
    <row r="81" spans="14:17" x14ac:dyDescent="0.25">
      <c r="O81" s="22" t="s">
        <v>66</v>
      </c>
      <c r="P81" s="22">
        <v>85.2</v>
      </c>
      <c r="Q81" s="22" t="s">
        <v>40</v>
      </c>
    </row>
    <row r="82" spans="14:17" x14ac:dyDescent="0.25">
      <c r="N82" s="25" t="s">
        <v>67</v>
      </c>
      <c r="O82" s="22"/>
      <c r="P82" s="22"/>
      <c r="Q82" s="22"/>
    </row>
    <row r="83" spans="14:17" x14ac:dyDescent="0.25">
      <c r="N83" s="23" t="s">
        <v>70</v>
      </c>
      <c r="O83" s="22" t="s">
        <v>71</v>
      </c>
      <c r="P83" s="22">
        <v>12</v>
      </c>
      <c r="Q83" s="22" t="s">
        <v>31</v>
      </c>
    </row>
    <row r="84" spans="14:17" x14ac:dyDescent="0.25">
      <c r="O84" s="22" t="s">
        <v>72</v>
      </c>
      <c r="P84" s="22">
        <v>11.99</v>
      </c>
      <c r="Q84" s="22" t="s">
        <v>31</v>
      </c>
    </row>
    <row r="85" spans="14:17" x14ac:dyDescent="0.25">
      <c r="N85" s="23" t="s">
        <v>69</v>
      </c>
      <c r="O85" s="22" t="s">
        <v>12</v>
      </c>
      <c r="P85" s="22">
        <v>-3.9746000000000001</v>
      </c>
      <c r="Q85" s="22" t="s">
        <v>31</v>
      </c>
    </row>
    <row r="86" spans="14:17" x14ac:dyDescent="0.25">
      <c r="O86" s="22"/>
      <c r="P86" s="22">
        <f>10^(P85/10)*1000</f>
        <v>400.44234873542689</v>
      </c>
      <c r="Q86" s="22" t="s">
        <v>38</v>
      </c>
    </row>
    <row r="87" spans="14:17" x14ac:dyDescent="0.25">
      <c r="N87" s="23" t="s">
        <v>68</v>
      </c>
      <c r="O87" s="22" t="s">
        <v>64</v>
      </c>
      <c r="P87" s="22">
        <v>167.2</v>
      </c>
      <c r="Q87" s="22" t="s">
        <v>40</v>
      </c>
    </row>
    <row r="88" spans="14:17" x14ac:dyDescent="0.25">
      <c r="O88" s="22" t="s">
        <v>65</v>
      </c>
      <c r="P88" s="22">
        <v>172</v>
      </c>
      <c r="Q88" s="22" t="s">
        <v>40</v>
      </c>
    </row>
    <row r="89" spans="14:17" x14ac:dyDescent="0.25">
      <c r="O89" s="22" t="s">
        <v>66</v>
      </c>
      <c r="P89" s="22">
        <v>162.5</v>
      </c>
      <c r="Q89" s="22" t="s">
        <v>40</v>
      </c>
    </row>
    <row r="90" spans="14:17" x14ac:dyDescent="0.25">
      <c r="N90" s="25" t="s">
        <v>67</v>
      </c>
      <c r="O90" s="22"/>
      <c r="Q90" s="22"/>
    </row>
    <row r="91" spans="14:17" x14ac:dyDescent="0.25">
      <c r="N91" s="23" t="s">
        <v>70</v>
      </c>
      <c r="O91" s="22" t="s">
        <v>71</v>
      </c>
      <c r="P91" s="22">
        <v>15</v>
      </c>
      <c r="Q91" s="22" t="s">
        <v>31</v>
      </c>
    </row>
    <row r="92" spans="14:17" x14ac:dyDescent="0.25">
      <c r="O92" s="22" t="s">
        <v>72</v>
      </c>
      <c r="P92" s="22">
        <v>15</v>
      </c>
      <c r="Q92" s="22" t="s">
        <v>31</v>
      </c>
    </row>
    <row r="93" spans="14:17" x14ac:dyDescent="0.25">
      <c r="N93" s="23" t="s">
        <v>69</v>
      </c>
      <c r="O93" s="22" t="s">
        <v>12</v>
      </c>
      <c r="P93" s="22">
        <v>-0.92130000000000001</v>
      </c>
      <c r="Q93" s="22" t="s">
        <v>31</v>
      </c>
    </row>
    <row r="94" spans="14:17" x14ac:dyDescent="0.25">
      <c r="O94" s="22"/>
      <c r="P94" s="22">
        <f>10^(P93/10)*1000</f>
        <v>808.8537438427901</v>
      </c>
      <c r="Q94" s="22" t="s">
        <v>38</v>
      </c>
    </row>
    <row r="95" spans="14:17" x14ac:dyDescent="0.25">
      <c r="N95" s="23" t="s">
        <v>68</v>
      </c>
      <c r="O95" s="22" t="s">
        <v>64</v>
      </c>
      <c r="P95" s="22">
        <v>331</v>
      </c>
      <c r="Q95" s="22" t="s">
        <v>40</v>
      </c>
    </row>
    <row r="96" spans="14:17" x14ac:dyDescent="0.25">
      <c r="O96" s="22" t="s">
        <v>65</v>
      </c>
      <c r="P96" s="22">
        <v>349</v>
      </c>
      <c r="Q96" s="22" t="s">
        <v>40</v>
      </c>
    </row>
    <row r="97" spans="14:17" x14ac:dyDescent="0.25">
      <c r="O97" s="22" t="s">
        <v>66</v>
      </c>
      <c r="P97" s="22">
        <v>315</v>
      </c>
      <c r="Q97" s="22" t="s">
        <v>40</v>
      </c>
    </row>
    <row r="98" spans="14:17" x14ac:dyDescent="0.25">
      <c r="N98" s="25" t="s">
        <v>67</v>
      </c>
      <c r="O98" s="22"/>
      <c r="Q98" s="22"/>
    </row>
    <row r="99" spans="14:17" x14ac:dyDescent="0.25">
      <c r="N99" s="23" t="s">
        <v>70</v>
      </c>
      <c r="O99" s="22" t="s">
        <v>71</v>
      </c>
      <c r="P99" s="22">
        <v>17.5</v>
      </c>
      <c r="Q99" s="22" t="s">
        <v>31</v>
      </c>
    </row>
    <row r="100" spans="14:17" x14ac:dyDescent="0.25">
      <c r="O100" s="22" t="s">
        <v>72</v>
      </c>
      <c r="P100" s="22">
        <v>17.489999999999998</v>
      </c>
      <c r="Q100" s="22" t="s">
        <v>31</v>
      </c>
    </row>
    <row r="101" spans="14:17" x14ac:dyDescent="0.25">
      <c r="N101" s="23" t="s">
        <v>69</v>
      </c>
      <c r="O101" s="22" t="s">
        <v>12</v>
      </c>
      <c r="P101" s="22">
        <v>1.6318999999999999</v>
      </c>
      <c r="Q101" s="22" t="s">
        <v>31</v>
      </c>
    </row>
    <row r="102" spans="14:17" x14ac:dyDescent="0.25">
      <c r="O102" s="22"/>
      <c r="P102" s="22">
        <f>10^(P101/10)*1000</f>
        <v>1456.0959703812969</v>
      </c>
      <c r="Q102" s="22" t="s">
        <v>38</v>
      </c>
    </row>
    <row r="103" spans="14:17" x14ac:dyDescent="0.25">
      <c r="N103" s="23" t="s">
        <v>68</v>
      </c>
      <c r="O103" s="22" t="s">
        <v>64</v>
      </c>
      <c r="P103" s="22">
        <v>585.20000000000005</v>
      </c>
      <c r="Q103" s="22" t="s">
        <v>40</v>
      </c>
    </row>
    <row r="104" spans="14:17" x14ac:dyDescent="0.25">
      <c r="O104" s="22" t="s">
        <v>65</v>
      </c>
      <c r="P104" s="22">
        <v>604.20000000000005</v>
      </c>
      <c r="Q104" s="22" t="s">
        <v>40</v>
      </c>
    </row>
    <row r="105" spans="14:17" x14ac:dyDescent="0.25">
      <c r="O105" s="22" t="s">
        <v>66</v>
      </c>
      <c r="P105" s="22">
        <v>566.20000000000005</v>
      </c>
      <c r="Q105" s="22" t="s">
        <v>40</v>
      </c>
    </row>
    <row r="106" spans="14:17" x14ac:dyDescent="0.25">
      <c r="N106" s="23" t="s">
        <v>73</v>
      </c>
    </row>
    <row r="107" spans="14:17" x14ac:dyDescent="0.25">
      <c r="N107" s="23" t="s">
        <v>74</v>
      </c>
      <c r="O107" s="21" t="s">
        <v>75</v>
      </c>
      <c r="P107" s="22">
        <v>2.7</v>
      </c>
      <c r="Q107" s="22" t="s">
        <v>76</v>
      </c>
    </row>
    <row r="108" spans="14:17" x14ac:dyDescent="0.25">
      <c r="N108" s="23" t="s">
        <v>29</v>
      </c>
      <c r="O108" s="22" t="s">
        <v>64</v>
      </c>
      <c r="P108" s="22">
        <v>186</v>
      </c>
      <c r="Q108" s="22" t="s">
        <v>40</v>
      </c>
    </row>
    <row r="109" spans="14:17" x14ac:dyDescent="0.25">
      <c r="O109" s="22" t="s">
        <v>79</v>
      </c>
      <c r="P109" s="22">
        <v>538</v>
      </c>
      <c r="Q109" s="22" t="s">
        <v>40</v>
      </c>
    </row>
    <row r="110" spans="14:17" x14ac:dyDescent="0.25">
      <c r="O110" s="22" t="s">
        <v>80</v>
      </c>
      <c r="P110" s="22">
        <v>72</v>
      </c>
      <c r="Q110" s="22" t="s">
        <v>40</v>
      </c>
    </row>
    <row r="111" spans="14:17" x14ac:dyDescent="0.25">
      <c r="N111" s="23" t="s">
        <v>77</v>
      </c>
      <c r="O111" s="21" t="s">
        <v>78</v>
      </c>
      <c r="P111" s="22">
        <v>5.43</v>
      </c>
      <c r="Q111" s="22" t="s">
        <v>76</v>
      </c>
    </row>
  </sheetData>
  <mergeCells count="73">
    <mergeCell ref="H6:K6"/>
    <mergeCell ref="H1:K1"/>
    <mergeCell ref="H2:K2"/>
    <mergeCell ref="H3:I3"/>
    <mergeCell ref="H4:I4"/>
    <mergeCell ref="H5:K5"/>
    <mergeCell ref="H7:I8"/>
    <mergeCell ref="H9:K9"/>
    <mergeCell ref="H10:K10"/>
    <mergeCell ref="H11:I11"/>
    <mergeCell ref="H12:H15"/>
    <mergeCell ref="I14:I15"/>
    <mergeCell ref="H28:H29"/>
    <mergeCell ref="M28:M29"/>
    <mergeCell ref="H16:I16"/>
    <mergeCell ref="H17:I17"/>
    <mergeCell ref="H18:I18"/>
    <mergeCell ref="H19:I19"/>
    <mergeCell ref="H20:I22"/>
    <mergeCell ref="H23:I23"/>
    <mergeCell ref="H24:I24"/>
    <mergeCell ref="H25:K25"/>
    <mergeCell ref="H26:K26"/>
    <mergeCell ref="H27:I27"/>
    <mergeCell ref="M27:N27"/>
    <mergeCell ref="H41:I42"/>
    <mergeCell ref="H30:H33"/>
    <mergeCell ref="I30:I31"/>
    <mergeCell ref="M30:M31"/>
    <mergeCell ref="I32:I33"/>
    <mergeCell ref="M32:N33"/>
    <mergeCell ref="H34:K34"/>
    <mergeCell ref="M34:N34"/>
    <mergeCell ref="H35:K35"/>
    <mergeCell ref="M35:N36"/>
    <mergeCell ref="H36:I38"/>
    <mergeCell ref="H39:I39"/>
    <mergeCell ref="H40:I40"/>
    <mergeCell ref="H54:I54"/>
    <mergeCell ref="H43:I43"/>
    <mergeCell ref="H44:I44"/>
    <mergeCell ref="H45:I45"/>
    <mergeCell ref="H46:I46"/>
    <mergeCell ref="H47:I47"/>
    <mergeCell ref="H48:I48"/>
    <mergeCell ref="H49:I49"/>
    <mergeCell ref="H50:I50"/>
    <mergeCell ref="H51:I51"/>
    <mergeCell ref="H52:I52"/>
    <mergeCell ref="H53:I53"/>
    <mergeCell ref="H68:I68"/>
    <mergeCell ref="H55:I55"/>
    <mergeCell ref="H56:I56"/>
    <mergeCell ref="H57:I57"/>
    <mergeCell ref="O59:P59"/>
    <mergeCell ref="H61:I61"/>
    <mergeCell ref="H62:I62"/>
    <mergeCell ref="B5:B13"/>
    <mergeCell ref="B14:B19"/>
    <mergeCell ref="B20:B28"/>
    <mergeCell ref="H75:I75"/>
    <mergeCell ref="H76:I76"/>
    <mergeCell ref="H69:I69"/>
    <mergeCell ref="H70:I70"/>
    <mergeCell ref="H71:I71"/>
    <mergeCell ref="H72:I72"/>
    <mergeCell ref="H73:I73"/>
    <mergeCell ref="H74:I74"/>
    <mergeCell ref="H63:I63"/>
    <mergeCell ref="H64:I64"/>
    <mergeCell ref="H65:I65"/>
    <mergeCell ref="H66:I66"/>
    <mergeCell ref="H67:I6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1"/>
  <sheetViews>
    <sheetView topLeftCell="A40" workbookViewId="0">
      <selection activeCell="D40" sqref="D40"/>
    </sheetView>
  </sheetViews>
  <sheetFormatPr defaultRowHeight="15" x14ac:dyDescent="0.25"/>
  <cols>
    <col min="2" max="2" width="9.28515625" style="14" bestFit="1" customWidth="1"/>
    <col min="3" max="3" width="11.42578125" style="1" customWidth="1"/>
    <col min="4" max="4" width="12" style="14" bestFit="1" customWidth="1"/>
    <col min="5" max="5" width="4.85546875" style="1" bestFit="1" customWidth="1"/>
    <col min="8" max="8" width="12.5703125" style="23" bestFit="1" customWidth="1"/>
    <col min="9" max="9" width="13.7109375" style="21" bestFit="1" customWidth="1"/>
    <col min="12" max="12" width="10.5703125" bestFit="1" customWidth="1"/>
    <col min="14" max="14" width="26.7109375" bestFit="1" customWidth="1"/>
  </cols>
  <sheetData>
    <row r="1" spans="2:5" x14ac:dyDescent="0.25">
      <c r="B1" s="338"/>
      <c r="C1" s="338"/>
      <c r="D1" s="338"/>
      <c r="E1" s="338"/>
    </row>
    <row r="2" spans="2:5" ht="18.75" x14ac:dyDescent="0.25">
      <c r="B2" s="342" t="s">
        <v>28</v>
      </c>
      <c r="C2" s="342"/>
      <c r="D2" s="342"/>
      <c r="E2" s="342"/>
    </row>
    <row r="3" spans="2:5" x14ac:dyDescent="0.25">
      <c r="B3" s="337" t="s">
        <v>24</v>
      </c>
      <c r="C3" s="337"/>
      <c r="D3" s="6">
        <v>299792458</v>
      </c>
      <c r="E3" s="3" t="s">
        <v>0</v>
      </c>
    </row>
    <row r="4" spans="2:5" x14ac:dyDescent="0.25">
      <c r="B4" s="337" t="s">
        <v>25</v>
      </c>
      <c r="C4" s="337"/>
      <c r="D4" s="6">
        <v>1.468</v>
      </c>
      <c r="E4" s="3"/>
    </row>
    <row r="5" spans="2:5" x14ac:dyDescent="0.25">
      <c r="B5" s="338"/>
      <c r="C5" s="338"/>
      <c r="D5" s="338"/>
      <c r="E5" s="338"/>
    </row>
    <row r="6" spans="2:5" ht="18.75" x14ac:dyDescent="0.25">
      <c r="B6" s="342" t="s">
        <v>26</v>
      </c>
      <c r="C6" s="342"/>
      <c r="D6" s="342"/>
      <c r="E6" s="342"/>
    </row>
    <row r="7" spans="2:5" x14ac:dyDescent="0.25">
      <c r="B7" s="337" t="s">
        <v>17</v>
      </c>
      <c r="C7" s="337"/>
      <c r="D7" s="6">
        <v>1547.21</v>
      </c>
      <c r="E7" s="3" t="s">
        <v>6</v>
      </c>
    </row>
    <row r="8" spans="2:5" x14ac:dyDescent="0.25">
      <c r="B8" s="337"/>
      <c r="C8" s="337"/>
      <c r="D8" s="6">
        <f>D7/1000000000</f>
        <v>1.54721E-6</v>
      </c>
      <c r="E8" s="3" t="s">
        <v>1</v>
      </c>
    </row>
    <row r="9" spans="2:5" x14ac:dyDescent="0.25">
      <c r="B9" s="338"/>
      <c r="C9" s="338"/>
      <c r="D9" s="338"/>
      <c r="E9" s="338"/>
    </row>
    <row r="10" spans="2:5" ht="18.75" x14ac:dyDescent="0.25">
      <c r="B10" s="342" t="s">
        <v>18</v>
      </c>
      <c r="C10" s="342"/>
      <c r="D10" s="342"/>
      <c r="E10" s="342"/>
    </row>
    <row r="11" spans="2:5" ht="18.75" x14ac:dyDescent="0.25">
      <c r="B11" s="151"/>
      <c r="C11" s="151"/>
      <c r="D11" s="151"/>
      <c r="E11" s="151"/>
    </row>
    <row r="12" spans="2:5" x14ac:dyDescent="0.25">
      <c r="B12" s="337" t="s">
        <v>187</v>
      </c>
      <c r="C12" s="337"/>
      <c r="D12" s="6">
        <f>153*7</f>
        <v>1071</v>
      </c>
      <c r="E12" s="7" t="s">
        <v>1</v>
      </c>
    </row>
    <row r="13" spans="2:5" x14ac:dyDescent="0.25">
      <c r="B13" s="320" t="s">
        <v>185</v>
      </c>
      <c r="C13" s="2" t="s">
        <v>10</v>
      </c>
      <c r="D13" s="6">
        <v>104.46</v>
      </c>
      <c r="E13" s="7" t="s">
        <v>9</v>
      </c>
    </row>
    <row r="14" spans="2:5" x14ac:dyDescent="0.25">
      <c r="B14" s="337"/>
      <c r="C14" s="2" t="s">
        <v>11</v>
      </c>
      <c r="D14" s="6">
        <v>100.54</v>
      </c>
      <c r="E14" s="7" t="s">
        <v>9</v>
      </c>
    </row>
    <row r="15" spans="2:5" x14ac:dyDescent="0.25">
      <c r="B15" s="337"/>
      <c r="C15" s="344" t="s">
        <v>12</v>
      </c>
      <c r="D15" s="6">
        <f>AVERAGE(D13:D14)</f>
        <v>102.5</v>
      </c>
      <c r="E15" s="7" t="s">
        <v>9</v>
      </c>
    </row>
    <row r="16" spans="2:5" x14ac:dyDescent="0.25">
      <c r="B16" s="337"/>
      <c r="C16" s="344"/>
      <c r="D16" s="8">
        <f>D15/1000</f>
        <v>0.10249999999999999</v>
      </c>
      <c r="E16" s="7" t="s">
        <v>1</v>
      </c>
    </row>
    <row r="17" spans="2:14" x14ac:dyDescent="0.25">
      <c r="B17" s="344" t="s">
        <v>186</v>
      </c>
      <c r="C17" s="344"/>
      <c r="D17" s="8">
        <f>D12/(PI()*D16)</f>
        <v>3325.9501278325843</v>
      </c>
      <c r="E17" s="7"/>
    </row>
    <row r="18" spans="2:14" x14ac:dyDescent="0.25">
      <c r="B18" s="339" t="s">
        <v>188</v>
      </c>
      <c r="C18" s="340"/>
      <c r="D18" s="8">
        <f>D12</f>
        <v>1071</v>
      </c>
      <c r="E18" s="7" t="s">
        <v>1</v>
      </c>
    </row>
    <row r="19" spans="2:14" x14ac:dyDescent="0.25">
      <c r="B19" s="344" t="s">
        <v>3</v>
      </c>
      <c r="C19" s="344"/>
      <c r="D19" s="8">
        <f>D16*D18</f>
        <v>109.77749999999999</v>
      </c>
      <c r="E19" s="7" t="s">
        <v>4</v>
      </c>
    </row>
    <row r="20" spans="2:14" x14ac:dyDescent="0.25">
      <c r="B20" s="345" t="s">
        <v>2</v>
      </c>
      <c r="C20" s="345"/>
      <c r="D20" s="8">
        <f>D12/($D$3/$D$4)</f>
        <v>5.2443881026520023E-6</v>
      </c>
      <c r="E20" s="7" t="s">
        <v>7</v>
      </c>
    </row>
    <row r="21" spans="2:14" x14ac:dyDescent="0.25">
      <c r="B21" s="343" t="s">
        <v>14</v>
      </c>
      <c r="C21" s="343"/>
      <c r="D21" s="9">
        <f>1/(2*D20)</f>
        <v>95340.007301739941</v>
      </c>
      <c r="E21" s="10" t="s">
        <v>5</v>
      </c>
    </row>
    <row r="22" spans="2:14" x14ac:dyDescent="0.25">
      <c r="B22" s="343"/>
      <c r="C22" s="343"/>
      <c r="D22" s="9">
        <f>D21/1000</f>
        <v>95.340007301739945</v>
      </c>
      <c r="E22" s="10" t="s">
        <v>13</v>
      </c>
      <c r="H22" s="23" t="s">
        <v>242</v>
      </c>
      <c r="I22" s="21">
        <v>0.5</v>
      </c>
      <c r="J22" t="s">
        <v>243</v>
      </c>
    </row>
    <row r="23" spans="2:14" x14ac:dyDescent="0.25">
      <c r="B23" s="325" t="s">
        <v>15</v>
      </c>
      <c r="C23" s="325"/>
      <c r="D23" s="11">
        <f>2*PI()*D19/(D8*D3)</f>
        <v>1.4870420104400872</v>
      </c>
      <c r="E23" s="4" t="s">
        <v>7</v>
      </c>
      <c r="H23" s="23" t="s">
        <v>196</v>
      </c>
      <c r="I23" s="21">
        <f>BESSELJ(PI()*$I$22,1)</f>
        <v>0.56682408890939029</v>
      </c>
    </row>
    <row r="24" spans="2:14" x14ac:dyDescent="0.25">
      <c r="B24" s="325" t="s">
        <v>16</v>
      </c>
      <c r="C24" s="325"/>
      <c r="D24" s="11">
        <f>1/D23</f>
        <v>0.67247595762546875</v>
      </c>
      <c r="E24" s="4" t="s">
        <v>5</v>
      </c>
      <c r="H24" s="23" t="s">
        <v>197</v>
      </c>
      <c r="I24" s="21">
        <f>BESSELJ(PI()*$I$22,2)</f>
        <v>0.24970164080993765</v>
      </c>
    </row>
    <row r="25" spans="2:14" x14ac:dyDescent="0.25">
      <c r="B25" s="338"/>
      <c r="C25" s="338"/>
      <c r="D25" s="338"/>
      <c r="E25" s="338"/>
      <c r="H25" s="23" t="s">
        <v>198</v>
      </c>
      <c r="I25" s="21">
        <f>I23/I24</f>
        <v>2.270005463603793</v>
      </c>
    </row>
    <row r="26" spans="2:14" ht="18.75" x14ac:dyDescent="0.25">
      <c r="B26" s="342" t="s">
        <v>27</v>
      </c>
      <c r="C26" s="342"/>
      <c r="D26" s="342"/>
      <c r="E26" s="342"/>
    </row>
    <row r="27" spans="2:14" x14ac:dyDescent="0.25">
      <c r="B27" s="320" t="s">
        <v>8</v>
      </c>
      <c r="C27" s="320"/>
      <c r="D27" s="6">
        <v>50.937615999999998</v>
      </c>
      <c r="E27" s="3" t="s">
        <v>23</v>
      </c>
      <c r="G27" s="337" t="s">
        <v>199</v>
      </c>
      <c r="H27" s="337"/>
      <c r="I27" s="86" t="s">
        <v>200</v>
      </c>
      <c r="J27" s="86" t="s">
        <v>201</v>
      </c>
    </row>
    <row r="28" spans="2:14" ht="30" x14ac:dyDescent="0.25">
      <c r="B28" s="337" t="s">
        <v>19</v>
      </c>
      <c r="C28" s="4" t="s">
        <v>20</v>
      </c>
      <c r="D28" s="11">
        <f>15*SIN(RADIANS(D27))</f>
        <v>11.646904394934415</v>
      </c>
      <c r="E28" s="4" t="s">
        <v>22</v>
      </c>
      <c r="G28" s="320" t="s">
        <v>202</v>
      </c>
      <c r="H28" s="84" t="s">
        <v>203</v>
      </c>
      <c r="I28" s="91">
        <v>1.13176941225801E-4</v>
      </c>
      <c r="J28" s="92" t="s">
        <v>204</v>
      </c>
    </row>
    <row r="29" spans="2:14" ht="18" x14ac:dyDescent="0.25">
      <c r="B29" s="337"/>
      <c r="C29" s="4" t="s">
        <v>21</v>
      </c>
      <c r="D29" s="11">
        <f>15*COS(RADIANS(D27))</f>
        <v>9.4524926879240372</v>
      </c>
      <c r="E29" s="4" t="s">
        <v>22</v>
      </c>
      <c r="G29" s="320"/>
      <c r="H29" s="84" t="s">
        <v>45</v>
      </c>
      <c r="I29" s="91">
        <f>I28/$I$25*1000000</f>
        <v>49.857563358514852</v>
      </c>
      <c r="J29" s="46" t="s">
        <v>44</v>
      </c>
      <c r="L29" s="93">
        <f>I28/I25</f>
        <v>4.9857563358514854E-5</v>
      </c>
      <c r="N29" s="94">
        <v>95520.600277959995</v>
      </c>
    </row>
    <row r="30" spans="2:14" ht="30" x14ac:dyDescent="0.25">
      <c r="B30" s="355" t="s">
        <v>45</v>
      </c>
      <c r="C30" s="358" t="s">
        <v>20</v>
      </c>
      <c r="D30" s="11">
        <f>D28/3600*D23</f>
        <v>4.8109544796796563E-3</v>
      </c>
      <c r="E30" s="4" t="s">
        <v>23</v>
      </c>
      <c r="G30" s="320" t="s">
        <v>205</v>
      </c>
      <c r="H30" s="84" t="s">
        <v>203</v>
      </c>
      <c r="I30" s="91">
        <v>-1.3068467221607699E-4</v>
      </c>
      <c r="J30" s="92" t="s">
        <v>204</v>
      </c>
      <c r="L30" s="93">
        <f>L29/I34</f>
        <v>5.2411897432655116E-5</v>
      </c>
      <c r="N30" s="95">
        <f>N29*I28</f>
        <v>10.810729363511909</v>
      </c>
    </row>
    <row r="31" spans="2:14" ht="18" x14ac:dyDescent="0.25">
      <c r="B31" s="356"/>
      <c r="C31" s="359"/>
      <c r="D31" s="11">
        <f>RADIANS(D30)*1000000</f>
        <v>83.966995833980647</v>
      </c>
      <c r="E31" s="4" t="s">
        <v>44</v>
      </c>
      <c r="G31" s="320"/>
      <c r="H31" s="84" t="s">
        <v>45</v>
      </c>
      <c r="I31" s="96">
        <f>I30/$I$25*1000000</f>
        <v>-57.570201619077118</v>
      </c>
      <c r="J31" s="46" t="s">
        <v>44</v>
      </c>
      <c r="L31" s="93">
        <f>L30*180/PI()*3600</f>
        <v>10.810729868989295</v>
      </c>
    </row>
    <row r="32" spans="2:14" x14ac:dyDescent="0.25">
      <c r="B32" s="356"/>
      <c r="C32" s="358" t="s">
        <v>21</v>
      </c>
      <c r="D32" s="11">
        <f>D29/3600*D23</f>
        <v>3.9045149250891069E-3</v>
      </c>
      <c r="E32" s="4" t="s">
        <v>22</v>
      </c>
      <c r="G32" s="321" t="s">
        <v>206</v>
      </c>
      <c r="H32" s="321"/>
      <c r="I32" s="97">
        <f>D28</f>
        <v>11.646904394934415</v>
      </c>
      <c r="J32" s="97" t="s">
        <v>22</v>
      </c>
    </row>
    <row r="33" spans="2:10" x14ac:dyDescent="0.25">
      <c r="B33" s="357"/>
      <c r="C33" s="359"/>
      <c r="D33" s="11">
        <f>RADIANS(D32)*1000000</f>
        <v>68.146641136064673</v>
      </c>
      <c r="E33" s="4" t="s">
        <v>44</v>
      </c>
      <c r="G33" s="321"/>
      <c r="H33" s="321"/>
      <c r="I33" s="72">
        <f>I32/3600*PI()/180*1000000</f>
        <v>56.465785932389878</v>
      </c>
      <c r="J33" s="72" t="s">
        <v>207</v>
      </c>
    </row>
    <row r="34" spans="2:10" x14ac:dyDescent="0.25">
      <c r="B34" s="338"/>
      <c r="C34" s="338"/>
      <c r="D34" s="338"/>
      <c r="E34" s="338"/>
      <c r="G34" s="323" t="s">
        <v>208</v>
      </c>
      <c r="H34" s="323"/>
      <c r="I34" s="85">
        <f>(I29-I31)/(2*I33)</f>
        <v>0.95126423199193721</v>
      </c>
      <c r="J34" s="85" t="s">
        <v>209</v>
      </c>
    </row>
    <row r="35" spans="2:10" ht="18.75" x14ac:dyDescent="0.25">
      <c r="B35" s="342" t="s">
        <v>29</v>
      </c>
      <c r="C35" s="342"/>
      <c r="D35" s="342"/>
      <c r="E35" s="342"/>
      <c r="G35" s="325" t="s">
        <v>210</v>
      </c>
      <c r="H35" s="325"/>
      <c r="I35" s="98">
        <f>(I29/$I$34-$I$33)</f>
        <v>-4.0538884997347608</v>
      </c>
      <c r="J35" s="98" t="s">
        <v>207</v>
      </c>
    </row>
    <row r="36" spans="2:10" x14ac:dyDescent="0.25">
      <c r="B36" s="362" t="s">
        <v>30</v>
      </c>
      <c r="C36" s="363"/>
      <c r="D36" s="6" t="s">
        <v>244</v>
      </c>
      <c r="E36" s="7" t="s">
        <v>31</v>
      </c>
      <c r="G36" s="325"/>
      <c r="H36" s="325"/>
      <c r="I36" s="99">
        <f>I35/1000000*3600*180/PI()</f>
        <v>-0.83617452594512254</v>
      </c>
      <c r="J36" s="99" t="s">
        <v>211</v>
      </c>
    </row>
    <row r="37" spans="2:10" x14ac:dyDescent="0.25">
      <c r="B37" s="364"/>
      <c r="C37" s="365"/>
      <c r="D37" s="6" t="e">
        <f>10^(D36/10)/1000</f>
        <v>#VALUE!</v>
      </c>
      <c r="E37" s="7" t="s">
        <v>37</v>
      </c>
    </row>
    <row r="38" spans="2:10" x14ac:dyDescent="0.25">
      <c r="B38" s="366"/>
      <c r="C38" s="367"/>
      <c r="D38" s="6" t="e">
        <f>10^(D36/10)*1000</f>
        <v>#VALUE!</v>
      </c>
      <c r="E38" s="7" t="s">
        <v>38</v>
      </c>
      <c r="I38" s="21">
        <f>I29/I34</f>
        <v>52.411897432655117</v>
      </c>
    </row>
    <row r="39" spans="2:10" x14ac:dyDescent="0.25">
      <c r="B39" s="360" t="s">
        <v>32</v>
      </c>
      <c r="C39" s="361"/>
      <c r="D39" s="6">
        <v>1.05</v>
      </c>
      <c r="E39" s="7" t="s">
        <v>35</v>
      </c>
      <c r="I39" s="21">
        <f>I38/1000000*180/PI()*3600</f>
        <v>10.810729868989295</v>
      </c>
    </row>
    <row r="40" spans="2:10" x14ac:dyDescent="0.25">
      <c r="B40" s="360" t="s">
        <v>39</v>
      </c>
      <c r="C40" s="361"/>
      <c r="D40" s="6">
        <v>750</v>
      </c>
      <c r="E40" s="7" t="s">
        <v>33</v>
      </c>
      <c r="I40" s="21">
        <f>I31/I34</f>
        <v>-60.519674432124631</v>
      </c>
    </row>
    <row r="41" spans="2:10" x14ac:dyDescent="0.25">
      <c r="B41" s="320" t="s">
        <v>34</v>
      </c>
      <c r="C41" s="320"/>
      <c r="D41" s="6" t="e">
        <f>D37*D39*D40</f>
        <v>#VALUE!</v>
      </c>
      <c r="E41" s="7" t="s">
        <v>36</v>
      </c>
      <c r="I41" s="21">
        <f>I40/1000000*180/PI()*3600</f>
        <v>-12.483078920879539</v>
      </c>
    </row>
    <row r="42" spans="2:10" x14ac:dyDescent="0.25">
      <c r="B42" s="320"/>
      <c r="C42" s="320"/>
      <c r="D42" s="6" t="e">
        <f>D41*1000</f>
        <v>#VALUE!</v>
      </c>
      <c r="E42" s="3" t="s">
        <v>40</v>
      </c>
    </row>
    <row r="43" spans="2:10" ht="30" customHeight="1" x14ac:dyDescent="0.25">
      <c r="B43" s="348" t="s">
        <v>41</v>
      </c>
      <c r="C43" s="348"/>
      <c r="D43" s="5"/>
      <c r="E43" s="13" t="s">
        <v>40</v>
      </c>
    </row>
    <row r="44" spans="2:10" ht="30" customHeight="1" x14ac:dyDescent="0.25">
      <c r="B44" s="348" t="s">
        <v>60</v>
      </c>
      <c r="C44" s="348"/>
      <c r="D44" s="5">
        <v>267</v>
      </c>
      <c r="E44" s="13" t="s">
        <v>40</v>
      </c>
      <c r="G44">
        <v>267</v>
      </c>
      <c r="H44" s="23" t="s">
        <v>40</v>
      </c>
      <c r="I44" s="23" t="s">
        <v>245</v>
      </c>
    </row>
    <row r="45" spans="2:10" ht="32.25" customHeight="1" x14ac:dyDescent="0.25">
      <c r="B45" s="348" t="s">
        <v>59</v>
      </c>
      <c r="C45" s="348"/>
      <c r="D45" s="12"/>
      <c r="E45" s="13" t="s">
        <v>40</v>
      </c>
    </row>
    <row r="46" spans="2:10" ht="30" customHeight="1" x14ac:dyDescent="0.25">
      <c r="B46" s="348" t="s">
        <v>42</v>
      </c>
      <c r="C46" s="348"/>
      <c r="D46" s="5"/>
      <c r="E46" s="13" t="s">
        <v>40</v>
      </c>
    </row>
    <row r="47" spans="2:10" ht="30" customHeight="1" x14ac:dyDescent="0.25">
      <c r="B47" s="349" t="s">
        <v>58</v>
      </c>
      <c r="C47" s="350"/>
      <c r="D47" s="15"/>
      <c r="E47" s="16" t="s">
        <v>40</v>
      </c>
    </row>
    <row r="48" spans="2:10" ht="30" customHeight="1" x14ac:dyDescent="0.25">
      <c r="B48" s="348" t="s">
        <v>43</v>
      </c>
      <c r="C48" s="348"/>
      <c r="D48" s="5"/>
      <c r="E48" s="13" t="s">
        <v>40</v>
      </c>
    </row>
    <row r="49" spans="2:11" ht="46.5" customHeight="1" x14ac:dyDescent="0.25">
      <c r="B49" s="349" t="s">
        <v>53</v>
      </c>
      <c r="C49" s="350"/>
      <c r="D49" s="15"/>
      <c r="E49" s="16" t="s">
        <v>36</v>
      </c>
    </row>
    <row r="50" spans="2:11" ht="21" customHeight="1" x14ac:dyDescent="0.25">
      <c r="B50" s="353" t="s">
        <v>56</v>
      </c>
      <c r="C50" s="354"/>
      <c r="D50" s="5">
        <v>5.1356223018406801</v>
      </c>
      <c r="E50" s="13" t="s">
        <v>57</v>
      </c>
    </row>
    <row r="51" spans="2:11" ht="30" customHeight="1" x14ac:dyDescent="0.25">
      <c r="B51" s="353" t="s">
        <v>54</v>
      </c>
      <c r="C51" s="354"/>
      <c r="D51" s="5">
        <v>0.5</v>
      </c>
      <c r="E51" s="13" t="s">
        <v>46</v>
      </c>
    </row>
    <row r="52" spans="2:11" ht="46.5" customHeight="1" x14ac:dyDescent="0.25">
      <c r="B52" s="351" t="s">
        <v>55</v>
      </c>
      <c r="C52" s="352"/>
      <c r="D52" s="19">
        <f>D49/D50*D51*PI()</f>
        <v>0</v>
      </c>
      <c r="E52" s="20" t="s">
        <v>36</v>
      </c>
    </row>
    <row r="53" spans="2:11" ht="30" customHeight="1" x14ac:dyDescent="0.25">
      <c r="B53" s="349" t="s">
        <v>49</v>
      </c>
      <c r="C53" s="350"/>
      <c r="D53" s="15">
        <f>BESSELJ($D$51*PI(),0)</f>
        <v>0.47200121589085781</v>
      </c>
      <c r="E53" s="16"/>
    </row>
    <row r="54" spans="2:11" ht="30" customHeight="1" x14ac:dyDescent="0.25">
      <c r="B54" s="349" t="s">
        <v>47</v>
      </c>
      <c r="C54" s="350"/>
      <c r="D54" s="15">
        <f>BESSELJ($D$51*PI(),1)</f>
        <v>0.56682408890939029</v>
      </c>
      <c r="E54" s="16"/>
    </row>
    <row r="55" spans="2:11" ht="30" customHeight="1" x14ac:dyDescent="0.25">
      <c r="B55" s="349" t="s">
        <v>48</v>
      </c>
      <c r="C55" s="350"/>
      <c r="D55" s="15">
        <f>BESSELJ($D$51*PI(),2)</f>
        <v>0.24970164080993765</v>
      </c>
      <c r="E55" s="16"/>
    </row>
    <row r="56" spans="2:11" ht="30" customHeight="1" x14ac:dyDescent="0.25">
      <c r="B56" s="346" t="s">
        <v>51</v>
      </c>
      <c r="C56" s="347"/>
      <c r="D56" s="17">
        <f>-D47*D54*SIN(D31/1000000)*1000/SQRT(2)</f>
        <v>0</v>
      </c>
      <c r="E56" s="18" t="s">
        <v>50</v>
      </c>
    </row>
    <row r="57" spans="2:11" ht="30" customHeight="1" x14ac:dyDescent="0.25">
      <c r="B57" s="346" t="s">
        <v>52</v>
      </c>
      <c r="C57" s="347"/>
      <c r="D57" s="17">
        <f>-D47*D55*COS(D32/1000000)/SQRT(2)</f>
        <v>0</v>
      </c>
      <c r="E57" s="18" t="s">
        <v>40</v>
      </c>
    </row>
    <row r="59" spans="2:11" x14ac:dyDescent="0.25">
      <c r="I59" s="313">
        <v>43222.487731944442</v>
      </c>
      <c r="J59" s="313"/>
    </row>
    <row r="60" spans="2:11" x14ac:dyDescent="0.25">
      <c r="H60" s="24" t="s">
        <v>61</v>
      </c>
      <c r="I60" s="22"/>
      <c r="K60" s="22"/>
    </row>
    <row r="61" spans="2:11" x14ac:dyDescent="0.25">
      <c r="B61" s="341"/>
      <c r="C61" s="341"/>
      <c r="I61" s="22"/>
      <c r="J61" s="1" t="s">
        <v>62</v>
      </c>
      <c r="K61" s="22"/>
    </row>
    <row r="62" spans="2:11" x14ac:dyDescent="0.25">
      <c r="B62" s="341"/>
      <c r="C62" s="341"/>
      <c r="H62" s="25" t="s">
        <v>63</v>
      </c>
      <c r="I62" s="22"/>
      <c r="K62" s="22"/>
    </row>
    <row r="63" spans="2:11" x14ac:dyDescent="0.25">
      <c r="B63" s="341"/>
      <c r="C63" s="341"/>
      <c r="H63" s="23" t="s">
        <v>68</v>
      </c>
      <c r="I63" s="22" t="s">
        <v>64</v>
      </c>
      <c r="J63" s="22">
        <v>8.8000000000000007</v>
      </c>
      <c r="K63" s="22" t="s">
        <v>40</v>
      </c>
    </row>
    <row r="64" spans="2:11" x14ac:dyDescent="0.25">
      <c r="B64" s="341"/>
      <c r="C64" s="341"/>
      <c r="I64" s="22" t="s">
        <v>65</v>
      </c>
      <c r="J64" s="22">
        <v>10.6</v>
      </c>
      <c r="K64" s="22" t="s">
        <v>40</v>
      </c>
    </row>
    <row r="65" spans="2:11" x14ac:dyDescent="0.25">
      <c r="B65" s="341"/>
      <c r="C65" s="341"/>
      <c r="I65" s="22" t="s">
        <v>66</v>
      </c>
      <c r="J65" s="22">
        <v>7</v>
      </c>
      <c r="K65" s="22" t="s">
        <v>40</v>
      </c>
    </row>
    <row r="66" spans="2:11" x14ac:dyDescent="0.25">
      <c r="B66" s="341"/>
      <c r="C66" s="341"/>
      <c r="H66" s="25" t="s">
        <v>67</v>
      </c>
      <c r="I66" s="22"/>
      <c r="K66" s="22"/>
    </row>
    <row r="67" spans="2:11" x14ac:dyDescent="0.25">
      <c r="B67" s="341"/>
      <c r="C67" s="341"/>
      <c r="H67" s="23" t="s">
        <v>70</v>
      </c>
      <c r="I67" s="22" t="s">
        <v>71</v>
      </c>
      <c r="J67" s="22">
        <v>6</v>
      </c>
      <c r="K67" s="22" t="s">
        <v>31</v>
      </c>
    </row>
    <row r="68" spans="2:11" x14ac:dyDescent="0.25">
      <c r="B68" s="341"/>
      <c r="C68" s="341"/>
      <c r="I68" s="22" t="s">
        <v>72</v>
      </c>
      <c r="J68" s="22">
        <v>5.97</v>
      </c>
      <c r="K68" s="22" t="s">
        <v>31</v>
      </c>
    </row>
    <row r="69" spans="2:11" x14ac:dyDescent="0.25">
      <c r="B69" s="341"/>
      <c r="C69" s="341"/>
      <c r="H69" s="23" t="s">
        <v>69</v>
      </c>
      <c r="I69" s="22" t="s">
        <v>12</v>
      </c>
      <c r="J69" s="22">
        <v>-10.048999999999999</v>
      </c>
      <c r="K69" s="22" t="s">
        <v>31</v>
      </c>
    </row>
    <row r="70" spans="2:11" x14ac:dyDescent="0.25">
      <c r="B70" s="341"/>
      <c r="C70" s="341"/>
      <c r="I70" s="22"/>
      <c r="J70" s="22">
        <f>10^(J69/10)*1000</f>
        <v>98.878074362692814</v>
      </c>
      <c r="K70" s="22" t="s">
        <v>38</v>
      </c>
    </row>
    <row r="71" spans="2:11" x14ac:dyDescent="0.25">
      <c r="B71" s="341"/>
      <c r="C71" s="341"/>
      <c r="H71" s="23" t="s">
        <v>68</v>
      </c>
      <c r="I71" s="22" t="s">
        <v>64</v>
      </c>
      <c r="J71" s="22">
        <v>47.25</v>
      </c>
      <c r="K71" s="22" t="s">
        <v>40</v>
      </c>
    </row>
    <row r="72" spans="2:11" x14ac:dyDescent="0.25">
      <c r="B72" s="341"/>
      <c r="C72" s="341"/>
      <c r="I72" s="22" t="s">
        <v>65</v>
      </c>
      <c r="J72" s="22">
        <v>49</v>
      </c>
      <c r="K72" s="22" t="s">
        <v>40</v>
      </c>
    </row>
    <row r="73" spans="2:11" x14ac:dyDescent="0.25">
      <c r="B73" s="341"/>
      <c r="C73" s="341"/>
      <c r="I73" s="22" t="s">
        <v>66</v>
      </c>
      <c r="J73" s="22">
        <v>45.4</v>
      </c>
      <c r="K73" s="22" t="s">
        <v>40</v>
      </c>
    </row>
    <row r="74" spans="2:11" x14ac:dyDescent="0.25">
      <c r="B74" s="341"/>
      <c r="C74" s="341"/>
      <c r="H74" s="25" t="s">
        <v>67</v>
      </c>
      <c r="I74" s="22"/>
      <c r="K74" s="22"/>
    </row>
    <row r="75" spans="2:11" x14ac:dyDescent="0.25">
      <c r="B75" s="341"/>
      <c r="C75" s="341"/>
      <c r="H75" s="23" t="s">
        <v>70</v>
      </c>
      <c r="I75" s="22" t="s">
        <v>71</v>
      </c>
      <c r="J75" s="22">
        <v>9</v>
      </c>
      <c r="K75" s="22" t="s">
        <v>31</v>
      </c>
    </row>
    <row r="76" spans="2:11" x14ac:dyDescent="0.25">
      <c r="B76" s="341"/>
      <c r="C76" s="341"/>
      <c r="I76" s="22" t="s">
        <v>72</v>
      </c>
      <c r="J76" s="22">
        <v>8.99</v>
      </c>
      <c r="K76" s="22" t="s">
        <v>31</v>
      </c>
    </row>
    <row r="77" spans="2:11" x14ac:dyDescent="0.25">
      <c r="H77" s="23" t="s">
        <v>69</v>
      </c>
      <c r="I77" s="22" t="s">
        <v>12</v>
      </c>
      <c r="J77" s="22">
        <v>-7.0279999999999996</v>
      </c>
      <c r="K77" s="22" t="s">
        <v>31</v>
      </c>
    </row>
    <row r="78" spans="2:11" x14ac:dyDescent="0.25">
      <c r="I78" s="22"/>
      <c r="J78" s="22">
        <f>10^(J77/10)*1000</f>
        <v>198.24397628726405</v>
      </c>
      <c r="K78" s="22" t="s">
        <v>38</v>
      </c>
    </row>
    <row r="79" spans="2:11" x14ac:dyDescent="0.25">
      <c r="H79" s="23" t="s">
        <v>68</v>
      </c>
      <c r="I79" s="22" t="s">
        <v>64</v>
      </c>
      <c r="J79" s="22">
        <v>87.9</v>
      </c>
      <c r="K79" s="22" t="s">
        <v>40</v>
      </c>
    </row>
    <row r="80" spans="2:11" x14ac:dyDescent="0.25">
      <c r="I80" s="22" t="s">
        <v>65</v>
      </c>
      <c r="J80" s="22">
        <v>90.7</v>
      </c>
      <c r="K80" s="22" t="s">
        <v>40</v>
      </c>
    </row>
    <row r="81" spans="8:11" x14ac:dyDescent="0.25">
      <c r="I81" s="22" t="s">
        <v>66</v>
      </c>
      <c r="J81" s="22">
        <v>85.2</v>
      </c>
      <c r="K81" s="22" t="s">
        <v>40</v>
      </c>
    </row>
    <row r="82" spans="8:11" x14ac:dyDescent="0.25">
      <c r="H82" s="25" t="s">
        <v>67</v>
      </c>
      <c r="I82" s="22"/>
      <c r="J82" s="22"/>
      <c r="K82" s="22"/>
    </row>
    <row r="83" spans="8:11" x14ac:dyDescent="0.25">
      <c r="H83" s="23" t="s">
        <v>70</v>
      </c>
      <c r="I83" s="22" t="s">
        <v>71</v>
      </c>
      <c r="J83" s="22">
        <v>12</v>
      </c>
      <c r="K83" s="22" t="s">
        <v>31</v>
      </c>
    </row>
    <row r="84" spans="8:11" x14ac:dyDescent="0.25">
      <c r="I84" s="22" t="s">
        <v>72</v>
      </c>
      <c r="J84" s="22">
        <v>11.99</v>
      </c>
      <c r="K84" s="22" t="s">
        <v>31</v>
      </c>
    </row>
    <row r="85" spans="8:11" x14ac:dyDescent="0.25">
      <c r="H85" s="23" t="s">
        <v>69</v>
      </c>
      <c r="I85" s="22" t="s">
        <v>12</v>
      </c>
      <c r="J85" s="22">
        <v>-3.9746000000000001</v>
      </c>
      <c r="K85" s="22" t="s">
        <v>31</v>
      </c>
    </row>
    <row r="86" spans="8:11" x14ac:dyDescent="0.25">
      <c r="I86" s="22"/>
      <c r="J86" s="22">
        <f>10^(J85/10)*1000</f>
        <v>400.44234873542689</v>
      </c>
      <c r="K86" s="22" t="s">
        <v>38</v>
      </c>
    </row>
    <row r="87" spans="8:11" x14ac:dyDescent="0.25">
      <c r="H87" s="23" t="s">
        <v>68</v>
      </c>
      <c r="I87" s="22" t="s">
        <v>64</v>
      </c>
      <c r="J87" s="22">
        <v>167.2</v>
      </c>
      <c r="K87" s="22" t="s">
        <v>40</v>
      </c>
    </row>
    <row r="88" spans="8:11" x14ac:dyDescent="0.25">
      <c r="I88" s="22" t="s">
        <v>65</v>
      </c>
      <c r="J88" s="22">
        <v>172</v>
      </c>
      <c r="K88" s="22" t="s">
        <v>40</v>
      </c>
    </row>
    <row r="89" spans="8:11" x14ac:dyDescent="0.25">
      <c r="I89" s="22" t="s">
        <v>66</v>
      </c>
      <c r="J89" s="22">
        <v>162.5</v>
      </c>
      <c r="K89" s="22" t="s">
        <v>40</v>
      </c>
    </row>
    <row r="90" spans="8:11" x14ac:dyDescent="0.25">
      <c r="H90" s="25" t="s">
        <v>67</v>
      </c>
      <c r="I90" s="22"/>
      <c r="K90" s="22"/>
    </row>
    <row r="91" spans="8:11" x14ac:dyDescent="0.25">
      <c r="H91" s="23" t="s">
        <v>70</v>
      </c>
      <c r="I91" s="22" t="s">
        <v>71</v>
      </c>
      <c r="J91" s="22">
        <v>15</v>
      </c>
      <c r="K91" s="22" t="s">
        <v>31</v>
      </c>
    </row>
    <row r="92" spans="8:11" x14ac:dyDescent="0.25">
      <c r="I92" s="22" t="s">
        <v>72</v>
      </c>
      <c r="J92" s="22">
        <v>15</v>
      </c>
      <c r="K92" s="22" t="s">
        <v>31</v>
      </c>
    </row>
    <row r="93" spans="8:11" x14ac:dyDescent="0.25">
      <c r="H93" s="23" t="s">
        <v>69</v>
      </c>
      <c r="I93" s="22" t="s">
        <v>12</v>
      </c>
      <c r="J93" s="22">
        <v>-0.92130000000000001</v>
      </c>
      <c r="K93" s="22" t="s">
        <v>31</v>
      </c>
    </row>
    <row r="94" spans="8:11" x14ac:dyDescent="0.25">
      <c r="I94" s="22"/>
      <c r="J94" s="22">
        <f>10^(J93/10)*1000</f>
        <v>808.8537438427901</v>
      </c>
      <c r="K94" s="22" t="s">
        <v>38</v>
      </c>
    </row>
    <row r="95" spans="8:11" x14ac:dyDescent="0.25">
      <c r="H95" s="23" t="s">
        <v>68</v>
      </c>
      <c r="I95" s="22" t="s">
        <v>64</v>
      </c>
      <c r="J95" s="22">
        <v>331</v>
      </c>
      <c r="K95" s="22" t="s">
        <v>40</v>
      </c>
    </row>
    <row r="96" spans="8:11" x14ac:dyDescent="0.25">
      <c r="I96" s="22" t="s">
        <v>65</v>
      </c>
      <c r="J96" s="22">
        <v>349</v>
      </c>
      <c r="K96" s="22" t="s">
        <v>40</v>
      </c>
    </row>
    <row r="97" spans="8:11" x14ac:dyDescent="0.25">
      <c r="I97" s="22" t="s">
        <v>66</v>
      </c>
      <c r="J97" s="22">
        <v>315</v>
      </c>
      <c r="K97" s="22" t="s">
        <v>40</v>
      </c>
    </row>
    <row r="98" spans="8:11" x14ac:dyDescent="0.25">
      <c r="H98" s="25" t="s">
        <v>67</v>
      </c>
      <c r="I98" s="22"/>
      <c r="K98" s="22"/>
    </row>
    <row r="99" spans="8:11" x14ac:dyDescent="0.25">
      <c r="H99" s="23" t="s">
        <v>70</v>
      </c>
      <c r="I99" s="22" t="s">
        <v>71</v>
      </c>
      <c r="J99" s="22">
        <v>17.5</v>
      </c>
      <c r="K99" s="22" t="s">
        <v>31</v>
      </c>
    </row>
    <row r="100" spans="8:11" x14ac:dyDescent="0.25">
      <c r="I100" s="22" t="s">
        <v>72</v>
      </c>
      <c r="J100" s="22">
        <v>17.489999999999998</v>
      </c>
      <c r="K100" s="22" t="s">
        <v>31</v>
      </c>
    </row>
    <row r="101" spans="8:11" x14ac:dyDescent="0.25">
      <c r="H101" s="23" t="s">
        <v>69</v>
      </c>
      <c r="I101" s="22" t="s">
        <v>12</v>
      </c>
      <c r="J101" s="22">
        <v>1.6318999999999999</v>
      </c>
      <c r="K101" s="22" t="s">
        <v>31</v>
      </c>
    </row>
    <row r="102" spans="8:11" x14ac:dyDescent="0.25">
      <c r="I102" s="22"/>
      <c r="J102" s="22">
        <f>10^(J101/10)*1000</f>
        <v>1456.0959703812969</v>
      </c>
      <c r="K102" s="22" t="s">
        <v>38</v>
      </c>
    </row>
    <row r="103" spans="8:11" x14ac:dyDescent="0.25">
      <c r="H103" s="23" t="s">
        <v>68</v>
      </c>
      <c r="I103" s="22" t="s">
        <v>64</v>
      </c>
      <c r="J103" s="22">
        <v>585.20000000000005</v>
      </c>
      <c r="K103" s="22" t="s">
        <v>40</v>
      </c>
    </row>
    <row r="104" spans="8:11" x14ac:dyDescent="0.25">
      <c r="I104" s="22" t="s">
        <v>65</v>
      </c>
      <c r="J104" s="22">
        <v>604.20000000000005</v>
      </c>
      <c r="K104" s="22" t="s">
        <v>40</v>
      </c>
    </row>
    <row r="105" spans="8:11" x14ac:dyDescent="0.25">
      <c r="I105" s="22" t="s">
        <v>66</v>
      </c>
      <c r="J105" s="22">
        <v>566.20000000000005</v>
      </c>
      <c r="K105" s="22" t="s">
        <v>40</v>
      </c>
    </row>
    <row r="106" spans="8:11" x14ac:dyDescent="0.25">
      <c r="H106" s="23" t="s">
        <v>73</v>
      </c>
    </row>
    <row r="107" spans="8:11" x14ac:dyDescent="0.25">
      <c r="H107" s="23" t="s">
        <v>74</v>
      </c>
      <c r="I107" s="21" t="s">
        <v>75</v>
      </c>
      <c r="J107" s="22">
        <v>2.7</v>
      </c>
      <c r="K107" s="22" t="s">
        <v>76</v>
      </c>
    </row>
    <row r="108" spans="8:11" x14ac:dyDescent="0.25">
      <c r="H108" s="23" t="s">
        <v>29</v>
      </c>
      <c r="I108" s="22" t="s">
        <v>64</v>
      </c>
      <c r="J108" s="22">
        <v>186</v>
      </c>
      <c r="K108" s="22" t="s">
        <v>40</v>
      </c>
    </row>
    <row r="109" spans="8:11" x14ac:dyDescent="0.25">
      <c r="I109" s="22" t="s">
        <v>79</v>
      </c>
      <c r="J109" s="22">
        <v>538</v>
      </c>
      <c r="K109" s="22" t="s">
        <v>40</v>
      </c>
    </row>
    <row r="110" spans="8:11" x14ac:dyDescent="0.25">
      <c r="I110" s="22" t="s">
        <v>80</v>
      </c>
      <c r="J110" s="22">
        <v>72</v>
      </c>
      <c r="K110" s="22" t="s">
        <v>40</v>
      </c>
    </row>
    <row r="111" spans="8:11" x14ac:dyDescent="0.25">
      <c r="H111" s="23" t="s">
        <v>77</v>
      </c>
      <c r="I111" s="21" t="s">
        <v>78</v>
      </c>
      <c r="J111" s="22">
        <v>5.43</v>
      </c>
      <c r="K111" s="22" t="s">
        <v>76</v>
      </c>
    </row>
  </sheetData>
  <mergeCells count="70">
    <mergeCell ref="G35:H36"/>
    <mergeCell ref="G27:H27"/>
    <mergeCell ref="G28:G29"/>
    <mergeCell ref="G30:G31"/>
    <mergeCell ref="G32:H33"/>
    <mergeCell ref="G34:H34"/>
    <mergeCell ref="B30:B33"/>
    <mergeCell ref="C30:C31"/>
    <mergeCell ref="C32:C33"/>
    <mergeCell ref="B51:C51"/>
    <mergeCell ref="B39:C39"/>
    <mergeCell ref="B40:C40"/>
    <mergeCell ref="B36:C38"/>
    <mergeCell ref="B41:C42"/>
    <mergeCell ref="B34:E34"/>
    <mergeCell ref="B35:E35"/>
    <mergeCell ref="B43:C43"/>
    <mergeCell ref="B46:C46"/>
    <mergeCell ref="B44:C44"/>
    <mergeCell ref="B54:C54"/>
    <mergeCell ref="B55:C55"/>
    <mergeCell ref="B56:C56"/>
    <mergeCell ref="B47:C47"/>
    <mergeCell ref="B49:C49"/>
    <mergeCell ref="B52:C52"/>
    <mergeCell ref="B50:C50"/>
    <mergeCell ref="B48:C48"/>
    <mergeCell ref="B53:C53"/>
    <mergeCell ref="B26:E26"/>
    <mergeCell ref="B2:E2"/>
    <mergeCell ref="B9:E9"/>
    <mergeCell ref="B5:E5"/>
    <mergeCell ref="B25:E25"/>
    <mergeCell ref="B10:E10"/>
    <mergeCell ref="B23:C23"/>
    <mergeCell ref="B24:C24"/>
    <mergeCell ref="B3:C3"/>
    <mergeCell ref="B4:C4"/>
    <mergeCell ref="I59:J59"/>
    <mergeCell ref="B61:C61"/>
    <mergeCell ref="B62:C62"/>
    <mergeCell ref="B63:C63"/>
    <mergeCell ref="B7:C8"/>
    <mergeCell ref="B12:C12"/>
    <mergeCell ref="B21:C22"/>
    <mergeCell ref="C15:C16"/>
    <mergeCell ref="B13:B16"/>
    <mergeCell ref="B17:C17"/>
    <mergeCell ref="B19:C19"/>
    <mergeCell ref="B20:C20"/>
    <mergeCell ref="B27:C27"/>
    <mergeCell ref="B28:B29"/>
    <mergeCell ref="B57:C57"/>
    <mergeCell ref="B45:C45"/>
    <mergeCell ref="B1:E1"/>
    <mergeCell ref="B18:C18"/>
    <mergeCell ref="B74:C74"/>
    <mergeCell ref="B75:C75"/>
    <mergeCell ref="B76:C76"/>
    <mergeCell ref="B69:C69"/>
    <mergeCell ref="B70:C70"/>
    <mergeCell ref="B71:C71"/>
    <mergeCell ref="B72:C72"/>
    <mergeCell ref="B73:C73"/>
    <mergeCell ref="B64:C64"/>
    <mergeCell ref="B65:C65"/>
    <mergeCell ref="B66:C66"/>
    <mergeCell ref="B67:C67"/>
    <mergeCell ref="B68:C68"/>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79"/>
  <sheetViews>
    <sheetView topLeftCell="A263" workbookViewId="0">
      <selection activeCell="C268" sqref="C268:D279"/>
    </sheetView>
  </sheetViews>
  <sheetFormatPr defaultRowHeight="15" x14ac:dyDescent="0.25"/>
  <cols>
    <col min="1" max="1" width="39.140625" customWidth="1"/>
    <col min="2" max="2" width="15.85546875" bestFit="1" customWidth="1"/>
  </cols>
  <sheetData>
    <row r="1" spans="1:3" x14ac:dyDescent="0.25">
      <c r="A1" s="28"/>
      <c r="B1" s="165" t="s">
        <v>81</v>
      </c>
    </row>
    <row r="2" spans="1:3" x14ac:dyDescent="0.25">
      <c r="A2" s="28" t="s">
        <v>248</v>
      </c>
      <c r="B2" s="27"/>
    </row>
    <row r="3" spans="1:3" x14ac:dyDescent="0.25">
      <c r="A3" s="28" t="s">
        <v>85</v>
      </c>
      <c r="B3" s="27"/>
    </row>
    <row r="4" spans="1:3" x14ac:dyDescent="0.25">
      <c r="A4" s="27" t="s">
        <v>247</v>
      </c>
    </row>
    <row r="5" spans="1:3" x14ac:dyDescent="0.25">
      <c r="A5" t="s">
        <v>83</v>
      </c>
      <c r="B5">
        <v>17.5</v>
      </c>
      <c r="C5" t="s">
        <v>31</v>
      </c>
    </row>
    <row r="6" spans="1:3" x14ac:dyDescent="0.25">
      <c r="A6" t="s">
        <v>84</v>
      </c>
      <c r="B6">
        <v>0</v>
      </c>
      <c r="C6" t="s">
        <v>31</v>
      </c>
    </row>
    <row r="7" spans="1:3" x14ac:dyDescent="0.25">
      <c r="A7" s="27" t="s">
        <v>86</v>
      </c>
    </row>
    <row r="8" spans="1:3" x14ac:dyDescent="0.25">
      <c r="A8" s="368" t="s">
        <v>82</v>
      </c>
      <c r="B8">
        <v>-12.9</v>
      </c>
      <c r="C8" t="s">
        <v>31</v>
      </c>
    </row>
    <row r="9" spans="1:3" x14ac:dyDescent="0.25">
      <c r="A9" s="368"/>
      <c r="B9">
        <f>10^(B8/10)</f>
        <v>5.1286138399136455E-2</v>
      </c>
      <c r="C9" t="s">
        <v>246</v>
      </c>
    </row>
    <row r="10" spans="1:3" x14ac:dyDescent="0.25">
      <c r="B10">
        <f>B9*1000</f>
        <v>51.286138399136455</v>
      </c>
      <c r="C10" t="s">
        <v>38</v>
      </c>
    </row>
    <row r="12" spans="1:3" x14ac:dyDescent="0.25">
      <c r="A12" t="s">
        <v>249</v>
      </c>
      <c r="B12" t="s">
        <v>255</v>
      </c>
    </row>
    <row r="13" spans="1:3" x14ac:dyDescent="0.25">
      <c r="B13" t="s">
        <v>256</v>
      </c>
    </row>
    <row r="14" spans="1:3" x14ac:dyDescent="0.25">
      <c r="A14" t="s">
        <v>250</v>
      </c>
      <c r="B14" t="s">
        <v>257</v>
      </c>
    </row>
    <row r="16" spans="1:3" x14ac:dyDescent="0.25">
      <c r="A16" s="27" t="s">
        <v>251</v>
      </c>
    </row>
    <row r="17" spans="1:3" x14ac:dyDescent="0.25">
      <c r="A17" s="166" t="s">
        <v>252</v>
      </c>
      <c r="B17" t="s">
        <v>260</v>
      </c>
    </row>
    <row r="18" spans="1:3" x14ac:dyDescent="0.25">
      <c r="A18" s="166" t="s">
        <v>253</v>
      </c>
      <c r="B18" t="s">
        <v>258</v>
      </c>
    </row>
    <row r="19" spans="1:3" x14ac:dyDescent="0.25">
      <c r="A19" s="166" t="s">
        <v>254</v>
      </c>
      <c r="B19" t="s">
        <v>259</v>
      </c>
    </row>
    <row r="20" spans="1:3" x14ac:dyDescent="0.25">
      <c r="A20" s="166"/>
    </row>
    <row r="21" spans="1:3" x14ac:dyDescent="0.25">
      <c r="A21" s="63" t="s">
        <v>261</v>
      </c>
      <c r="B21">
        <v>0.97299999999999998</v>
      </c>
      <c r="C21" t="s">
        <v>36</v>
      </c>
    </row>
    <row r="22" spans="1:3" x14ac:dyDescent="0.25">
      <c r="A22" s="63"/>
    </row>
    <row r="23" spans="1:3" x14ac:dyDescent="0.25">
      <c r="A23" s="25" t="s">
        <v>95</v>
      </c>
    </row>
    <row r="24" spans="1:3" x14ac:dyDescent="0.25">
      <c r="A24" s="30" t="s">
        <v>88</v>
      </c>
    </row>
    <row r="25" spans="1:3" x14ac:dyDescent="0.25">
      <c r="A25" s="30" t="s">
        <v>262</v>
      </c>
    </row>
    <row r="26" spans="1:3" x14ac:dyDescent="0.25">
      <c r="A26" s="30"/>
    </row>
    <row r="27" spans="1:3" x14ac:dyDescent="0.25">
      <c r="A27" s="29" t="s">
        <v>89</v>
      </c>
      <c r="B27" s="164">
        <v>2.2000000000000002</v>
      </c>
      <c r="C27" t="s">
        <v>76</v>
      </c>
    </row>
    <row r="28" spans="1:3" x14ac:dyDescent="0.25">
      <c r="A28" s="29" t="s">
        <v>90</v>
      </c>
      <c r="B28" s="164">
        <v>85.4</v>
      </c>
      <c r="C28" t="s">
        <v>13</v>
      </c>
    </row>
    <row r="29" spans="1:3" x14ac:dyDescent="0.25">
      <c r="A29" s="29" t="s">
        <v>91</v>
      </c>
      <c r="B29" s="164" t="s">
        <v>263</v>
      </c>
    </row>
    <row r="30" spans="1:3" x14ac:dyDescent="0.25">
      <c r="A30" s="29" t="s">
        <v>93</v>
      </c>
      <c r="B30" s="164" t="s">
        <v>265</v>
      </c>
      <c r="C30" t="s">
        <v>94</v>
      </c>
    </row>
    <row r="31" spans="1:3" x14ac:dyDescent="0.25">
      <c r="A31" s="29"/>
    </row>
    <row r="32" spans="1:3" x14ac:dyDescent="0.25">
      <c r="B32" s="27" t="s">
        <v>96</v>
      </c>
    </row>
    <row r="33" spans="1:3" x14ac:dyDescent="0.25">
      <c r="A33" s="29" t="s">
        <v>12</v>
      </c>
      <c r="B33">
        <v>245</v>
      </c>
      <c r="C33" t="s">
        <v>40</v>
      </c>
    </row>
    <row r="34" spans="1:3" x14ac:dyDescent="0.25">
      <c r="A34" s="29" t="s">
        <v>87</v>
      </c>
      <c r="B34">
        <v>342</v>
      </c>
      <c r="C34" t="s">
        <v>40</v>
      </c>
    </row>
    <row r="35" spans="1:3" x14ac:dyDescent="0.25">
      <c r="A35" s="29" t="s">
        <v>11</v>
      </c>
      <c r="B35">
        <v>233</v>
      </c>
      <c r="C35" t="s">
        <v>40</v>
      </c>
    </row>
    <row r="36" spans="1:3" x14ac:dyDescent="0.25">
      <c r="A36" s="29" t="s">
        <v>79</v>
      </c>
      <c r="B36">
        <v>332</v>
      </c>
      <c r="C36" t="s">
        <v>40</v>
      </c>
    </row>
    <row r="37" spans="1:3" x14ac:dyDescent="0.25">
      <c r="A37" s="29" t="s">
        <v>80</v>
      </c>
      <c r="B37">
        <v>241</v>
      </c>
      <c r="C37" t="s">
        <v>40</v>
      </c>
    </row>
    <row r="38" spans="1:3" x14ac:dyDescent="0.25">
      <c r="B38" s="27" t="s">
        <v>97</v>
      </c>
    </row>
    <row r="39" spans="1:3" x14ac:dyDescent="0.25">
      <c r="A39" s="29" t="s">
        <v>89</v>
      </c>
      <c r="B39">
        <v>2.0169999999999999</v>
      </c>
      <c r="C39" t="s">
        <v>76</v>
      </c>
    </row>
    <row r="40" spans="1:3" x14ac:dyDescent="0.25">
      <c r="A40" s="30" t="s">
        <v>264</v>
      </c>
      <c r="B40" t="s">
        <v>163</v>
      </c>
    </row>
    <row r="41" spans="1:3" x14ac:dyDescent="0.25">
      <c r="B41" s="27" t="s">
        <v>96</v>
      </c>
    </row>
    <row r="42" spans="1:3" x14ac:dyDescent="0.25">
      <c r="A42" s="29" t="s">
        <v>12</v>
      </c>
      <c r="B42">
        <v>358.5</v>
      </c>
      <c r="C42" t="s">
        <v>40</v>
      </c>
    </row>
    <row r="43" spans="1:3" x14ac:dyDescent="0.25">
      <c r="A43" s="29" t="s">
        <v>87</v>
      </c>
      <c r="B43">
        <v>499</v>
      </c>
      <c r="C43" t="s">
        <v>40</v>
      </c>
    </row>
    <row r="44" spans="1:3" x14ac:dyDescent="0.25">
      <c r="A44" s="29" t="s">
        <v>11</v>
      </c>
      <c r="B44">
        <v>233</v>
      </c>
      <c r="C44" t="s">
        <v>40</v>
      </c>
    </row>
    <row r="45" spans="1:3" x14ac:dyDescent="0.25">
      <c r="A45" s="29" t="s">
        <v>79</v>
      </c>
      <c r="B45">
        <v>487.8</v>
      </c>
      <c r="C45" t="s">
        <v>40</v>
      </c>
    </row>
    <row r="46" spans="1:3" x14ac:dyDescent="0.25">
      <c r="A46" s="29" t="s">
        <v>80</v>
      </c>
      <c r="B46">
        <v>243</v>
      </c>
      <c r="C46" t="s">
        <v>40</v>
      </c>
    </row>
    <row r="47" spans="1:3" x14ac:dyDescent="0.25">
      <c r="B47" s="27"/>
    </row>
    <row r="48" spans="1:3" x14ac:dyDescent="0.25">
      <c r="A48" s="29" t="s">
        <v>89</v>
      </c>
      <c r="B48">
        <v>2.16</v>
      </c>
      <c r="C48" t="s">
        <v>36</v>
      </c>
    </row>
    <row r="50" spans="1:8" x14ac:dyDescent="0.25">
      <c r="A50" s="25" t="s">
        <v>98</v>
      </c>
    </row>
    <row r="51" spans="1:8" x14ac:dyDescent="0.25">
      <c r="A51" s="25" t="s">
        <v>100</v>
      </c>
    </row>
    <row r="52" spans="1:8" x14ac:dyDescent="0.25">
      <c r="A52" s="27" t="s">
        <v>78</v>
      </c>
      <c r="B52" s="27">
        <v>0</v>
      </c>
      <c r="C52" s="27" t="s">
        <v>36</v>
      </c>
    </row>
    <row r="53" spans="1:8" ht="40.5" customHeight="1" x14ac:dyDescent="0.25">
      <c r="A53" s="32" t="s">
        <v>99</v>
      </c>
      <c r="B53" s="15">
        <v>7.1</v>
      </c>
      <c r="C53" s="16" t="s">
        <v>36</v>
      </c>
    </row>
    <row r="54" spans="1:8" x14ac:dyDescent="0.25">
      <c r="A54" s="33" t="s">
        <v>56</v>
      </c>
      <c r="B54" s="5">
        <v>5.1356223018406801</v>
      </c>
      <c r="C54" s="13" t="s">
        <v>57</v>
      </c>
    </row>
    <row r="55" spans="1:8" ht="15" customHeight="1" x14ac:dyDescent="0.25">
      <c r="A55" s="33" t="s">
        <v>54</v>
      </c>
      <c r="B55" s="5">
        <v>0.5</v>
      </c>
      <c r="C55" s="13" t="s">
        <v>46</v>
      </c>
    </row>
    <row r="56" spans="1:8" ht="15" customHeight="1" x14ac:dyDescent="0.25">
      <c r="A56" s="34" t="s">
        <v>55</v>
      </c>
      <c r="B56" s="19">
        <f>B53/B54*B55*PI()</f>
        <v>2.1716265848145597</v>
      </c>
      <c r="C56" s="20" t="s">
        <v>36</v>
      </c>
    </row>
    <row r="57" spans="1:8" x14ac:dyDescent="0.25">
      <c r="H57" s="46">
        <v>102181.2</v>
      </c>
    </row>
    <row r="58" spans="1:8" x14ac:dyDescent="0.25">
      <c r="A58" s="30" t="s">
        <v>88</v>
      </c>
    </row>
    <row r="59" spans="1:8" x14ac:dyDescent="0.25">
      <c r="A59" s="29" t="s">
        <v>89</v>
      </c>
      <c r="B59" s="27">
        <v>2.1720000000000002</v>
      </c>
      <c r="C59" t="s">
        <v>76</v>
      </c>
    </row>
    <row r="60" spans="1:8" x14ac:dyDescent="0.25">
      <c r="A60" s="29" t="s">
        <v>90</v>
      </c>
      <c r="B60">
        <v>85.4</v>
      </c>
      <c r="C60" t="s">
        <v>13</v>
      </c>
    </row>
    <row r="61" spans="1:8" x14ac:dyDescent="0.25">
      <c r="A61" s="29" t="s">
        <v>91</v>
      </c>
      <c r="B61" t="s">
        <v>92</v>
      </c>
    </row>
    <row r="62" spans="1:8" x14ac:dyDescent="0.25">
      <c r="A62" s="29" t="s">
        <v>93</v>
      </c>
      <c r="B62" t="s">
        <v>265</v>
      </c>
      <c r="C62" t="s">
        <v>94</v>
      </c>
    </row>
    <row r="63" spans="1:8" x14ac:dyDescent="0.25">
      <c r="A63" s="30"/>
    </row>
    <row r="64" spans="1:8" x14ac:dyDescent="0.25">
      <c r="A64" s="27" t="s">
        <v>101</v>
      </c>
      <c r="B64" s="167">
        <v>1.4666E-5</v>
      </c>
      <c r="C64" t="s">
        <v>36</v>
      </c>
    </row>
    <row r="66" spans="1:3" x14ac:dyDescent="0.25">
      <c r="A66" s="27" t="s">
        <v>100</v>
      </c>
    </row>
    <row r="67" spans="1:3" x14ac:dyDescent="0.25">
      <c r="A67" s="27" t="s">
        <v>78</v>
      </c>
      <c r="B67" s="27">
        <v>1.1000000000000001</v>
      </c>
      <c r="C67" s="27" t="s">
        <v>36</v>
      </c>
    </row>
    <row r="68" spans="1:3" x14ac:dyDescent="0.25">
      <c r="A68" s="169" t="s">
        <v>270</v>
      </c>
      <c r="B68" s="170">
        <v>85245</v>
      </c>
      <c r="C68" s="169" t="s">
        <v>5</v>
      </c>
    </row>
    <row r="72" spans="1:3" x14ac:dyDescent="0.25">
      <c r="A72" s="27" t="s">
        <v>102</v>
      </c>
      <c r="B72" t="s">
        <v>163</v>
      </c>
    </row>
    <row r="73" spans="1:3" ht="42.75" customHeight="1" x14ac:dyDescent="0.25">
      <c r="A73" s="168" t="s">
        <v>266</v>
      </c>
    </row>
    <row r="74" spans="1:3" x14ac:dyDescent="0.25">
      <c r="A74" s="27" t="s">
        <v>267</v>
      </c>
      <c r="B74" s="27">
        <v>174.33199999999999</v>
      </c>
      <c r="C74" s="27" t="s">
        <v>23</v>
      </c>
    </row>
    <row r="79" spans="1:3" ht="30" x14ac:dyDescent="0.25">
      <c r="A79" s="37" t="s">
        <v>54</v>
      </c>
      <c r="B79" s="38">
        <v>0.5</v>
      </c>
      <c r="C79" s="39" t="s">
        <v>103</v>
      </c>
    </row>
    <row r="80" spans="1:3" ht="30" x14ac:dyDescent="0.25">
      <c r="A80" s="32" t="s">
        <v>104</v>
      </c>
      <c r="B80" s="15">
        <v>7.1</v>
      </c>
      <c r="C80" s="16" t="s">
        <v>36</v>
      </c>
    </row>
    <row r="81" spans="1:3" x14ac:dyDescent="0.25">
      <c r="A81" s="32" t="s">
        <v>108</v>
      </c>
      <c r="B81" s="15">
        <v>11.64</v>
      </c>
      <c r="C81" s="16" t="s">
        <v>36</v>
      </c>
    </row>
    <row r="82" spans="1:3" x14ac:dyDescent="0.25">
      <c r="A82" s="32" t="s">
        <v>107</v>
      </c>
      <c r="B82" s="15">
        <v>16.059999999999999</v>
      </c>
      <c r="C82" s="16" t="s">
        <v>36</v>
      </c>
    </row>
    <row r="83" spans="1:3" x14ac:dyDescent="0.25">
      <c r="A83" s="40" t="s">
        <v>105</v>
      </c>
      <c r="B83" s="41">
        <v>5.1356223018406801</v>
      </c>
      <c r="C83" s="42" t="s">
        <v>57</v>
      </c>
    </row>
    <row r="84" spans="1:3" x14ac:dyDescent="0.25">
      <c r="A84" s="40" t="s">
        <v>106</v>
      </c>
      <c r="B84" s="41">
        <v>8.4172441403998608</v>
      </c>
      <c r="C84" s="42" t="s">
        <v>57</v>
      </c>
    </row>
    <row r="85" spans="1:3" x14ac:dyDescent="0.25">
      <c r="A85" s="40" t="s">
        <v>109</v>
      </c>
      <c r="B85" s="41">
        <v>11.619841172149</v>
      </c>
      <c r="C85" s="42" t="s">
        <v>110</v>
      </c>
    </row>
    <row r="86" spans="1:3" x14ac:dyDescent="0.25">
      <c r="A86" s="43" t="s">
        <v>111</v>
      </c>
      <c r="B86" s="44">
        <f>B80/B83*B79*PI()</f>
        <v>2.1716265848145597</v>
      </c>
      <c r="C86" s="45" t="s">
        <v>36</v>
      </c>
    </row>
    <row r="87" spans="1:3" x14ac:dyDescent="0.25">
      <c r="A87" s="43" t="s">
        <v>112</v>
      </c>
      <c r="B87" s="44">
        <f>B81/B84*B79*PI()</f>
        <v>2.1722156253179574</v>
      </c>
      <c r="C87" s="45" t="s">
        <v>36</v>
      </c>
    </row>
    <row r="88" spans="1:3" x14ac:dyDescent="0.25">
      <c r="A88" s="43" t="s">
        <v>113</v>
      </c>
      <c r="B88" s="44">
        <f>B82/B85*B79*PI()</f>
        <v>2.1710270075628322</v>
      </c>
      <c r="C88" s="45" t="s">
        <v>36</v>
      </c>
    </row>
    <row r="89" spans="1:3" x14ac:dyDescent="0.25">
      <c r="A89" s="34" t="s">
        <v>55</v>
      </c>
      <c r="B89" s="19">
        <f>AVERAGE(B86:B88)</f>
        <v>2.1716230725651164</v>
      </c>
      <c r="C89" s="20" t="s">
        <v>36</v>
      </c>
    </row>
    <row r="90" spans="1:3" x14ac:dyDescent="0.25">
      <c r="A90" s="27" t="s">
        <v>114</v>
      </c>
    </row>
    <row r="91" spans="1:3" x14ac:dyDescent="0.25">
      <c r="A91" s="30" t="s">
        <v>88</v>
      </c>
    </row>
    <row r="92" spans="1:3" x14ac:dyDescent="0.25">
      <c r="A92" s="29" t="s">
        <v>89</v>
      </c>
      <c r="B92" s="63">
        <v>2.1720000000000002</v>
      </c>
      <c r="C92" t="s">
        <v>76</v>
      </c>
    </row>
    <row r="93" spans="1:3" x14ac:dyDescent="0.25">
      <c r="A93" s="29" t="s">
        <v>90</v>
      </c>
      <c r="B93" s="164">
        <v>85245</v>
      </c>
      <c r="C93" t="s">
        <v>5</v>
      </c>
    </row>
    <row r="94" spans="1:3" x14ac:dyDescent="0.25">
      <c r="A94" s="29" t="s">
        <v>91</v>
      </c>
      <c r="B94" s="164" t="s">
        <v>92</v>
      </c>
    </row>
    <row r="95" spans="1:3" x14ac:dyDescent="0.25">
      <c r="A95" s="29" t="s">
        <v>93</v>
      </c>
      <c r="B95" s="164" t="s">
        <v>265</v>
      </c>
      <c r="C95" t="s">
        <v>94</v>
      </c>
    </row>
    <row r="96" spans="1:3" x14ac:dyDescent="0.25">
      <c r="A96" s="29" t="s">
        <v>115</v>
      </c>
      <c r="B96" s="164">
        <v>0</v>
      </c>
      <c r="C96" t="s">
        <v>23</v>
      </c>
    </row>
    <row r="97" spans="1:3" x14ac:dyDescent="0.25">
      <c r="A97" s="27" t="s">
        <v>100</v>
      </c>
    </row>
    <row r="98" spans="1:3" x14ac:dyDescent="0.25">
      <c r="A98" s="27" t="s">
        <v>272</v>
      </c>
      <c r="B98" s="27">
        <v>1.1000000000000001</v>
      </c>
      <c r="C98" s="27" t="s">
        <v>36</v>
      </c>
    </row>
    <row r="99" spans="1:3" ht="18.75" x14ac:dyDescent="0.3">
      <c r="A99" s="35" t="s">
        <v>271</v>
      </c>
      <c r="B99" s="36">
        <v>85304</v>
      </c>
      <c r="C99" s="35" t="s">
        <v>5</v>
      </c>
    </row>
    <row r="101" spans="1:3" x14ac:dyDescent="0.25">
      <c r="A101" s="31" t="s">
        <v>268</v>
      </c>
      <c r="B101" s="27" t="s">
        <v>269</v>
      </c>
    </row>
    <row r="108" spans="1:3" ht="21" x14ac:dyDescent="0.35">
      <c r="A108" s="198">
        <v>43616.619342013888</v>
      </c>
      <c r="B108" s="199" t="s">
        <v>331</v>
      </c>
    </row>
    <row r="109" spans="1:3" x14ac:dyDescent="0.25">
      <c r="A109" s="25" t="s">
        <v>332</v>
      </c>
    </row>
    <row r="110" spans="1:3" x14ac:dyDescent="0.25">
      <c r="A110" s="25" t="s">
        <v>333</v>
      </c>
    </row>
    <row r="111" spans="1:3" x14ac:dyDescent="0.25">
      <c r="A111" s="27" t="s">
        <v>334</v>
      </c>
      <c r="B111" s="27"/>
      <c r="C111" s="27"/>
    </row>
    <row r="112" spans="1:3" x14ac:dyDescent="0.25">
      <c r="A112" s="27" t="s">
        <v>335</v>
      </c>
      <c r="B112" s="27"/>
      <c r="C112" s="27"/>
    </row>
    <row r="113" spans="1:5" x14ac:dyDescent="0.25">
      <c r="A113" s="27" t="s">
        <v>336</v>
      </c>
    </row>
    <row r="114" spans="1:5" ht="30" x14ac:dyDescent="0.25">
      <c r="A114" s="37" t="s">
        <v>54</v>
      </c>
      <c r="B114" s="38">
        <v>0.5</v>
      </c>
      <c r="C114" s="39" t="s">
        <v>103</v>
      </c>
    </row>
    <row r="115" spans="1:5" ht="30" x14ac:dyDescent="0.25">
      <c r="A115" s="32" t="s">
        <v>104</v>
      </c>
      <c r="B115" s="15">
        <v>13.69</v>
      </c>
      <c r="C115" s="16" t="s">
        <v>36</v>
      </c>
    </row>
    <row r="116" spans="1:5" x14ac:dyDescent="0.25">
      <c r="A116" s="32" t="s">
        <v>108</v>
      </c>
      <c r="B116" s="15">
        <v>11.64</v>
      </c>
      <c r="C116" s="16" t="s">
        <v>36</v>
      </c>
    </row>
    <row r="117" spans="1:5" x14ac:dyDescent="0.25">
      <c r="A117" s="32" t="s">
        <v>107</v>
      </c>
      <c r="B117" s="15">
        <v>16.059999999999999</v>
      </c>
      <c r="C117" s="16" t="s">
        <v>36</v>
      </c>
    </row>
    <row r="118" spans="1:5" x14ac:dyDescent="0.25">
      <c r="A118" s="40" t="s">
        <v>105</v>
      </c>
      <c r="B118" s="41">
        <v>5.1356223018406801</v>
      </c>
      <c r="C118" s="42" t="s">
        <v>57</v>
      </c>
    </row>
    <row r="119" spans="1:5" x14ac:dyDescent="0.25">
      <c r="A119" s="43" t="s">
        <v>111</v>
      </c>
      <c r="B119" s="44">
        <f>B115/B118*B114*PI()</f>
        <v>4.1872630910015953</v>
      </c>
      <c r="C119" s="45" t="s">
        <v>36</v>
      </c>
    </row>
    <row r="120" spans="1:5" x14ac:dyDescent="0.25">
      <c r="A120" s="34" t="s">
        <v>55</v>
      </c>
      <c r="B120" s="19">
        <f>AVERAGE(B119:B119)</f>
        <v>4.1872630910015953</v>
      </c>
      <c r="C120" s="20" t="s">
        <v>36</v>
      </c>
      <c r="E120">
        <f>B120/2</f>
        <v>2.0936315455007977</v>
      </c>
    </row>
    <row r="121" spans="1:5" x14ac:dyDescent="0.25">
      <c r="A121" s="43" t="s">
        <v>339</v>
      </c>
      <c r="B121" s="44">
        <f>B120/B114</f>
        <v>8.3745261820031907</v>
      </c>
      <c r="C121" s="45" t="s">
        <v>76</v>
      </c>
    </row>
    <row r="122" spans="1:5" x14ac:dyDescent="0.25">
      <c r="A122" s="27"/>
    </row>
    <row r="123" spans="1:5" x14ac:dyDescent="0.25">
      <c r="A123" s="25" t="s">
        <v>337</v>
      </c>
    </row>
    <row r="124" spans="1:5" x14ac:dyDescent="0.25">
      <c r="A124" s="27" t="s">
        <v>338</v>
      </c>
    </row>
    <row r="125" spans="1:5" ht="30" x14ac:dyDescent="0.25">
      <c r="A125" s="37" t="s">
        <v>54</v>
      </c>
      <c r="B125" s="38">
        <v>0.5</v>
      </c>
      <c r="C125" s="39" t="s">
        <v>103</v>
      </c>
    </row>
    <row r="126" spans="1:5" ht="30" x14ac:dyDescent="0.25">
      <c r="A126" s="32" t="s">
        <v>104</v>
      </c>
      <c r="B126" s="15">
        <v>13.69</v>
      </c>
      <c r="C126" s="16" t="s">
        <v>36</v>
      </c>
    </row>
    <row r="127" spans="1:5" x14ac:dyDescent="0.25">
      <c r="A127" s="32" t="s">
        <v>108</v>
      </c>
      <c r="B127" s="15">
        <v>11.64</v>
      </c>
      <c r="C127" s="16" t="s">
        <v>36</v>
      </c>
    </row>
    <row r="128" spans="1:5" x14ac:dyDescent="0.25">
      <c r="A128" s="32" t="s">
        <v>107</v>
      </c>
      <c r="B128" s="15">
        <v>16.059999999999999</v>
      </c>
      <c r="C128" s="16" t="s">
        <v>36</v>
      </c>
    </row>
    <row r="129" spans="1:3" x14ac:dyDescent="0.25">
      <c r="A129" s="40" t="s">
        <v>105</v>
      </c>
      <c r="B129" s="41">
        <v>5.1356223018406801</v>
      </c>
      <c r="C129" s="42" t="s">
        <v>57</v>
      </c>
    </row>
    <row r="130" spans="1:3" x14ac:dyDescent="0.25">
      <c r="A130" s="43" t="s">
        <v>111</v>
      </c>
      <c r="B130" s="44">
        <f>B126/B129*B125*PI()</f>
        <v>4.1872630910015953</v>
      </c>
      <c r="C130" s="45" t="s">
        <v>36</v>
      </c>
    </row>
    <row r="131" spans="1:3" x14ac:dyDescent="0.25">
      <c r="A131" s="34" t="s">
        <v>55</v>
      </c>
      <c r="B131" s="19">
        <f>AVERAGE(B130:B130)</f>
        <v>4.1872630910015953</v>
      </c>
      <c r="C131" s="20" t="s">
        <v>36</v>
      </c>
    </row>
    <row r="132" spans="1:3" x14ac:dyDescent="0.25">
      <c r="A132" s="43" t="s">
        <v>339</v>
      </c>
      <c r="B132" s="44">
        <f>B131/B125</f>
        <v>8.3745261820031907</v>
      </c>
      <c r="C132" s="45" t="s">
        <v>76</v>
      </c>
    </row>
    <row r="133" spans="1:3" x14ac:dyDescent="0.25">
      <c r="A133" s="27"/>
    </row>
    <row r="135" spans="1:3" x14ac:dyDescent="0.25">
      <c r="A135" s="25" t="s">
        <v>340</v>
      </c>
    </row>
    <row r="136" spans="1:3" ht="30" x14ac:dyDescent="0.25">
      <c r="A136" s="37" t="s">
        <v>54</v>
      </c>
      <c r="B136" s="38">
        <v>0.5</v>
      </c>
      <c r="C136" s="39" t="s">
        <v>103</v>
      </c>
    </row>
    <row r="137" spans="1:3" ht="30" x14ac:dyDescent="0.25">
      <c r="A137" s="32" t="s">
        <v>104</v>
      </c>
      <c r="B137" s="15">
        <v>7.1040000000000001</v>
      </c>
      <c r="C137" s="16" t="s">
        <v>36</v>
      </c>
    </row>
    <row r="138" spans="1:3" x14ac:dyDescent="0.25">
      <c r="A138" s="32" t="s">
        <v>108</v>
      </c>
      <c r="B138" s="15">
        <v>11.64</v>
      </c>
      <c r="C138" s="16" t="s">
        <v>36</v>
      </c>
    </row>
    <row r="139" spans="1:3" x14ac:dyDescent="0.25">
      <c r="A139" s="32" t="s">
        <v>107</v>
      </c>
      <c r="B139" s="15">
        <v>16.07</v>
      </c>
      <c r="C139" s="16" t="s">
        <v>36</v>
      </c>
    </row>
    <row r="140" spans="1:3" x14ac:dyDescent="0.25">
      <c r="A140" s="40" t="s">
        <v>105</v>
      </c>
      <c r="B140" s="41">
        <v>5.1356223018406801</v>
      </c>
      <c r="C140" s="42" t="s">
        <v>57</v>
      </c>
    </row>
    <row r="141" spans="1:3" x14ac:dyDescent="0.25">
      <c r="A141" s="40" t="s">
        <v>106</v>
      </c>
      <c r="B141" s="41">
        <v>8.4172441403998608</v>
      </c>
      <c r="C141" s="42" t="s">
        <v>57</v>
      </c>
    </row>
    <row r="142" spans="1:3" x14ac:dyDescent="0.25">
      <c r="A142" s="40" t="s">
        <v>109</v>
      </c>
      <c r="B142" s="41">
        <v>11.619841172149</v>
      </c>
      <c r="C142" s="42" t="s">
        <v>110</v>
      </c>
    </row>
    <row r="143" spans="1:3" x14ac:dyDescent="0.25">
      <c r="A143" s="43" t="s">
        <v>111</v>
      </c>
      <c r="B143" s="44">
        <f>B137/B140*B136*PI()</f>
        <v>2.1728500364116385</v>
      </c>
      <c r="C143" s="45" t="s">
        <v>36</v>
      </c>
    </row>
    <row r="144" spans="1:3" x14ac:dyDescent="0.25">
      <c r="A144" s="43" t="s">
        <v>112</v>
      </c>
      <c r="B144" s="44">
        <f>B138/B141*B136*PI()</f>
        <v>2.1722156253179574</v>
      </c>
      <c r="C144" s="45" t="s">
        <v>36</v>
      </c>
    </row>
    <row r="145" spans="1:3" x14ac:dyDescent="0.25">
      <c r="A145" s="43" t="s">
        <v>113</v>
      </c>
      <c r="B145" s="44">
        <f>B139/B142*B136*PI()</f>
        <v>2.1723788301080149</v>
      </c>
      <c r="C145" s="45" t="s">
        <v>36</v>
      </c>
    </row>
    <row r="146" spans="1:3" x14ac:dyDescent="0.25">
      <c r="A146" s="34" t="s">
        <v>55</v>
      </c>
      <c r="B146" s="19">
        <f>AVERAGE(B143:B145)</f>
        <v>2.1724814972792035</v>
      </c>
      <c r="C146" s="20" t="s">
        <v>36</v>
      </c>
    </row>
    <row r="147" spans="1:3" x14ac:dyDescent="0.25">
      <c r="A147" s="27"/>
    </row>
    <row r="148" spans="1:3" x14ac:dyDescent="0.25">
      <c r="A148" s="27" t="s">
        <v>341</v>
      </c>
    </row>
    <row r="149" spans="1:3" x14ac:dyDescent="0.25">
      <c r="A149" s="27" t="s">
        <v>342</v>
      </c>
    </row>
    <row r="150" spans="1:3" x14ac:dyDescent="0.25">
      <c r="A150" s="27" t="s">
        <v>344</v>
      </c>
    </row>
    <row r="151" spans="1:3" x14ac:dyDescent="0.25">
      <c r="A151" s="27" t="s">
        <v>343</v>
      </c>
    </row>
    <row r="152" spans="1:3" x14ac:dyDescent="0.25">
      <c r="A152" s="27" t="s">
        <v>338</v>
      </c>
    </row>
    <row r="153" spans="1:3" ht="30" x14ac:dyDescent="0.25">
      <c r="A153" s="37" t="s">
        <v>54</v>
      </c>
      <c r="B153" s="38">
        <v>0.5</v>
      </c>
      <c r="C153" s="39" t="s">
        <v>103</v>
      </c>
    </row>
    <row r="154" spans="1:3" ht="30" x14ac:dyDescent="0.25">
      <c r="A154" s="32" t="s">
        <v>104</v>
      </c>
      <c r="B154" s="15">
        <v>14.22</v>
      </c>
      <c r="C154" s="16" t="s">
        <v>36</v>
      </c>
    </row>
    <row r="155" spans="1:3" x14ac:dyDescent="0.25">
      <c r="A155" s="32" t="s">
        <v>108</v>
      </c>
      <c r="B155" s="15">
        <v>11.64</v>
      </c>
      <c r="C155" s="16" t="s">
        <v>36</v>
      </c>
    </row>
    <row r="156" spans="1:3" x14ac:dyDescent="0.25">
      <c r="A156" s="32" t="s">
        <v>107</v>
      </c>
      <c r="B156" s="15">
        <v>16.059999999999999</v>
      </c>
      <c r="C156" s="16" t="s">
        <v>36</v>
      </c>
    </row>
    <row r="157" spans="1:3" x14ac:dyDescent="0.25">
      <c r="A157" s="40" t="s">
        <v>105</v>
      </c>
      <c r="B157" s="41">
        <v>5.1356223018406801</v>
      </c>
      <c r="C157" s="42" t="s">
        <v>57</v>
      </c>
    </row>
    <row r="158" spans="1:3" x14ac:dyDescent="0.25">
      <c r="A158" s="43" t="s">
        <v>111</v>
      </c>
      <c r="B158" s="44">
        <f>B154/B157*B153*PI()</f>
        <v>4.3493704276145131</v>
      </c>
      <c r="C158" s="45" t="s">
        <v>36</v>
      </c>
    </row>
    <row r="159" spans="1:3" x14ac:dyDescent="0.25">
      <c r="A159" s="34" t="s">
        <v>55</v>
      </c>
      <c r="B159" s="19">
        <f>AVERAGE(B158:B158)</f>
        <v>4.3493704276145131</v>
      </c>
      <c r="C159" s="20" t="s">
        <v>36</v>
      </c>
    </row>
    <row r="160" spans="1:3" x14ac:dyDescent="0.25">
      <c r="A160" s="43" t="s">
        <v>339</v>
      </c>
      <c r="B160" s="44">
        <f>B159/B153</f>
        <v>8.6987408552290262</v>
      </c>
      <c r="C160" s="45" t="s">
        <v>76</v>
      </c>
    </row>
    <row r="161" spans="1:3" x14ac:dyDescent="0.25">
      <c r="A161" s="27"/>
    </row>
    <row r="162" spans="1:3" x14ac:dyDescent="0.25">
      <c r="A162" s="27" t="s">
        <v>346</v>
      </c>
    </row>
    <row r="163" spans="1:3" x14ac:dyDescent="0.25">
      <c r="A163" s="27" t="s">
        <v>345</v>
      </c>
      <c r="B163">
        <f>B99/2</f>
        <v>42652</v>
      </c>
      <c r="C163" t="s">
        <v>5</v>
      </c>
    </row>
    <row r="164" spans="1:3" x14ac:dyDescent="0.25">
      <c r="A164" s="27" t="s">
        <v>347</v>
      </c>
    </row>
    <row r="165" spans="1:3" x14ac:dyDescent="0.25">
      <c r="A165" s="27" t="s">
        <v>348</v>
      </c>
    </row>
    <row r="166" spans="1:3" x14ac:dyDescent="0.25">
      <c r="A166" s="27" t="s">
        <v>349</v>
      </c>
      <c r="B166">
        <v>2.2000000000000002</v>
      </c>
      <c r="C166" t="s">
        <v>350</v>
      </c>
    </row>
    <row r="167" spans="1:3" x14ac:dyDescent="0.25">
      <c r="A167" s="27"/>
    </row>
    <row r="168" spans="1:3" x14ac:dyDescent="0.25">
      <c r="A168" s="27"/>
    </row>
    <row r="169" spans="1:3" x14ac:dyDescent="0.25">
      <c r="A169" s="27"/>
    </row>
    <row r="170" spans="1:3" x14ac:dyDescent="0.25">
      <c r="A170" s="27"/>
    </row>
    <row r="171" spans="1:3" x14ac:dyDescent="0.25">
      <c r="A171" s="27"/>
    </row>
    <row r="172" spans="1:3" x14ac:dyDescent="0.25">
      <c r="A172" s="27"/>
    </row>
    <row r="173" spans="1:3" x14ac:dyDescent="0.25">
      <c r="A173" s="27"/>
    </row>
    <row r="174" spans="1:3" x14ac:dyDescent="0.25">
      <c r="A174" s="27"/>
    </row>
    <row r="175" spans="1:3" x14ac:dyDescent="0.25">
      <c r="A175" s="27"/>
    </row>
    <row r="176" spans="1:3" x14ac:dyDescent="0.25">
      <c r="A176" s="27"/>
    </row>
    <row r="177" spans="1:3" x14ac:dyDescent="0.25">
      <c r="A177" s="27"/>
    </row>
    <row r="178" spans="1:3" x14ac:dyDescent="0.25">
      <c r="A178" s="27"/>
    </row>
    <row r="179" spans="1:3" x14ac:dyDescent="0.25">
      <c r="A179" s="27"/>
    </row>
    <row r="180" spans="1:3" x14ac:dyDescent="0.25">
      <c r="A180" s="27"/>
    </row>
    <row r="181" spans="1:3" x14ac:dyDescent="0.25">
      <c r="A181" s="27"/>
    </row>
    <row r="182" spans="1:3" x14ac:dyDescent="0.25">
      <c r="A182" s="27"/>
    </row>
    <row r="183" spans="1:3" x14ac:dyDescent="0.25">
      <c r="A183" s="27"/>
    </row>
    <row r="184" spans="1:3" x14ac:dyDescent="0.25">
      <c r="A184" s="27"/>
    </row>
    <row r="185" spans="1:3" x14ac:dyDescent="0.25">
      <c r="A185" s="27"/>
    </row>
    <row r="186" spans="1:3" x14ac:dyDescent="0.25">
      <c r="A186" s="27" t="s">
        <v>351</v>
      </c>
    </row>
    <row r="187" spans="1:3" x14ac:dyDescent="0.25">
      <c r="A187" s="30" t="s">
        <v>88</v>
      </c>
    </row>
    <row r="188" spans="1:3" x14ac:dyDescent="0.25">
      <c r="A188" s="29" t="s">
        <v>89</v>
      </c>
      <c r="B188" s="63">
        <v>4.3490000000000002</v>
      </c>
      <c r="C188" t="s">
        <v>76</v>
      </c>
    </row>
    <row r="189" spans="1:3" x14ac:dyDescent="0.25">
      <c r="A189" s="29" t="s">
        <v>90</v>
      </c>
      <c r="B189" s="164">
        <v>85304</v>
      </c>
      <c r="C189" t="s">
        <v>5</v>
      </c>
    </row>
    <row r="190" spans="1:3" x14ac:dyDescent="0.25">
      <c r="A190" s="29" t="s">
        <v>91</v>
      </c>
      <c r="B190" s="164" t="s">
        <v>92</v>
      </c>
    </row>
    <row r="191" spans="1:3" x14ac:dyDescent="0.25">
      <c r="A191" s="29" t="s">
        <v>93</v>
      </c>
      <c r="B191" s="164" t="s">
        <v>265</v>
      </c>
      <c r="C191" t="s">
        <v>94</v>
      </c>
    </row>
    <row r="192" spans="1:3" x14ac:dyDescent="0.25">
      <c r="A192" s="29" t="s">
        <v>115</v>
      </c>
      <c r="B192" s="164">
        <v>0</v>
      </c>
      <c r="C192" t="s">
        <v>23</v>
      </c>
    </row>
    <row r="193" spans="1:3" x14ac:dyDescent="0.25">
      <c r="A193" s="27" t="s">
        <v>352</v>
      </c>
    </row>
    <row r="194" spans="1:3" x14ac:dyDescent="0.25">
      <c r="A194" s="27"/>
    </row>
    <row r="195" spans="1:3" x14ac:dyDescent="0.25">
      <c r="A195" s="27" t="s">
        <v>353</v>
      </c>
    </row>
    <row r="196" spans="1:3" x14ac:dyDescent="0.25">
      <c r="A196" s="27"/>
    </row>
    <row r="197" spans="1:3" x14ac:dyDescent="0.25">
      <c r="A197" s="27" t="s">
        <v>354</v>
      </c>
      <c r="B197" s="167">
        <v>1.4382000000000001E-5</v>
      </c>
      <c r="C197" t="s">
        <v>36</v>
      </c>
    </row>
    <row r="198" spans="1:3" x14ac:dyDescent="0.25">
      <c r="A198" s="27"/>
    </row>
    <row r="215" spans="1:5" x14ac:dyDescent="0.25">
      <c r="A215" s="27" t="s">
        <v>355</v>
      </c>
    </row>
    <row r="216" spans="1:5" x14ac:dyDescent="0.25">
      <c r="A216" s="27" t="s">
        <v>356</v>
      </c>
    </row>
    <row r="217" spans="1:5" x14ac:dyDescent="0.25">
      <c r="A217" s="27" t="s">
        <v>272</v>
      </c>
      <c r="B217" s="27">
        <v>2.2000000000000002</v>
      </c>
      <c r="C217" s="27" t="s">
        <v>36</v>
      </c>
    </row>
    <row r="218" spans="1:5" x14ac:dyDescent="0.25">
      <c r="A218" s="200" t="s">
        <v>357</v>
      </c>
    </row>
    <row r="220" spans="1:5" ht="18.75" x14ac:dyDescent="0.3">
      <c r="A220" s="35" t="s">
        <v>271</v>
      </c>
      <c r="B220" s="36">
        <v>85304</v>
      </c>
      <c r="C220" s="35" t="s">
        <v>5</v>
      </c>
    </row>
    <row r="221" spans="1:5" x14ac:dyDescent="0.25">
      <c r="B221">
        <v>85279</v>
      </c>
      <c r="C221">
        <f>B221/B220</f>
        <v>0.99970693050736192</v>
      </c>
      <c r="D221">
        <f>1-C221</f>
        <v>2.9306949263807613E-4</v>
      </c>
      <c r="E221">
        <f>D221*1000000</f>
        <v>293.06949263807616</v>
      </c>
    </row>
    <row r="223" spans="1:5" x14ac:dyDescent="0.25">
      <c r="A223" s="27" t="s">
        <v>358</v>
      </c>
    </row>
    <row r="224" spans="1:5" x14ac:dyDescent="0.25">
      <c r="A224" t="s">
        <v>359</v>
      </c>
    </row>
    <row r="225" spans="1:3" x14ac:dyDescent="0.25">
      <c r="A225" t="s">
        <v>360</v>
      </c>
    </row>
    <row r="227" spans="1:3" ht="18.75" x14ac:dyDescent="0.3">
      <c r="A227" s="35" t="s">
        <v>271</v>
      </c>
      <c r="B227" s="36">
        <v>85282</v>
      </c>
      <c r="C227" s="35" t="s">
        <v>5</v>
      </c>
    </row>
    <row r="228" spans="1:3" x14ac:dyDescent="0.25">
      <c r="A228" t="s">
        <v>361</v>
      </c>
      <c r="B228">
        <v>75.340999999999994</v>
      </c>
    </row>
    <row r="229" spans="1:3" x14ac:dyDescent="0.25">
      <c r="A229" t="s">
        <v>362</v>
      </c>
      <c r="B229">
        <v>1.1000000000000001</v>
      </c>
      <c r="C229" t="s">
        <v>363</v>
      </c>
    </row>
    <row r="232" spans="1:3" ht="21" x14ac:dyDescent="0.35">
      <c r="A232" s="198">
        <v>43865.695873726851</v>
      </c>
      <c r="B232" s="199" t="s">
        <v>470</v>
      </c>
    </row>
    <row r="235" spans="1:3" x14ac:dyDescent="0.25">
      <c r="A235" s="28"/>
      <c r="B235" s="165" t="s">
        <v>81</v>
      </c>
    </row>
    <row r="236" spans="1:3" x14ac:dyDescent="0.25">
      <c r="A236" s="28" t="s">
        <v>248</v>
      </c>
      <c r="B236" s="28">
        <v>43865.695953819442</v>
      </c>
    </row>
    <row r="237" spans="1:3" x14ac:dyDescent="0.25">
      <c r="A237" s="28" t="s">
        <v>85</v>
      </c>
      <c r="B237" s="27"/>
    </row>
    <row r="238" spans="1:3" x14ac:dyDescent="0.25">
      <c r="A238" s="27" t="s">
        <v>247</v>
      </c>
    </row>
    <row r="239" spans="1:3" x14ac:dyDescent="0.25">
      <c r="A239" t="s">
        <v>83</v>
      </c>
      <c r="B239">
        <v>17.5</v>
      </c>
      <c r="C239" t="s">
        <v>31</v>
      </c>
    </row>
    <row r="240" spans="1:3" x14ac:dyDescent="0.25">
      <c r="A240" t="s">
        <v>84</v>
      </c>
      <c r="B240">
        <v>0</v>
      </c>
      <c r="C240" t="s">
        <v>31</v>
      </c>
    </row>
    <row r="241" spans="1:3" x14ac:dyDescent="0.25">
      <c r="A241" s="165" t="s">
        <v>86</v>
      </c>
    </row>
    <row r="242" spans="1:3" x14ac:dyDescent="0.25">
      <c r="A242" s="369" t="s">
        <v>82</v>
      </c>
      <c r="B242">
        <v>-13.73</v>
      </c>
      <c r="C242" t="s">
        <v>31</v>
      </c>
    </row>
    <row r="243" spans="1:3" x14ac:dyDescent="0.25">
      <c r="A243" s="369"/>
      <c r="B243">
        <f>10^(B242/10)</f>
        <v>4.236429660495411E-2</v>
      </c>
      <c r="C243" t="s">
        <v>246</v>
      </c>
    </row>
    <row r="244" spans="1:3" x14ac:dyDescent="0.25">
      <c r="A244" s="369"/>
      <c r="B244">
        <f>B243*1000</f>
        <v>42.364296604954113</v>
      </c>
      <c r="C244" t="s">
        <v>38</v>
      </c>
    </row>
    <row r="247" spans="1:3" x14ac:dyDescent="0.25">
      <c r="A247" s="25" t="s">
        <v>340</v>
      </c>
    </row>
    <row r="248" spans="1:3" ht="30" x14ac:dyDescent="0.25">
      <c r="A248" s="37" t="s">
        <v>54</v>
      </c>
      <c r="B248" s="38">
        <v>0.5</v>
      </c>
      <c r="C248" s="39" t="s">
        <v>103</v>
      </c>
    </row>
    <row r="249" spans="1:3" ht="30" x14ac:dyDescent="0.25">
      <c r="A249" s="32" t="s">
        <v>104</v>
      </c>
      <c r="B249" s="15">
        <v>7.109</v>
      </c>
      <c r="C249" s="16" t="s">
        <v>36</v>
      </c>
    </row>
    <row r="250" spans="1:3" x14ac:dyDescent="0.25">
      <c r="A250" s="32" t="s">
        <v>108</v>
      </c>
      <c r="B250" s="15">
        <v>11.65</v>
      </c>
      <c r="C250" s="16" t="s">
        <v>36</v>
      </c>
    </row>
    <row r="251" spans="1:3" x14ac:dyDescent="0.25">
      <c r="A251" s="32" t="s">
        <v>107</v>
      </c>
      <c r="B251" s="15">
        <v>16.09</v>
      </c>
      <c r="C251" s="16" t="s">
        <v>36</v>
      </c>
    </row>
    <row r="252" spans="1:3" x14ac:dyDescent="0.25">
      <c r="A252" s="40" t="s">
        <v>105</v>
      </c>
      <c r="B252" s="41">
        <v>5.1356223018406801</v>
      </c>
      <c r="C252" s="42" t="s">
        <v>57</v>
      </c>
    </row>
    <row r="253" spans="1:3" x14ac:dyDescent="0.25">
      <c r="A253" s="40" t="s">
        <v>106</v>
      </c>
      <c r="B253" s="41">
        <v>8.4172441403998608</v>
      </c>
      <c r="C253" s="42" t="s">
        <v>57</v>
      </c>
    </row>
    <row r="254" spans="1:3" x14ac:dyDescent="0.25">
      <c r="A254" s="40" t="s">
        <v>109</v>
      </c>
      <c r="B254" s="41">
        <v>11.619841172149</v>
      </c>
      <c r="C254" s="42" t="s">
        <v>110</v>
      </c>
    </row>
    <row r="255" spans="1:3" x14ac:dyDescent="0.25">
      <c r="A255" s="43" t="s">
        <v>111</v>
      </c>
      <c r="B255" s="44">
        <f>B249/B252*B248*PI()</f>
        <v>2.1743793509079872</v>
      </c>
      <c r="C255" s="45" t="s">
        <v>36</v>
      </c>
    </row>
    <row r="256" spans="1:3" x14ac:dyDescent="0.25">
      <c r="A256" s="43" t="s">
        <v>112</v>
      </c>
      <c r="B256" s="44">
        <f>B250/B253*B248*PI()</f>
        <v>2.1740817899445193</v>
      </c>
      <c r="C256" s="45" t="s">
        <v>36</v>
      </c>
    </row>
    <row r="257" spans="1:5" x14ac:dyDescent="0.25">
      <c r="A257" s="43" t="s">
        <v>113</v>
      </c>
      <c r="B257" s="44">
        <f>B251/B254*B248*PI()</f>
        <v>2.1750824751983795</v>
      </c>
      <c r="C257" s="45" t="s">
        <v>36</v>
      </c>
    </row>
    <row r="258" spans="1:5" x14ac:dyDescent="0.25">
      <c r="A258" s="34" t="s">
        <v>55</v>
      </c>
      <c r="B258" s="19">
        <f>AVERAGE(B255:B257)</f>
        <v>2.1745145386836291</v>
      </c>
      <c r="C258" s="20" t="s">
        <v>36</v>
      </c>
    </row>
    <row r="261" spans="1:5" ht="21" x14ac:dyDescent="0.35">
      <c r="A261" s="266">
        <v>43868.828119097219</v>
      </c>
      <c r="B261" s="199" t="s">
        <v>489</v>
      </c>
    </row>
    <row r="262" spans="1:5" x14ac:dyDescent="0.25">
      <c r="A262" s="165" t="s">
        <v>490</v>
      </c>
      <c r="B262" s="370" t="s">
        <v>492</v>
      </c>
      <c r="C262" s="370"/>
    </row>
    <row r="263" spans="1:5" ht="60" customHeight="1" x14ac:dyDescent="0.25">
      <c r="A263" s="235"/>
    </row>
    <row r="264" spans="1:5" x14ac:dyDescent="0.25">
      <c r="A264" s="263" t="s">
        <v>491</v>
      </c>
      <c r="C264" s="264" t="s">
        <v>493</v>
      </c>
      <c r="E264" s="264" t="s">
        <v>494</v>
      </c>
    </row>
    <row r="265" spans="1:5" x14ac:dyDescent="0.25">
      <c r="A265" s="269"/>
      <c r="C265" s="270"/>
      <c r="D265" s="270"/>
    </row>
    <row r="266" spans="1:5" x14ac:dyDescent="0.25">
      <c r="A266" s="370" t="s">
        <v>498</v>
      </c>
      <c r="B266" s="370"/>
      <c r="C266" s="371" t="s">
        <v>29</v>
      </c>
      <c r="D266" s="371"/>
    </row>
    <row r="267" spans="1:5" x14ac:dyDescent="0.25">
      <c r="A267" s="262" t="s">
        <v>500</v>
      </c>
      <c r="B267" s="71" t="s">
        <v>501</v>
      </c>
      <c r="C267" s="71" t="s">
        <v>500</v>
      </c>
      <c r="D267" s="71" t="s">
        <v>499</v>
      </c>
    </row>
    <row r="268" spans="1:5" x14ac:dyDescent="0.25">
      <c r="A268" s="72">
        <v>17.5</v>
      </c>
      <c r="B268" s="273">
        <f>10^(A268/10)</f>
        <v>56.234132519034915</v>
      </c>
      <c r="C268" s="265">
        <v>-13.93</v>
      </c>
      <c r="D268" s="273">
        <f>10^(C268/10)*1000</f>
        <v>40.457589169744253</v>
      </c>
      <c r="E268" s="235">
        <v>-15.26</v>
      </c>
    </row>
    <row r="269" spans="1:5" x14ac:dyDescent="0.25">
      <c r="A269" s="72">
        <f>A268-1.5</f>
        <v>16</v>
      </c>
      <c r="B269" s="273">
        <f t="shared" ref="B269:B279" si="0">10^(A269/10)</f>
        <v>39.810717055349755</v>
      </c>
      <c r="C269" s="265">
        <v>-15.474</v>
      </c>
      <c r="D269" s="273">
        <f t="shared" ref="D269:D279" si="1">10^(C269/10)*1000</f>
        <v>28.353064117606845</v>
      </c>
      <c r="E269" s="235">
        <v>-16.8</v>
      </c>
    </row>
    <row r="270" spans="1:5" x14ac:dyDescent="0.25">
      <c r="A270" s="72">
        <f t="shared" ref="A270:A279" si="2">A269-1.5</f>
        <v>14.5</v>
      </c>
      <c r="B270" s="273">
        <f t="shared" si="0"/>
        <v>28.183829312644548</v>
      </c>
      <c r="C270" s="265">
        <v>-17</v>
      </c>
      <c r="D270" s="273">
        <f t="shared" si="1"/>
        <v>19.95262314968879</v>
      </c>
      <c r="E270" s="235"/>
    </row>
    <row r="271" spans="1:5" x14ac:dyDescent="0.25">
      <c r="A271" s="72">
        <f t="shared" si="2"/>
        <v>13</v>
      </c>
      <c r="B271" s="273">
        <f t="shared" si="0"/>
        <v>19.952623149688804</v>
      </c>
      <c r="C271" s="265">
        <v>-18.54</v>
      </c>
      <c r="D271" s="273">
        <f t="shared" si="1"/>
        <v>13.995873225726179</v>
      </c>
    </row>
    <row r="272" spans="1:5" x14ac:dyDescent="0.25">
      <c r="A272" s="72">
        <f t="shared" si="2"/>
        <v>11.5</v>
      </c>
      <c r="B272" s="273">
        <f t="shared" si="0"/>
        <v>14.125375446227544</v>
      </c>
      <c r="C272" s="265">
        <v>-20.07</v>
      </c>
      <c r="D272" s="273">
        <f t="shared" si="1"/>
        <v>9.8401110576113275</v>
      </c>
    </row>
    <row r="273" spans="1:4" x14ac:dyDescent="0.25">
      <c r="A273" s="72">
        <f t="shared" si="2"/>
        <v>10</v>
      </c>
      <c r="B273" s="273">
        <f t="shared" si="0"/>
        <v>10</v>
      </c>
      <c r="C273" s="265">
        <v>-21.63</v>
      </c>
      <c r="D273" s="273">
        <f t="shared" si="1"/>
        <v>6.8706844001423208</v>
      </c>
    </row>
    <row r="274" spans="1:4" x14ac:dyDescent="0.25">
      <c r="A274" s="72">
        <f t="shared" si="2"/>
        <v>8.5</v>
      </c>
      <c r="B274" s="273">
        <f t="shared" si="0"/>
        <v>7.0794578438413795</v>
      </c>
      <c r="C274" s="265">
        <v>-23.17</v>
      </c>
      <c r="D274" s="273">
        <f t="shared" si="1"/>
        <v>4.8194779762512709</v>
      </c>
    </row>
    <row r="275" spans="1:4" x14ac:dyDescent="0.25">
      <c r="A275" s="72">
        <f t="shared" si="2"/>
        <v>7</v>
      </c>
      <c r="B275" s="273">
        <f t="shared" si="0"/>
        <v>5.0118723362727229</v>
      </c>
      <c r="C275" s="265">
        <v>-24.69</v>
      </c>
      <c r="D275" s="273">
        <f t="shared" si="1"/>
        <v>3.3962527259040791</v>
      </c>
    </row>
    <row r="276" spans="1:4" x14ac:dyDescent="0.25">
      <c r="A276" s="72">
        <f t="shared" si="2"/>
        <v>5.5</v>
      </c>
      <c r="B276" s="273">
        <f t="shared" si="0"/>
        <v>3.5481338923357555</v>
      </c>
      <c r="C276" s="265">
        <v>-26.25</v>
      </c>
      <c r="D276" s="273">
        <f t="shared" si="1"/>
        <v>2.3713737056616537</v>
      </c>
    </row>
    <row r="277" spans="1:4" x14ac:dyDescent="0.25">
      <c r="A277" s="72">
        <f t="shared" si="2"/>
        <v>4</v>
      </c>
      <c r="B277" s="273">
        <f t="shared" si="0"/>
        <v>2.5118864315095806</v>
      </c>
      <c r="C277" s="265">
        <v>-27.81</v>
      </c>
      <c r="D277" s="273">
        <f t="shared" si="1"/>
        <v>1.6557699634695282</v>
      </c>
    </row>
    <row r="278" spans="1:4" x14ac:dyDescent="0.25">
      <c r="A278" s="72">
        <f t="shared" si="2"/>
        <v>2.5</v>
      </c>
      <c r="B278" s="273">
        <f t="shared" si="0"/>
        <v>1.778279410038923</v>
      </c>
      <c r="C278" s="265">
        <v>-29.31</v>
      </c>
      <c r="D278" s="273">
        <f t="shared" si="1"/>
        <v>1.1721953655481292</v>
      </c>
    </row>
    <row r="279" spans="1:4" x14ac:dyDescent="0.25">
      <c r="A279" s="72">
        <f t="shared" si="2"/>
        <v>1</v>
      </c>
      <c r="B279" s="273">
        <f t="shared" si="0"/>
        <v>1.2589254117941673</v>
      </c>
      <c r="C279" s="265">
        <v>-30.7</v>
      </c>
      <c r="D279" s="273">
        <f t="shared" si="1"/>
        <v>0.85113803820237643</v>
      </c>
    </row>
  </sheetData>
  <mergeCells count="5">
    <mergeCell ref="A8:A9"/>
    <mergeCell ref="A242:A244"/>
    <mergeCell ref="B262:C262"/>
    <mergeCell ref="A266:B266"/>
    <mergeCell ref="C266:D266"/>
  </mergeCells>
  <pageMargins left="0.7" right="0.7" top="0.75" bottom="0.75" header="0.3" footer="0.3"/>
  <pageSetup paperSize="9" orientation="portrait"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7"/>
  <sheetViews>
    <sheetView zoomScaleNormal="100" workbookViewId="0">
      <selection activeCell="I34" sqref="I34"/>
    </sheetView>
  </sheetViews>
  <sheetFormatPr defaultRowHeight="15" x14ac:dyDescent="0.25"/>
  <cols>
    <col min="2" max="2" width="3.28515625" customWidth="1"/>
    <col min="3" max="3" width="8.85546875" style="260" customWidth="1"/>
    <col min="4" max="4" width="8.85546875" style="260"/>
    <col min="5" max="5" width="10.85546875" style="260" customWidth="1"/>
    <col min="6" max="6" width="14.7109375" style="276" customWidth="1"/>
    <col min="7" max="7" width="18.5703125" style="276" customWidth="1"/>
  </cols>
  <sheetData>
    <row r="1" spans="2:8" x14ac:dyDescent="0.25">
      <c r="F1" s="276" t="s">
        <v>507</v>
      </c>
      <c r="G1" s="276">
        <f>'Calc vs Measured'!$J$28</f>
        <v>11.646904394934415</v>
      </c>
      <c r="H1" t="s">
        <v>508</v>
      </c>
    </row>
    <row r="2" spans="2:8" ht="30" x14ac:dyDescent="0.25">
      <c r="C2" s="372" t="s">
        <v>502</v>
      </c>
      <c r="D2" s="373"/>
      <c r="E2" s="71" t="s">
        <v>504</v>
      </c>
      <c r="F2" s="262" t="s">
        <v>503</v>
      </c>
      <c r="G2" s="262" t="s">
        <v>506</v>
      </c>
    </row>
    <row r="3" spans="2:8" ht="30" x14ac:dyDescent="0.25">
      <c r="C3" s="274" t="s">
        <v>31</v>
      </c>
      <c r="D3" s="274" t="s">
        <v>38</v>
      </c>
      <c r="E3" s="275" t="s">
        <v>505</v>
      </c>
      <c r="F3" s="275" t="s">
        <v>211</v>
      </c>
      <c r="G3" s="275" t="s">
        <v>211</v>
      </c>
    </row>
    <row r="4" spans="2:8" x14ac:dyDescent="0.25">
      <c r="B4" s="235">
        <v>1</v>
      </c>
      <c r="C4" s="72">
        <f>'Eigen &amp; Mod Tuning'!C268</f>
        <v>-13.93</v>
      </c>
      <c r="D4" s="273">
        <f>'Eigen &amp; Mod Tuning'!D268</f>
        <v>40.457589169744253</v>
      </c>
      <c r="E4" s="72">
        <v>2471</v>
      </c>
      <c r="F4" s="97">
        <v>11.596</v>
      </c>
      <c r="G4" s="97">
        <f>F4-$G$1</f>
        <v>-5.0904394934415009E-2</v>
      </c>
    </row>
    <row r="5" spans="2:8" x14ac:dyDescent="0.25">
      <c r="B5" s="235">
        <v>2</v>
      </c>
      <c r="C5" s="72">
        <f>'Eigen &amp; Mod Tuning'!C269</f>
        <v>-15.474</v>
      </c>
      <c r="D5" s="273">
        <f>'Eigen &amp; Mod Tuning'!D269</f>
        <v>28.353064117606845</v>
      </c>
      <c r="E5" s="72">
        <v>2295</v>
      </c>
      <c r="F5" s="97">
        <v>11.7509</v>
      </c>
      <c r="G5" s="97">
        <f t="shared" ref="G5:G27" si="0">F5-$G$1</f>
        <v>0.10399560506558458</v>
      </c>
    </row>
    <row r="6" spans="2:8" x14ac:dyDescent="0.25">
      <c r="B6" s="235">
        <v>3</v>
      </c>
      <c r="C6" s="72">
        <f>'Eigen &amp; Mod Tuning'!C270</f>
        <v>-17</v>
      </c>
      <c r="D6" s="273">
        <f>'Eigen &amp; Mod Tuning'!D270</f>
        <v>19.95262314968879</v>
      </c>
      <c r="E6" s="72">
        <v>2196</v>
      </c>
      <c r="F6" s="97">
        <v>11.8865</v>
      </c>
      <c r="G6" s="97">
        <f t="shared" si="0"/>
        <v>0.23959560506558475</v>
      </c>
    </row>
    <row r="7" spans="2:8" x14ac:dyDescent="0.25">
      <c r="B7" s="235">
        <v>4</v>
      </c>
      <c r="C7" s="72">
        <f>'Eigen &amp; Mod Tuning'!C271</f>
        <v>-18.54</v>
      </c>
      <c r="D7" s="273">
        <f>'Eigen &amp; Mod Tuning'!D271</f>
        <v>13.995873225726179</v>
      </c>
      <c r="E7" s="72">
        <v>2241</v>
      </c>
      <c r="F7" s="97">
        <v>11.984500000000001</v>
      </c>
      <c r="G7" s="97">
        <f t="shared" si="0"/>
        <v>0.3375956050655855</v>
      </c>
    </row>
    <row r="8" spans="2:8" x14ac:dyDescent="0.25">
      <c r="B8" s="235">
        <v>5</v>
      </c>
      <c r="C8" s="72">
        <f>'Eigen &amp; Mod Tuning'!C272</f>
        <v>-20.07</v>
      </c>
      <c r="D8" s="272">
        <f>'Eigen &amp; Mod Tuning'!D272</f>
        <v>9.8401110576113275</v>
      </c>
      <c r="E8" s="72">
        <v>2297</v>
      </c>
      <c r="F8" s="97">
        <v>12.044700000000001</v>
      </c>
      <c r="G8" s="97">
        <f t="shared" si="0"/>
        <v>0.39779560506558553</v>
      </c>
    </row>
    <row r="9" spans="2:8" x14ac:dyDescent="0.25">
      <c r="B9" s="235">
        <v>6</v>
      </c>
      <c r="C9" s="72">
        <f>'Eigen &amp; Mod Tuning'!C273</f>
        <v>-21.63</v>
      </c>
      <c r="D9" s="272">
        <f>'Eigen &amp; Mod Tuning'!D273</f>
        <v>6.8706844001423208</v>
      </c>
      <c r="E9" s="97">
        <v>2609</v>
      </c>
      <c r="F9" s="97">
        <v>12.070499999999999</v>
      </c>
      <c r="G9" s="97">
        <f t="shared" si="0"/>
        <v>0.42359560506558402</v>
      </c>
    </row>
    <row r="10" spans="2:8" x14ac:dyDescent="0.25">
      <c r="B10" s="235">
        <v>7</v>
      </c>
      <c r="C10" s="72">
        <f>'Eigen &amp; Mod Tuning'!C274</f>
        <v>-23.17</v>
      </c>
      <c r="D10" s="272">
        <f>'Eigen &amp; Mod Tuning'!D274</f>
        <v>4.8194779762512709</v>
      </c>
      <c r="E10" s="72">
        <v>2902</v>
      </c>
      <c r="F10" s="97">
        <v>12.100300000000001</v>
      </c>
      <c r="G10" s="97">
        <f t="shared" si="0"/>
        <v>0.45339560506558563</v>
      </c>
    </row>
    <row r="11" spans="2:8" x14ac:dyDescent="0.25">
      <c r="B11" s="235">
        <v>8</v>
      </c>
      <c r="C11" s="72">
        <f>'Eigen &amp; Mod Tuning'!C275</f>
        <v>-24.69</v>
      </c>
      <c r="D11" s="272">
        <f>'Eigen &amp; Mod Tuning'!D275</f>
        <v>3.3962527259040791</v>
      </c>
      <c r="E11" s="72">
        <v>3467</v>
      </c>
      <c r="F11" s="97">
        <v>12.117599999999999</v>
      </c>
      <c r="G11" s="97">
        <f t="shared" si="0"/>
        <v>0.47069560506558439</v>
      </c>
    </row>
    <row r="12" spans="2:8" x14ac:dyDescent="0.25">
      <c r="B12" s="235">
        <v>9</v>
      </c>
      <c r="C12" s="72">
        <f>'Eigen &amp; Mod Tuning'!C276</f>
        <v>-26.25</v>
      </c>
      <c r="D12" s="272">
        <f>'Eigen &amp; Mod Tuning'!D276</f>
        <v>2.3713737056616537</v>
      </c>
      <c r="E12" s="72">
        <v>4104</v>
      </c>
      <c r="F12" s="97">
        <v>12.0983</v>
      </c>
      <c r="G12" s="97">
        <f t="shared" si="0"/>
        <v>0.45139560506558496</v>
      </c>
    </row>
    <row r="13" spans="2:8" x14ac:dyDescent="0.25">
      <c r="B13" s="235">
        <v>10</v>
      </c>
      <c r="C13" s="72">
        <f>'Eigen &amp; Mod Tuning'!C277</f>
        <v>-27.81</v>
      </c>
      <c r="D13" s="272">
        <f>'Eigen &amp; Mod Tuning'!D277</f>
        <v>1.6557699634695282</v>
      </c>
      <c r="E13" s="72">
        <v>5448</v>
      </c>
      <c r="F13" s="97">
        <v>12.114599999999999</v>
      </c>
      <c r="G13" s="97">
        <f t="shared" si="0"/>
        <v>0.46769560506558427</v>
      </c>
    </row>
    <row r="14" spans="2:8" x14ac:dyDescent="0.25">
      <c r="B14" s="235">
        <v>11</v>
      </c>
      <c r="C14" s="72">
        <f>'Eigen &amp; Mod Tuning'!C278</f>
        <v>-29.31</v>
      </c>
      <c r="D14" s="272">
        <f>'Eigen &amp; Mod Tuning'!D278</f>
        <v>1.1721953655481292</v>
      </c>
      <c r="E14" s="72">
        <v>7202</v>
      </c>
      <c r="F14" s="97">
        <v>12.085100000000001</v>
      </c>
      <c r="G14" s="97">
        <f t="shared" si="0"/>
        <v>0.43819560506558553</v>
      </c>
    </row>
    <row r="15" spans="2:8" x14ac:dyDescent="0.25">
      <c r="B15" s="235">
        <v>12</v>
      </c>
      <c r="C15" s="72">
        <f>'Eigen &amp; Mod Tuning'!C279</f>
        <v>-30.7</v>
      </c>
      <c r="D15" s="271">
        <f>'Eigen &amp; Mod Tuning'!D279</f>
        <v>0.85113803820237643</v>
      </c>
      <c r="E15" s="72">
        <v>9953</v>
      </c>
      <c r="F15" s="97">
        <v>12.045</v>
      </c>
      <c r="G15" s="97">
        <f t="shared" si="0"/>
        <v>0.39809560506558483</v>
      </c>
    </row>
    <row r="16" spans="2:8" x14ac:dyDescent="0.25">
      <c r="B16" s="235">
        <v>13</v>
      </c>
      <c r="C16" s="72">
        <f>C4</f>
        <v>-13.93</v>
      </c>
      <c r="D16" s="273">
        <f t="shared" ref="D16:D27" si="1">D4</f>
        <v>40.457589169744253</v>
      </c>
      <c r="E16" s="72">
        <v>2427</v>
      </c>
      <c r="F16" s="97">
        <v>11.629300000000001</v>
      </c>
      <c r="G16" s="97">
        <f t="shared" si="0"/>
        <v>-1.7604394934414458E-2</v>
      </c>
    </row>
    <row r="17" spans="2:7" x14ac:dyDescent="0.25">
      <c r="B17" s="235">
        <v>14</v>
      </c>
      <c r="C17" s="72">
        <f t="shared" ref="C17" si="2">C5</f>
        <v>-15.474</v>
      </c>
      <c r="D17" s="273">
        <f t="shared" si="1"/>
        <v>28.353064117606845</v>
      </c>
      <c r="E17" s="72">
        <v>2212</v>
      </c>
      <c r="F17" s="97">
        <v>11.783099999999999</v>
      </c>
      <c r="G17" s="97">
        <f t="shared" si="0"/>
        <v>0.13619560506558415</v>
      </c>
    </row>
    <row r="18" spans="2:7" x14ac:dyDescent="0.25">
      <c r="B18" s="235">
        <v>15</v>
      </c>
      <c r="C18" s="72">
        <f t="shared" ref="C18" si="3">C6</f>
        <v>-17</v>
      </c>
      <c r="D18" s="273">
        <f t="shared" si="1"/>
        <v>19.95262314968879</v>
      </c>
      <c r="E18" s="72">
        <v>2264</v>
      </c>
      <c r="F18" s="97">
        <v>11.916</v>
      </c>
      <c r="G18" s="97">
        <f t="shared" si="0"/>
        <v>0.26909560506558527</v>
      </c>
    </row>
    <row r="19" spans="2:7" x14ac:dyDescent="0.25">
      <c r="B19" s="235">
        <v>16</v>
      </c>
      <c r="C19" s="72">
        <f t="shared" ref="C19" si="4">C7</f>
        <v>-18.54</v>
      </c>
      <c r="D19" s="273">
        <f t="shared" si="1"/>
        <v>13.995873225726179</v>
      </c>
      <c r="E19" s="72">
        <v>2245</v>
      </c>
      <c r="F19" s="97">
        <v>11.9872</v>
      </c>
      <c r="G19" s="97">
        <f t="shared" si="0"/>
        <v>0.34029560506558454</v>
      </c>
    </row>
    <row r="20" spans="2:7" x14ac:dyDescent="0.25">
      <c r="B20" s="235">
        <v>17</v>
      </c>
      <c r="C20" s="72">
        <f t="shared" ref="C20" si="5">C8</f>
        <v>-20.07</v>
      </c>
      <c r="D20" s="272">
        <f t="shared" si="1"/>
        <v>9.8401110576113275</v>
      </c>
      <c r="E20" s="72">
        <v>2398</v>
      </c>
      <c r="F20" s="97">
        <v>12.048500000000001</v>
      </c>
      <c r="G20" s="97">
        <f t="shared" si="0"/>
        <v>0.40159560506558556</v>
      </c>
    </row>
    <row r="21" spans="2:7" x14ac:dyDescent="0.25">
      <c r="B21" s="235">
        <v>18</v>
      </c>
      <c r="C21" s="72">
        <f t="shared" ref="C21" si="6">C9</f>
        <v>-21.63</v>
      </c>
      <c r="D21" s="272">
        <f t="shared" si="1"/>
        <v>6.8706844001423208</v>
      </c>
      <c r="E21" s="72">
        <v>2541</v>
      </c>
      <c r="F21" s="97">
        <v>12.0785</v>
      </c>
      <c r="G21" s="97">
        <f t="shared" si="0"/>
        <v>0.43159560506558492</v>
      </c>
    </row>
    <row r="22" spans="2:7" x14ac:dyDescent="0.25">
      <c r="B22" s="235">
        <v>19</v>
      </c>
      <c r="C22" s="72">
        <f t="shared" ref="C22" si="7">C10</f>
        <v>-23.17</v>
      </c>
      <c r="D22" s="272">
        <f t="shared" si="1"/>
        <v>4.8194779762512709</v>
      </c>
      <c r="E22" s="72">
        <v>3065</v>
      </c>
      <c r="F22" s="97">
        <v>12.101000000000001</v>
      </c>
      <c r="G22" s="97">
        <f t="shared" si="0"/>
        <v>0.45409560506558577</v>
      </c>
    </row>
    <row r="23" spans="2:7" x14ac:dyDescent="0.25">
      <c r="B23" s="235">
        <v>20</v>
      </c>
      <c r="C23" s="72">
        <f t="shared" ref="C23" si="8">C11</f>
        <v>-24.69</v>
      </c>
      <c r="D23" s="272">
        <f t="shared" si="1"/>
        <v>3.3962527259040791</v>
      </c>
      <c r="E23" s="72">
        <v>3547</v>
      </c>
      <c r="F23" s="97">
        <v>12.134499999999999</v>
      </c>
      <c r="G23" s="97">
        <f t="shared" si="0"/>
        <v>0.48759560506558408</v>
      </c>
    </row>
    <row r="24" spans="2:7" x14ac:dyDescent="0.25">
      <c r="B24" s="235">
        <v>21</v>
      </c>
      <c r="C24" s="72">
        <f t="shared" ref="C24" si="9">C12</f>
        <v>-26.25</v>
      </c>
      <c r="D24" s="272">
        <f t="shared" si="1"/>
        <v>2.3713737056616537</v>
      </c>
      <c r="E24" s="72">
        <v>4280</v>
      </c>
      <c r="F24" s="97">
        <v>12.132300000000001</v>
      </c>
      <c r="G24" s="97">
        <f t="shared" si="0"/>
        <v>0.48539560506558566</v>
      </c>
    </row>
    <row r="25" spans="2:7" x14ac:dyDescent="0.25">
      <c r="B25" s="235">
        <v>22</v>
      </c>
      <c r="C25" s="72">
        <f t="shared" ref="C25" si="10">C13</f>
        <v>-27.81</v>
      </c>
      <c r="D25" s="272">
        <f t="shared" si="1"/>
        <v>1.6557699634695282</v>
      </c>
      <c r="E25" s="72">
        <v>5641</v>
      </c>
      <c r="F25" s="97">
        <v>12.1212</v>
      </c>
      <c r="G25" s="97">
        <f t="shared" si="0"/>
        <v>0.47429560506558488</v>
      </c>
    </row>
    <row r="26" spans="2:7" x14ac:dyDescent="0.25">
      <c r="B26" s="235">
        <v>23</v>
      </c>
      <c r="C26" s="72">
        <f t="shared" ref="C26" si="11">C14</f>
        <v>-29.31</v>
      </c>
      <c r="D26" s="272">
        <f t="shared" si="1"/>
        <v>1.1721953655481292</v>
      </c>
      <c r="E26" s="72">
        <v>7419</v>
      </c>
      <c r="F26" s="97">
        <v>12.094099999999999</v>
      </c>
      <c r="G26" s="97">
        <f t="shared" si="0"/>
        <v>0.44719560506558409</v>
      </c>
    </row>
    <row r="27" spans="2:7" x14ac:dyDescent="0.25">
      <c r="B27" s="235">
        <v>24</v>
      </c>
      <c r="C27" s="72">
        <f t="shared" ref="C27" si="12">C15</f>
        <v>-30.7</v>
      </c>
      <c r="D27" s="271">
        <f t="shared" si="1"/>
        <v>0.85113803820237643</v>
      </c>
      <c r="E27" s="72">
        <v>9781</v>
      </c>
      <c r="F27" s="97">
        <v>12.0623</v>
      </c>
      <c r="G27" s="97">
        <f t="shared" si="0"/>
        <v>0.41539560506558537</v>
      </c>
    </row>
  </sheetData>
  <mergeCells count="1">
    <mergeCell ref="C2:D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G77"/>
  <sheetViews>
    <sheetView tabSelected="1" zoomScale="85" zoomScaleNormal="85" workbookViewId="0">
      <pane xSplit="3" ySplit="2" topLeftCell="D29" activePane="bottomRight" state="frozen"/>
      <selection pane="topRight" activeCell="D1" sqref="D1"/>
      <selection pane="bottomLeft" activeCell="A3" sqref="A3"/>
      <selection pane="bottomRight" activeCell="D34" sqref="D34"/>
    </sheetView>
  </sheetViews>
  <sheetFormatPr defaultRowHeight="15" x14ac:dyDescent="0.25"/>
  <cols>
    <col min="1" max="1" width="4.28515625" style="63" customWidth="1"/>
    <col min="2" max="2" width="17.7109375" style="49" customWidth="1"/>
    <col min="3" max="3" width="39.7109375" style="49" customWidth="1"/>
    <col min="4" max="4" width="18.42578125" style="49" customWidth="1"/>
    <col min="5" max="5" width="38.42578125" style="49" customWidth="1"/>
    <col min="6" max="6" width="51.28515625" style="49" customWidth="1"/>
    <col min="7" max="7" width="6.5703125" style="49" customWidth="1"/>
    <col min="8" max="8" width="13.140625" style="223" bestFit="1" customWidth="1"/>
    <col min="9" max="9" width="13.140625" style="49" bestFit="1" customWidth="1"/>
    <col min="10" max="10" width="13.140625" style="251" customWidth="1"/>
    <col min="11" max="11" width="14.5703125" style="252" bestFit="1" customWidth="1"/>
    <col min="12" max="12" width="18.85546875" style="49" customWidth="1"/>
    <col min="13" max="13" width="5.140625" style="1" bestFit="1" customWidth="1"/>
    <col min="14" max="14" width="11.85546875" style="201" customWidth="1"/>
    <col min="15" max="15" width="14.7109375" style="223" customWidth="1"/>
    <col min="16" max="16" width="14" style="230" customWidth="1"/>
    <col min="17" max="17" width="18.85546875" style="49" customWidth="1"/>
    <col min="18" max="18" width="7.85546875" style="1" bestFit="1" customWidth="1"/>
    <col min="19" max="19" width="6.140625" style="1" bestFit="1" customWidth="1"/>
    <col min="20" max="20" width="4.5703125" style="1" bestFit="1" customWidth="1"/>
    <col min="21" max="21" width="9.140625" style="1" customWidth="1"/>
    <col min="22" max="22" width="7.85546875" style="1" bestFit="1" customWidth="1"/>
    <col min="23" max="23" width="6.140625" style="1" bestFit="1" customWidth="1"/>
    <col min="24" max="24" width="4.5703125" style="1" bestFit="1" customWidth="1"/>
    <col min="25" max="25" width="9.140625" style="1" customWidth="1"/>
    <col min="26" max="26" width="7.85546875" style="1" bestFit="1" customWidth="1"/>
    <col min="27" max="27" width="6.140625" style="1" bestFit="1" customWidth="1"/>
    <col min="28" max="28" width="4.5703125" style="1" bestFit="1" customWidth="1"/>
    <col min="29" max="29" width="9.140625" style="1" customWidth="1"/>
    <col min="30" max="30" width="7.5703125" style="1" customWidth="1"/>
    <col min="31" max="31" width="8.140625" style="1" bestFit="1" customWidth="1"/>
    <col min="32" max="32" width="3.7109375" style="1" bestFit="1" customWidth="1"/>
    <col min="33" max="33" width="5.85546875" style="1" bestFit="1" customWidth="1"/>
    <col min="34" max="34" width="4.5703125" style="1" bestFit="1" customWidth="1"/>
    <col min="35" max="35" width="7.5703125" style="1" customWidth="1"/>
    <col min="36" max="37" width="10.42578125" style="1" customWidth="1"/>
    <col min="38" max="38" width="9.28515625" style="1" bestFit="1" customWidth="1"/>
    <col min="39" max="39" width="8" style="1" customWidth="1"/>
    <col min="40" max="40" width="5.85546875" style="1" customWidth="1"/>
    <col min="41" max="41" width="11.5703125" style="1" customWidth="1"/>
    <col min="42" max="42" width="6.7109375" style="1" customWidth="1"/>
    <col min="43" max="43" width="5.85546875" style="1" bestFit="1" customWidth="1"/>
    <col min="44" max="44" width="10.28515625" style="49" bestFit="1" customWidth="1"/>
    <col min="45" max="45" width="12.5703125" style="1" bestFit="1" customWidth="1"/>
    <col min="46" max="46" width="7.28515625" style="1" customWidth="1"/>
    <col min="47" max="48" width="5.28515625" style="1" customWidth="1"/>
    <col min="49" max="49" width="5.7109375" style="1" customWidth="1"/>
    <col min="50" max="52" width="9.140625" style="1"/>
    <col min="53" max="53" width="12.42578125" style="49" bestFit="1" customWidth="1"/>
    <col min="54" max="54" width="10.85546875" style="1" bestFit="1" customWidth="1"/>
    <col min="55" max="55" width="41.42578125" style="49" customWidth="1"/>
    <col min="56" max="59" width="9.140625" style="1"/>
  </cols>
  <sheetData>
    <row r="1" spans="1:59" s="47" customFormat="1" ht="15.75" thickBot="1" x14ac:dyDescent="0.3">
      <c r="A1" s="63"/>
      <c r="B1" s="383" t="s">
        <v>148</v>
      </c>
      <c r="C1" s="382"/>
      <c r="D1" s="382"/>
      <c r="E1" s="382"/>
      <c r="F1" s="382"/>
      <c r="G1" s="382"/>
      <c r="H1" s="382"/>
      <c r="I1" s="384"/>
      <c r="J1" s="386" t="s">
        <v>447</v>
      </c>
      <c r="K1" s="387"/>
      <c r="L1" s="378" t="s">
        <v>142</v>
      </c>
      <c r="M1" s="379"/>
      <c r="N1" s="386" t="s">
        <v>128</v>
      </c>
      <c r="O1" s="388"/>
      <c r="P1" s="388"/>
      <c r="Q1" s="388"/>
      <c r="R1" s="378" t="s">
        <v>434</v>
      </c>
      <c r="S1" s="380"/>
      <c r="T1" s="380"/>
      <c r="U1" s="379"/>
      <c r="V1" s="378" t="s">
        <v>433</v>
      </c>
      <c r="W1" s="380"/>
      <c r="X1" s="380"/>
      <c r="Y1" s="379"/>
      <c r="Z1" s="378" t="s">
        <v>435</v>
      </c>
      <c r="AA1" s="380"/>
      <c r="AB1" s="380"/>
      <c r="AC1" s="379"/>
      <c r="AD1" s="386" t="s">
        <v>123</v>
      </c>
      <c r="AE1" s="388"/>
      <c r="AF1" s="388"/>
      <c r="AG1" s="388"/>
      <c r="AH1" s="387"/>
      <c r="AI1" s="378" t="s">
        <v>77</v>
      </c>
      <c r="AJ1" s="380"/>
      <c r="AK1" s="385"/>
      <c r="AL1" s="379"/>
      <c r="AM1" s="381" t="s">
        <v>274</v>
      </c>
      <c r="AN1" s="382"/>
      <c r="AO1" s="382"/>
      <c r="AP1" s="379"/>
      <c r="AQ1" s="378" t="s">
        <v>147</v>
      </c>
      <c r="AR1" s="379"/>
      <c r="AS1" s="383" t="s">
        <v>29</v>
      </c>
      <c r="AT1" s="382"/>
      <c r="AU1" s="382"/>
      <c r="AV1" s="382"/>
      <c r="AW1" s="382"/>
      <c r="AX1" s="384"/>
      <c r="AY1" s="378" t="s">
        <v>70</v>
      </c>
      <c r="AZ1" s="379"/>
      <c r="BA1" s="374" t="s">
        <v>474</v>
      </c>
      <c r="BB1" s="396"/>
      <c r="BC1" s="403"/>
      <c r="BD1" s="203"/>
      <c r="BE1" s="203"/>
      <c r="BF1" s="203"/>
      <c r="BG1" s="204"/>
    </row>
    <row r="2" spans="1:59" s="221" customFormat="1" ht="45.75" thickBot="1" x14ac:dyDescent="0.3">
      <c r="A2" s="215"/>
      <c r="B2" s="184" t="s">
        <v>178</v>
      </c>
      <c r="C2" s="185" t="s">
        <v>295</v>
      </c>
      <c r="D2" s="185" t="s">
        <v>297</v>
      </c>
      <c r="E2" s="185" t="s">
        <v>298</v>
      </c>
      <c r="F2" s="185" t="s">
        <v>119</v>
      </c>
      <c r="G2" s="185" t="s">
        <v>121</v>
      </c>
      <c r="H2" s="185" t="s">
        <v>377</v>
      </c>
      <c r="I2" s="216" t="s">
        <v>151</v>
      </c>
      <c r="J2" s="184" t="s">
        <v>446</v>
      </c>
      <c r="K2" s="186" t="s">
        <v>311</v>
      </c>
      <c r="L2" s="218" t="s">
        <v>122</v>
      </c>
      <c r="M2" s="186" t="s">
        <v>143</v>
      </c>
      <c r="N2" s="218" t="s">
        <v>417</v>
      </c>
      <c r="O2" s="218" t="s">
        <v>411</v>
      </c>
      <c r="P2" s="217" t="s">
        <v>412</v>
      </c>
      <c r="Q2" s="184" t="s">
        <v>410</v>
      </c>
      <c r="R2" s="184" t="s">
        <v>130</v>
      </c>
      <c r="S2" s="185" t="s">
        <v>129</v>
      </c>
      <c r="T2" s="185" t="s">
        <v>136</v>
      </c>
      <c r="U2" s="186" t="s">
        <v>127</v>
      </c>
      <c r="V2" s="184" t="s">
        <v>130</v>
      </c>
      <c r="W2" s="185" t="s">
        <v>129</v>
      </c>
      <c r="X2" s="185" t="s">
        <v>136</v>
      </c>
      <c r="Y2" s="186" t="s">
        <v>288</v>
      </c>
      <c r="Z2" s="184" t="s">
        <v>130</v>
      </c>
      <c r="AA2" s="185" t="s">
        <v>129</v>
      </c>
      <c r="AB2" s="185" t="s">
        <v>136</v>
      </c>
      <c r="AC2" s="186" t="s">
        <v>120</v>
      </c>
      <c r="AD2" s="186" t="s">
        <v>133</v>
      </c>
      <c r="AE2" s="184" t="s">
        <v>138</v>
      </c>
      <c r="AF2" s="185" t="s">
        <v>134</v>
      </c>
      <c r="AG2" s="185" t="s">
        <v>135</v>
      </c>
      <c r="AH2" s="217" t="s">
        <v>140</v>
      </c>
      <c r="AI2" s="184" t="s">
        <v>117</v>
      </c>
      <c r="AJ2" s="185" t="s">
        <v>281</v>
      </c>
      <c r="AK2" s="185" t="s">
        <v>93</v>
      </c>
      <c r="AL2" s="186" t="s">
        <v>120</v>
      </c>
      <c r="AM2" s="184" t="s">
        <v>540</v>
      </c>
      <c r="AN2" s="185" t="s">
        <v>541</v>
      </c>
      <c r="AO2" s="185" t="s">
        <v>543</v>
      </c>
      <c r="AP2" s="186" t="s">
        <v>542</v>
      </c>
      <c r="AQ2" s="184" t="s">
        <v>131</v>
      </c>
      <c r="AR2" s="186" t="s">
        <v>132</v>
      </c>
      <c r="AS2" s="184" t="s">
        <v>144</v>
      </c>
      <c r="AT2" s="218" t="s">
        <v>282</v>
      </c>
      <c r="AU2" s="218" t="s">
        <v>284</v>
      </c>
      <c r="AV2" s="218" t="s">
        <v>286</v>
      </c>
      <c r="AW2" s="185" t="s">
        <v>253</v>
      </c>
      <c r="AX2" s="186" t="s">
        <v>145</v>
      </c>
      <c r="AY2" s="184" t="s">
        <v>124</v>
      </c>
      <c r="AZ2" s="186" t="s">
        <v>125</v>
      </c>
      <c r="BA2" s="184" t="s">
        <v>475</v>
      </c>
      <c r="BB2" s="186" t="s">
        <v>476</v>
      </c>
      <c r="BC2" s="279" t="s">
        <v>591</v>
      </c>
      <c r="BD2" s="219"/>
      <c r="BE2" s="219"/>
      <c r="BF2" s="219"/>
      <c r="BG2" s="220"/>
    </row>
    <row r="3" spans="1:59" s="26" customFormat="1" ht="30" x14ac:dyDescent="0.25">
      <c r="A3" s="205" t="s">
        <v>156</v>
      </c>
      <c r="B3" s="206">
        <v>43611.797938425923</v>
      </c>
      <c r="C3" s="206" t="s">
        <v>296</v>
      </c>
      <c r="D3" s="206">
        <v>43611.802823379629</v>
      </c>
      <c r="E3" s="206" t="s">
        <v>299</v>
      </c>
      <c r="F3" s="207" t="s">
        <v>279</v>
      </c>
      <c r="G3" s="183" t="s">
        <v>118</v>
      </c>
      <c r="H3" s="208" t="s">
        <v>141</v>
      </c>
      <c r="I3" s="214" t="s">
        <v>150</v>
      </c>
      <c r="J3" s="257"/>
      <c r="K3" s="258" t="s">
        <v>312</v>
      </c>
      <c r="L3" s="213" t="s">
        <v>293</v>
      </c>
      <c r="M3" s="180">
        <v>1</v>
      </c>
      <c r="N3" s="232"/>
      <c r="O3" s="245"/>
      <c r="P3" s="229"/>
      <c r="Q3" s="181" t="s">
        <v>294</v>
      </c>
      <c r="R3" s="209" t="s">
        <v>184</v>
      </c>
      <c r="S3" s="210">
        <v>2</v>
      </c>
      <c r="T3" s="210" t="s">
        <v>137</v>
      </c>
      <c r="U3" s="211">
        <v>174.33199999999999</v>
      </c>
      <c r="V3" s="209" t="s">
        <v>184</v>
      </c>
      <c r="W3" s="210">
        <v>2</v>
      </c>
      <c r="X3" s="210" t="s">
        <v>137</v>
      </c>
      <c r="Y3" s="211">
        <v>75.340999999999994</v>
      </c>
      <c r="Z3" s="246"/>
      <c r="AA3" s="247"/>
      <c r="AB3" s="247"/>
      <c r="AC3" s="248"/>
      <c r="AD3" s="180" t="s">
        <v>183</v>
      </c>
      <c r="AE3" s="181">
        <v>0.3</v>
      </c>
      <c r="AF3" s="182" t="s">
        <v>137</v>
      </c>
      <c r="AG3" s="182" t="s">
        <v>137</v>
      </c>
      <c r="AH3" s="212" t="s">
        <v>139</v>
      </c>
      <c r="AI3" s="181">
        <v>2.1720000000000002</v>
      </c>
      <c r="AJ3" s="182">
        <v>85.304000000000002</v>
      </c>
      <c r="AK3" s="183" t="s">
        <v>278</v>
      </c>
      <c r="AL3" s="187" t="s">
        <v>116</v>
      </c>
      <c r="AM3" s="181" t="s">
        <v>275</v>
      </c>
      <c r="AN3" s="182" t="s">
        <v>276</v>
      </c>
      <c r="AO3" s="182" t="s">
        <v>277</v>
      </c>
      <c r="AP3" s="212" t="s">
        <v>18</v>
      </c>
      <c r="AQ3" s="181" t="s">
        <v>141</v>
      </c>
      <c r="AR3" s="212" t="s">
        <v>141</v>
      </c>
      <c r="AS3" s="181" t="s">
        <v>280</v>
      </c>
      <c r="AT3" s="213" t="s">
        <v>283</v>
      </c>
      <c r="AU3" s="213" t="s">
        <v>285</v>
      </c>
      <c r="AV3" s="213" t="s">
        <v>287</v>
      </c>
      <c r="AW3" s="182" t="s">
        <v>258</v>
      </c>
      <c r="AX3" s="212" t="s">
        <v>146</v>
      </c>
      <c r="AY3" s="181">
        <v>17.5</v>
      </c>
      <c r="AZ3" s="212">
        <v>0</v>
      </c>
      <c r="BA3" s="397"/>
      <c r="BB3" s="398"/>
      <c r="BC3" s="213"/>
      <c r="BD3" s="210"/>
      <c r="BE3" s="210"/>
      <c r="BF3" s="210"/>
      <c r="BG3" s="210"/>
    </row>
    <row r="4" spans="1:59" s="26" customFormat="1" ht="30" x14ac:dyDescent="0.25">
      <c r="A4" s="66" t="s">
        <v>157</v>
      </c>
      <c r="B4" s="64">
        <v>43611.810303587961</v>
      </c>
      <c r="C4" s="64" t="s">
        <v>300</v>
      </c>
      <c r="D4" s="179">
        <v>43613.595559606481</v>
      </c>
      <c r="E4" s="46" t="s">
        <v>305</v>
      </c>
      <c r="F4" s="48" t="s">
        <v>279</v>
      </c>
      <c r="G4" s="46" t="s">
        <v>118</v>
      </c>
      <c r="H4" s="202" t="s">
        <v>141</v>
      </c>
      <c r="I4" s="172" t="s">
        <v>150</v>
      </c>
      <c r="J4" s="188"/>
      <c r="K4" s="55" t="s">
        <v>312</v>
      </c>
      <c r="L4" s="51" t="s">
        <v>303</v>
      </c>
      <c r="M4" s="53">
        <v>1</v>
      </c>
      <c r="N4" s="228"/>
      <c r="O4" s="245"/>
      <c r="P4" s="229"/>
      <c r="Q4" s="54" t="s">
        <v>306</v>
      </c>
      <c r="R4" s="52" t="s">
        <v>184</v>
      </c>
      <c r="S4" s="3">
        <v>2</v>
      </c>
      <c r="T4" s="3" t="s">
        <v>137</v>
      </c>
      <c r="U4" s="60">
        <v>174.33199999999999</v>
      </c>
      <c r="V4" s="52" t="s">
        <v>184</v>
      </c>
      <c r="W4" s="3">
        <v>2</v>
      </c>
      <c r="X4" s="3" t="s">
        <v>137</v>
      </c>
      <c r="Y4" s="60">
        <v>75.340999999999994</v>
      </c>
      <c r="Z4" s="244"/>
      <c r="AA4" s="234"/>
      <c r="AB4" s="234"/>
      <c r="AC4" s="249"/>
      <c r="AD4" s="53" t="s">
        <v>183</v>
      </c>
      <c r="AE4" s="54">
        <v>0.3</v>
      </c>
      <c r="AF4" s="46" t="s">
        <v>137</v>
      </c>
      <c r="AG4" s="46" t="s">
        <v>137</v>
      </c>
      <c r="AH4" s="55" t="s">
        <v>139</v>
      </c>
      <c r="AI4" s="54">
        <v>2.1720000000000002</v>
      </c>
      <c r="AJ4" s="46">
        <v>85.304000000000002</v>
      </c>
      <c r="AK4" s="173" t="s">
        <v>278</v>
      </c>
      <c r="AL4" s="62" t="s">
        <v>149</v>
      </c>
      <c r="AM4" s="54" t="s">
        <v>275</v>
      </c>
      <c r="AN4" s="46" t="s">
        <v>276</v>
      </c>
      <c r="AO4" s="46" t="s">
        <v>277</v>
      </c>
      <c r="AP4" s="55" t="s">
        <v>18</v>
      </c>
      <c r="AQ4" s="54" t="s">
        <v>141</v>
      </c>
      <c r="AR4" s="55" t="s">
        <v>141</v>
      </c>
      <c r="AS4" s="54" t="s">
        <v>280</v>
      </c>
      <c r="AT4" s="51" t="s">
        <v>283</v>
      </c>
      <c r="AU4" s="51" t="s">
        <v>285</v>
      </c>
      <c r="AV4" s="51" t="s">
        <v>287</v>
      </c>
      <c r="AW4" s="46" t="s">
        <v>258</v>
      </c>
      <c r="AX4" s="55" t="s">
        <v>146</v>
      </c>
      <c r="AY4" s="54">
        <v>17.5</v>
      </c>
      <c r="AZ4" s="55">
        <v>0</v>
      </c>
      <c r="BA4" s="188"/>
      <c r="BB4" s="189"/>
      <c r="BC4" s="51"/>
      <c r="BD4" s="3"/>
      <c r="BE4" s="3"/>
      <c r="BF4" s="3"/>
      <c r="BG4" s="3"/>
    </row>
    <row r="5" spans="1:59" s="26" customFormat="1" ht="30" x14ac:dyDescent="0.25">
      <c r="A5" s="66" t="s">
        <v>158</v>
      </c>
      <c r="B5" s="64">
        <v>43613.765227777774</v>
      </c>
      <c r="C5" s="51" t="s">
        <v>126</v>
      </c>
      <c r="D5" s="179">
        <v>43614.498574537036</v>
      </c>
      <c r="E5" s="46" t="s">
        <v>310</v>
      </c>
      <c r="F5" s="48" t="s">
        <v>307</v>
      </c>
      <c r="G5" s="46" t="s">
        <v>118</v>
      </c>
      <c r="H5" s="202" t="s">
        <v>141</v>
      </c>
      <c r="I5" s="172" t="s">
        <v>150</v>
      </c>
      <c r="J5" s="188"/>
      <c r="K5" s="55" t="s">
        <v>312</v>
      </c>
      <c r="L5" s="51" t="s">
        <v>308</v>
      </c>
      <c r="M5" s="53">
        <v>1</v>
      </c>
      <c r="N5" s="228"/>
      <c r="O5" s="245"/>
      <c r="P5" s="229"/>
      <c r="Q5" s="54" t="s">
        <v>309</v>
      </c>
      <c r="R5" s="52" t="s">
        <v>184</v>
      </c>
      <c r="S5" s="3">
        <v>2</v>
      </c>
      <c r="T5" s="3" t="s">
        <v>137</v>
      </c>
      <c r="U5" s="60">
        <v>174.33199999999999</v>
      </c>
      <c r="V5" s="52" t="s">
        <v>184</v>
      </c>
      <c r="W5" s="3">
        <v>2</v>
      </c>
      <c r="X5" s="3" t="s">
        <v>137</v>
      </c>
      <c r="Y5" s="60">
        <v>75.340999999999994</v>
      </c>
      <c r="Z5" s="244"/>
      <c r="AA5" s="234"/>
      <c r="AB5" s="234"/>
      <c r="AC5" s="249"/>
      <c r="AD5" s="53" t="s">
        <v>183</v>
      </c>
      <c r="AE5" s="54">
        <v>0.3</v>
      </c>
      <c r="AF5" s="46" t="s">
        <v>137</v>
      </c>
      <c r="AG5" s="46" t="s">
        <v>137</v>
      </c>
      <c r="AH5" s="55" t="s">
        <v>139</v>
      </c>
      <c r="AI5" s="54">
        <v>2.1720000000000002</v>
      </c>
      <c r="AJ5" s="46">
        <v>85.304000000000002</v>
      </c>
      <c r="AK5" s="173" t="s">
        <v>278</v>
      </c>
      <c r="AL5" s="62" t="s">
        <v>149</v>
      </c>
      <c r="AM5" s="54" t="s">
        <v>275</v>
      </c>
      <c r="AN5" s="46" t="s">
        <v>276</v>
      </c>
      <c r="AO5" s="46" t="s">
        <v>277</v>
      </c>
      <c r="AP5" s="55" t="s">
        <v>18</v>
      </c>
      <c r="AQ5" s="54" t="s">
        <v>141</v>
      </c>
      <c r="AR5" s="55" t="s">
        <v>141</v>
      </c>
      <c r="AS5" s="54" t="s">
        <v>280</v>
      </c>
      <c r="AT5" s="51" t="s">
        <v>283</v>
      </c>
      <c r="AU5" s="51" t="s">
        <v>285</v>
      </c>
      <c r="AV5" s="51" t="s">
        <v>287</v>
      </c>
      <c r="AW5" s="46" t="s">
        <v>258</v>
      </c>
      <c r="AX5" s="55" t="s">
        <v>146</v>
      </c>
      <c r="AY5" s="54">
        <v>17.5</v>
      </c>
      <c r="AZ5" s="55">
        <v>0</v>
      </c>
      <c r="BA5" s="188"/>
      <c r="BB5" s="189"/>
      <c r="BC5" s="51"/>
      <c r="BD5" s="3"/>
      <c r="BE5" s="3"/>
      <c r="BF5" s="3"/>
      <c r="BG5" s="3"/>
    </row>
    <row r="6" spans="1:59" s="26" customFormat="1" ht="30" x14ac:dyDescent="0.25">
      <c r="A6" s="66" t="s">
        <v>159</v>
      </c>
      <c r="B6" s="64">
        <v>43614.513792013888</v>
      </c>
      <c r="C6" s="51" t="s">
        <v>313</v>
      </c>
      <c r="D6" s="179">
        <v>43614.521192824075</v>
      </c>
      <c r="E6" s="46" t="s">
        <v>310</v>
      </c>
      <c r="F6" s="48" t="s">
        <v>279</v>
      </c>
      <c r="G6" s="46" t="s">
        <v>118</v>
      </c>
      <c r="H6" s="202" t="s">
        <v>141</v>
      </c>
      <c r="I6" s="172" t="s">
        <v>150</v>
      </c>
      <c r="J6" s="188"/>
      <c r="K6" s="55" t="s">
        <v>314</v>
      </c>
      <c r="L6" s="245" t="s">
        <v>141</v>
      </c>
      <c r="M6" s="189" t="s">
        <v>141</v>
      </c>
      <c r="N6" s="228"/>
      <c r="O6" s="245"/>
      <c r="P6" s="229"/>
      <c r="Q6" s="54" t="s">
        <v>315</v>
      </c>
      <c r="R6" s="52">
        <v>599.9</v>
      </c>
      <c r="S6" s="3">
        <v>2</v>
      </c>
      <c r="T6" s="3" t="s">
        <v>137</v>
      </c>
      <c r="U6" s="60">
        <v>174.33199999999999</v>
      </c>
      <c r="V6" s="52">
        <v>599.9</v>
      </c>
      <c r="W6" s="3">
        <v>2</v>
      </c>
      <c r="X6" s="3" t="s">
        <v>137</v>
      </c>
      <c r="Y6" s="60">
        <v>75.340999999999994</v>
      </c>
      <c r="Z6" s="244"/>
      <c r="AA6" s="234"/>
      <c r="AB6" s="234"/>
      <c r="AC6" s="249"/>
      <c r="AD6" s="53" t="s">
        <v>152</v>
      </c>
      <c r="AE6" s="54">
        <v>0.3</v>
      </c>
      <c r="AF6" s="46" t="s">
        <v>137</v>
      </c>
      <c r="AG6" s="46" t="s">
        <v>137</v>
      </c>
      <c r="AH6" s="55" t="s">
        <v>139</v>
      </c>
      <c r="AI6" s="54">
        <v>2.1720000000000002</v>
      </c>
      <c r="AJ6" s="46">
        <v>85.304000000000002</v>
      </c>
      <c r="AK6" s="173" t="s">
        <v>278</v>
      </c>
      <c r="AL6" s="62" t="s">
        <v>149</v>
      </c>
      <c r="AM6" s="54" t="s">
        <v>275</v>
      </c>
      <c r="AN6" s="46" t="s">
        <v>276</v>
      </c>
      <c r="AO6" s="46" t="s">
        <v>277</v>
      </c>
      <c r="AP6" s="55" t="s">
        <v>18</v>
      </c>
      <c r="AQ6" s="54" t="s">
        <v>141</v>
      </c>
      <c r="AR6" s="55" t="s">
        <v>141</v>
      </c>
      <c r="AS6" s="54" t="s">
        <v>280</v>
      </c>
      <c r="AT6" s="51" t="s">
        <v>283</v>
      </c>
      <c r="AU6" s="51" t="s">
        <v>285</v>
      </c>
      <c r="AV6" s="51" t="s">
        <v>287</v>
      </c>
      <c r="AW6" s="46" t="s">
        <v>258</v>
      </c>
      <c r="AX6" s="55" t="s">
        <v>146</v>
      </c>
      <c r="AY6" s="54">
        <v>17.5</v>
      </c>
      <c r="AZ6" s="55">
        <v>0</v>
      </c>
      <c r="BA6" s="188"/>
      <c r="BB6" s="189"/>
      <c r="BC6" s="51"/>
      <c r="BD6" s="3"/>
      <c r="BE6" s="3"/>
      <c r="BF6" s="3"/>
      <c r="BG6" s="3"/>
    </row>
    <row r="7" spans="1:59" s="26" customFormat="1" ht="90" x14ac:dyDescent="0.25">
      <c r="A7" s="66" t="s">
        <v>160</v>
      </c>
      <c r="B7" s="64">
        <v>43614.681485532405</v>
      </c>
      <c r="C7" s="51" t="s">
        <v>317</v>
      </c>
      <c r="D7" s="179">
        <v>43615.344143981485</v>
      </c>
      <c r="E7" s="46" t="s">
        <v>319</v>
      </c>
      <c r="F7" s="48" t="s">
        <v>316</v>
      </c>
      <c r="G7" s="46" t="s">
        <v>118</v>
      </c>
      <c r="H7" s="202" t="s">
        <v>141</v>
      </c>
      <c r="I7" s="172" t="s">
        <v>150</v>
      </c>
      <c r="J7" s="188"/>
      <c r="K7" s="55" t="s">
        <v>312</v>
      </c>
      <c r="L7" s="51" t="s">
        <v>318</v>
      </c>
      <c r="M7" s="53">
        <v>1</v>
      </c>
      <c r="N7" s="228"/>
      <c r="O7" s="245"/>
      <c r="P7" s="229"/>
      <c r="Q7" s="54" t="s">
        <v>320</v>
      </c>
      <c r="R7" s="52" t="s">
        <v>184</v>
      </c>
      <c r="S7" s="3">
        <v>2</v>
      </c>
      <c r="T7" s="3" t="s">
        <v>137</v>
      </c>
      <c r="U7" s="60">
        <v>174.33199999999999</v>
      </c>
      <c r="V7" s="52" t="s">
        <v>184</v>
      </c>
      <c r="W7" s="3">
        <v>2</v>
      </c>
      <c r="X7" s="3" t="s">
        <v>137</v>
      </c>
      <c r="Y7" s="60">
        <v>75.340999999999994</v>
      </c>
      <c r="Z7" s="244"/>
      <c r="AA7" s="234"/>
      <c r="AB7" s="234"/>
      <c r="AC7" s="249"/>
      <c r="AD7" s="53" t="s">
        <v>183</v>
      </c>
      <c r="AE7" s="54">
        <v>0.3</v>
      </c>
      <c r="AF7" s="46" t="s">
        <v>137</v>
      </c>
      <c r="AG7" s="46" t="s">
        <v>137</v>
      </c>
      <c r="AH7" s="55" t="s">
        <v>139</v>
      </c>
      <c r="AI7" s="54">
        <v>2.1720000000000002</v>
      </c>
      <c r="AJ7" s="46">
        <v>85.304000000000002</v>
      </c>
      <c r="AK7" s="173" t="s">
        <v>278</v>
      </c>
      <c r="AL7" s="62" t="s">
        <v>149</v>
      </c>
      <c r="AM7" s="54" t="s">
        <v>275</v>
      </c>
      <c r="AN7" s="46" t="s">
        <v>276</v>
      </c>
      <c r="AO7" s="46" t="s">
        <v>277</v>
      </c>
      <c r="AP7" s="55" t="s">
        <v>18</v>
      </c>
      <c r="AQ7" s="54" t="s">
        <v>141</v>
      </c>
      <c r="AR7" s="55" t="s">
        <v>141</v>
      </c>
      <c r="AS7" s="54" t="s">
        <v>280</v>
      </c>
      <c r="AT7" s="51" t="s">
        <v>283</v>
      </c>
      <c r="AU7" s="51" t="s">
        <v>285</v>
      </c>
      <c r="AV7" s="51" t="s">
        <v>287</v>
      </c>
      <c r="AW7" s="46" t="s">
        <v>258</v>
      </c>
      <c r="AX7" s="55" t="s">
        <v>146</v>
      </c>
      <c r="AY7" s="54">
        <v>17.5</v>
      </c>
      <c r="AZ7" s="55">
        <v>0</v>
      </c>
      <c r="BA7" s="188"/>
      <c r="BB7" s="189"/>
      <c r="BC7" s="51"/>
      <c r="BD7" s="3"/>
      <c r="BE7" s="3"/>
      <c r="BF7" s="3"/>
      <c r="BG7" s="3"/>
    </row>
    <row r="8" spans="1:59" s="26" customFormat="1" ht="90" x14ac:dyDescent="0.25">
      <c r="A8" s="66" t="s">
        <v>161</v>
      </c>
      <c r="B8" s="64">
        <v>43615.496398263887</v>
      </c>
      <c r="C8" s="51" t="s">
        <v>325</v>
      </c>
      <c r="D8" s="179">
        <v>43615.565212847221</v>
      </c>
      <c r="E8" s="46" t="s">
        <v>310</v>
      </c>
      <c r="F8" s="48" t="s">
        <v>316</v>
      </c>
      <c r="G8" s="46" t="s">
        <v>322</v>
      </c>
      <c r="H8" s="202" t="s">
        <v>141</v>
      </c>
      <c r="I8" s="172" t="s">
        <v>150</v>
      </c>
      <c r="J8" s="188"/>
      <c r="K8" s="55" t="s">
        <v>323</v>
      </c>
      <c r="L8" s="51" t="s">
        <v>324</v>
      </c>
      <c r="M8" s="53">
        <v>2</v>
      </c>
      <c r="N8" s="228"/>
      <c r="O8" s="245"/>
      <c r="P8" s="229"/>
      <c r="Q8" s="54" t="s">
        <v>327</v>
      </c>
      <c r="R8" s="52">
        <v>1</v>
      </c>
      <c r="S8" s="3">
        <v>2</v>
      </c>
      <c r="T8" s="3" t="s">
        <v>137</v>
      </c>
      <c r="U8" s="60">
        <v>174.33199999999999</v>
      </c>
      <c r="V8" s="52">
        <v>1</v>
      </c>
      <c r="W8" s="3">
        <v>2</v>
      </c>
      <c r="X8" s="3" t="s">
        <v>137</v>
      </c>
      <c r="Y8" s="60">
        <v>75.340999999999994</v>
      </c>
      <c r="Z8" s="244"/>
      <c r="AA8" s="234"/>
      <c r="AB8" s="234"/>
      <c r="AC8" s="249"/>
      <c r="AD8" s="53">
        <v>13.08</v>
      </c>
      <c r="AE8" s="54">
        <v>0.3</v>
      </c>
      <c r="AF8" s="46" t="s">
        <v>137</v>
      </c>
      <c r="AG8" s="46" t="s">
        <v>137</v>
      </c>
      <c r="AH8" s="55" t="s">
        <v>139</v>
      </c>
      <c r="AI8" s="54">
        <v>2.1720000000000002</v>
      </c>
      <c r="AJ8" s="46">
        <v>85.304000000000002</v>
      </c>
      <c r="AK8" s="173" t="s">
        <v>278</v>
      </c>
      <c r="AL8" s="62" t="s">
        <v>149</v>
      </c>
      <c r="AM8" s="54" t="s">
        <v>275</v>
      </c>
      <c r="AN8" s="46" t="s">
        <v>276</v>
      </c>
      <c r="AO8" s="46" t="s">
        <v>277</v>
      </c>
      <c r="AP8" s="55" t="s">
        <v>18</v>
      </c>
      <c r="AQ8" s="54" t="s">
        <v>141</v>
      </c>
      <c r="AR8" s="55" t="s">
        <v>141</v>
      </c>
      <c r="AS8" s="54" t="s">
        <v>280</v>
      </c>
      <c r="AT8" s="51" t="s">
        <v>283</v>
      </c>
      <c r="AU8" s="51" t="s">
        <v>285</v>
      </c>
      <c r="AV8" s="51" t="s">
        <v>287</v>
      </c>
      <c r="AW8" s="46" t="s">
        <v>258</v>
      </c>
      <c r="AX8" s="55" t="s">
        <v>146</v>
      </c>
      <c r="AY8" s="54">
        <v>17.5</v>
      </c>
      <c r="AZ8" s="55">
        <v>0</v>
      </c>
      <c r="BA8" s="188"/>
      <c r="BB8" s="189"/>
      <c r="BC8" s="51"/>
      <c r="BD8" s="3"/>
      <c r="BE8" s="3"/>
      <c r="BF8" s="3"/>
      <c r="BG8" s="3"/>
    </row>
    <row r="9" spans="1:59" s="26" customFormat="1" ht="75" x14ac:dyDescent="0.25">
      <c r="A9" s="66" t="s">
        <v>189</v>
      </c>
      <c r="B9" s="64">
        <v>43615.572837384258</v>
      </c>
      <c r="C9" s="51" t="s">
        <v>329</v>
      </c>
      <c r="D9" s="179">
        <v>43616.350850578703</v>
      </c>
      <c r="E9" s="46" t="s">
        <v>310</v>
      </c>
      <c r="F9" s="48" t="s">
        <v>316</v>
      </c>
      <c r="G9" s="46" t="s">
        <v>326</v>
      </c>
      <c r="H9" s="202" t="s">
        <v>141</v>
      </c>
      <c r="I9" s="172" t="s">
        <v>150</v>
      </c>
      <c r="J9" s="188"/>
      <c r="K9" s="55" t="s">
        <v>323</v>
      </c>
      <c r="L9" s="51" t="s">
        <v>328</v>
      </c>
      <c r="M9" s="53">
        <v>2</v>
      </c>
      <c r="N9" s="228"/>
      <c r="O9" s="245"/>
      <c r="P9" s="229"/>
      <c r="Q9" s="54" t="s">
        <v>330</v>
      </c>
      <c r="R9" s="52">
        <v>1</v>
      </c>
      <c r="S9" s="3">
        <v>2</v>
      </c>
      <c r="T9" s="3" t="s">
        <v>137</v>
      </c>
      <c r="U9" s="60">
        <v>174.33199999999999</v>
      </c>
      <c r="V9" s="52">
        <v>1</v>
      </c>
      <c r="W9" s="3">
        <v>2</v>
      </c>
      <c r="X9" s="3" t="s">
        <v>137</v>
      </c>
      <c r="Y9" s="60">
        <v>75.340999999999994</v>
      </c>
      <c r="Z9" s="244"/>
      <c r="AA9" s="234"/>
      <c r="AB9" s="234"/>
      <c r="AC9" s="249"/>
      <c r="AD9" s="53">
        <v>13.08</v>
      </c>
      <c r="AE9" s="54">
        <v>0.3</v>
      </c>
      <c r="AF9" s="46" t="s">
        <v>137</v>
      </c>
      <c r="AG9" s="46" t="s">
        <v>137</v>
      </c>
      <c r="AH9" s="55" t="s">
        <v>139</v>
      </c>
      <c r="AI9" s="52">
        <v>3.2570000000000001</v>
      </c>
      <c r="AJ9" s="46">
        <v>85.304000000000002</v>
      </c>
      <c r="AK9" s="173" t="s">
        <v>278</v>
      </c>
      <c r="AL9" s="62" t="s">
        <v>149</v>
      </c>
      <c r="AM9" s="54" t="s">
        <v>275</v>
      </c>
      <c r="AN9" s="46" t="s">
        <v>276</v>
      </c>
      <c r="AO9" s="46" t="s">
        <v>277</v>
      </c>
      <c r="AP9" s="55" t="s">
        <v>18</v>
      </c>
      <c r="AQ9" s="54" t="s">
        <v>141</v>
      </c>
      <c r="AR9" s="55" t="s">
        <v>141</v>
      </c>
      <c r="AS9" s="54" t="s">
        <v>280</v>
      </c>
      <c r="AT9" s="51" t="s">
        <v>283</v>
      </c>
      <c r="AU9" s="51" t="s">
        <v>285</v>
      </c>
      <c r="AV9" s="51" t="s">
        <v>287</v>
      </c>
      <c r="AW9" s="46" t="s">
        <v>258</v>
      </c>
      <c r="AX9" s="55" t="s">
        <v>146</v>
      </c>
      <c r="AY9" s="54">
        <v>17.5</v>
      </c>
      <c r="AZ9" s="55">
        <v>0</v>
      </c>
      <c r="BA9" s="188"/>
      <c r="BB9" s="189"/>
      <c r="BC9" s="51"/>
      <c r="BD9" s="3"/>
      <c r="BE9" s="3"/>
      <c r="BF9" s="3"/>
      <c r="BG9" s="3"/>
    </row>
    <row r="10" spans="1:59" s="26" customFormat="1" ht="105" x14ac:dyDescent="0.25">
      <c r="A10" s="66" t="s">
        <v>190</v>
      </c>
      <c r="B10" s="64">
        <v>43616.758865162039</v>
      </c>
      <c r="C10" s="64" t="s">
        <v>387</v>
      </c>
      <c r="D10" s="179">
        <v>43619.302174537035</v>
      </c>
      <c r="E10" s="46" t="s">
        <v>383</v>
      </c>
      <c r="F10" s="46" t="s">
        <v>365</v>
      </c>
      <c r="G10" s="46" t="s">
        <v>118</v>
      </c>
      <c r="H10" s="46" t="s">
        <v>364</v>
      </c>
      <c r="I10" s="172" t="s">
        <v>364</v>
      </c>
      <c r="J10" s="188"/>
      <c r="K10" s="55" t="s">
        <v>312</v>
      </c>
      <c r="L10" s="51" t="s">
        <v>380</v>
      </c>
      <c r="M10" s="53">
        <v>1</v>
      </c>
      <c r="N10" s="228"/>
      <c r="O10" s="245"/>
      <c r="P10" s="229"/>
      <c r="Q10" s="54" t="s">
        <v>384</v>
      </c>
      <c r="R10" s="52" t="s">
        <v>184</v>
      </c>
      <c r="S10" s="3">
        <v>2</v>
      </c>
      <c r="T10" s="3" t="s">
        <v>137</v>
      </c>
      <c r="U10" s="60">
        <v>174.33199999999999</v>
      </c>
      <c r="V10" s="52" t="s">
        <v>184</v>
      </c>
      <c r="W10" s="3">
        <v>2</v>
      </c>
      <c r="X10" s="3" t="s">
        <v>137</v>
      </c>
      <c r="Y10" s="60">
        <v>75.340999999999994</v>
      </c>
      <c r="Z10" s="244"/>
      <c r="AA10" s="234"/>
      <c r="AB10" s="234"/>
      <c r="AC10" s="249"/>
      <c r="AD10" s="53" t="s">
        <v>183</v>
      </c>
      <c r="AE10" s="54">
        <v>0.3</v>
      </c>
      <c r="AF10" s="46" t="s">
        <v>137</v>
      </c>
      <c r="AG10" s="46" t="s">
        <v>137</v>
      </c>
      <c r="AH10" s="55" t="s">
        <v>139</v>
      </c>
      <c r="AI10" s="54">
        <v>2.1720000000000002</v>
      </c>
      <c r="AJ10" s="46">
        <v>85.304000000000002</v>
      </c>
      <c r="AK10" s="173" t="s">
        <v>278</v>
      </c>
      <c r="AL10" s="62" t="s">
        <v>149</v>
      </c>
      <c r="AM10" s="54" t="s">
        <v>275</v>
      </c>
      <c r="AN10" s="46" t="s">
        <v>276</v>
      </c>
      <c r="AO10" s="46" t="s">
        <v>378</v>
      </c>
      <c r="AP10" s="55" t="s">
        <v>401</v>
      </c>
      <c r="AQ10" s="52" t="s">
        <v>162</v>
      </c>
      <c r="AR10" s="55" t="s">
        <v>379</v>
      </c>
      <c r="AS10" s="54" t="s">
        <v>280</v>
      </c>
      <c r="AT10" s="51" t="s">
        <v>283</v>
      </c>
      <c r="AU10" s="51" t="s">
        <v>285</v>
      </c>
      <c r="AV10" s="51" t="s">
        <v>287</v>
      </c>
      <c r="AW10" s="46" t="s">
        <v>258</v>
      </c>
      <c r="AX10" s="55" t="s">
        <v>146</v>
      </c>
      <c r="AY10" s="54">
        <v>17.5</v>
      </c>
      <c r="AZ10" s="55">
        <v>0</v>
      </c>
      <c r="BA10" s="188"/>
      <c r="BB10" s="189"/>
      <c r="BC10" s="51"/>
      <c r="BD10" s="3"/>
      <c r="BE10" s="3"/>
      <c r="BF10" s="3"/>
      <c r="BG10" s="3"/>
    </row>
    <row r="11" spans="1:59" s="26" customFormat="1" ht="45" x14ac:dyDescent="0.25">
      <c r="A11" s="66" t="s">
        <v>195</v>
      </c>
      <c r="B11" s="64">
        <v>43619.314997685186</v>
      </c>
      <c r="C11" s="51" t="s">
        <v>389</v>
      </c>
      <c r="D11" s="179">
        <v>43619.409670486108</v>
      </c>
      <c r="E11" s="46" t="s">
        <v>392</v>
      </c>
      <c r="F11" s="46" t="s">
        <v>393</v>
      </c>
      <c r="G11" s="46" t="s">
        <v>240</v>
      </c>
      <c r="H11" s="46" t="s">
        <v>385</v>
      </c>
      <c r="I11" s="172" t="s">
        <v>386</v>
      </c>
      <c r="J11" s="188"/>
      <c r="K11" s="55" t="s">
        <v>323</v>
      </c>
      <c r="L11" s="51" t="s">
        <v>388</v>
      </c>
      <c r="M11" s="53">
        <v>2</v>
      </c>
      <c r="N11" s="228"/>
      <c r="O11" s="245"/>
      <c r="P11" s="229"/>
      <c r="Q11" s="54" t="s">
        <v>391</v>
      </c>
      <c r="R11" s="52">
        <v>1</v>
      </c>
      <c r="S11" s="3">
        <v>2</v>
      </c>
      <c r="T11" s="3" t="s">
        <v>137</v>
      </c>
      <c r="U11" s="60">
        <v>174.33199999999999</v>
      </c>
      <c r="V11" s="52">
        <v>1</v>
      </c>
      <c r="W11" s="3">
        <v>2</v>
      </c>
      <c r="X11" s="3" t="s">
        <v>137</v>
      </c>
      <c r="Y11" s="60">
        <v>75.340999999999994</v>
      </c>
      <c r="Z11" s="244"/>
      <c r="AA11" s="234"/>
      <c r="AB11" s="234"/>
      <c r="AC11" s="249"/>
      <c r="AD11" s="53">
        <v>13.08</v>
      </c>
      <c r="AE11" s="54">
        <v>0.3</v>
      </c>
      <c r="AF11" s="46" t="s">
        <v>137</v>
      </c>
      <c r="AG11" s="222" t="s">
        <v>390</v>
      </c>
      <c r="AH11" s="55" t="s">
        <v>139</v>
      </c>
      <c r="AI11" s="54">
        <v>2.1720000000000002</v>
      </c>
      <c r="AJ11" s="46">
        <v>85.304000000000002</v>
      </c>
      <c r="AK11" s="173" t="s">
        <v>278</v>
      </c>
      <c r="AL11" s="62" t="s">
        <v>149</v>
      </c>
      <c r="AM11" s="54" t="s">
        <v>275</v>
      </c>
      <c r="AN11" s="46" t="s">
        <v>276</v>
      </c>
      <c r="AO11" s="46" t="s">
        <v>378</v>
      </c>
      <c r="AP11" s="55" t="s">
        <v>401</v>
      </c>
      <c r="AQ11" s="52" t="s">
        <v>162</v>
      </c>
      <c r="AR11" s="55" t="s">
        <v>379</v>
      </c>
      <c r="AS11" s="54" t="s">
        <v>280</v>
      </c>
      <c r="AT11" s="51" t="s">
        <v>283</v>
      </c>
      <c r="AU11" s="51" t="s">
        <v>285</v>
      </c>
      <c r="AV11" s="51" t="s">
        <v>287</v>
      </c>
      <c r="AW11" s="46" t="s">
        <v>258</v>
      </c>
      <c r="AX11" s="55" t="s">
        <v>146</v>
      </c>
      <c r="AY11" s="54">
        <v>17.5</v>
      </c>
      <c r="AZ11" s="55">
        <v>0</v>
      </c>
      <c r="BA11" s="188"/>
      <c r="BB11" s="189"/>
      <c r="BC11" s="51"/>
      <c r="BD11" s="3"/>
      <c r="BE11" s="3"/>
      <c r="BF11" s="3"/>
      <c r="BG11" s="3"/>
    </row>
    <row r="12" spans="1:59" s="26" customFormat="1" ht="45" x14ac:dyDescent="0.25">
      <c r="A12" s="66" t="s">
        <v>239</v>
      </c>
      <c r="B12" s="64">
        <v>43619.477774999999</v>
      </c>
      <c r="C12" s="64" t="s">
        <v>396</v>
      </c>
      <c r="D12" s="179">
        <v>43620.422931018518</v>
      </c>
      <c r="E12" s="46" t="s">
        <v>392</v>
      </c>
      <c r="F12" s="46" t="s">
        <v>393</v>
      </c>
      <c r="G12" s="46" t="s">
        <v>118</v>
      </c>
      <c r="H12" s="202" t="s">
        <v>141</v>
      </c>
      <c r="I12" s="172" t="s">
        <v>394</v>
      </c>
      <c r="J12" s="188"/>
      <c r="K12" s="55" t="s">
        <v>323</v>
      </c>
      <c r="L12" s="51" t="s">
        <v>395</v>
      </c>
      <c r="M12" s="53">
        <v>2</v>
      </c>
      <c r="N12" s="228"/>
      <c r="O12" s="245"/>
      <c r="P12" s="229"/>
      <c r="Q12" s="54" t="s">
        <v>397</v>
      </c>
      <c r="R12" s="52">
        <v>1</v>
      </c>
      <c r="S12" s="3">
        <v>2</v>
      </c>
      <c r="T12" s="3" t="s">
        <v>137</v>
      </c>
      <c r="U12" s="60">
        <v>174.33199999999999</v>
      </c>
      <c r="V12" s="52">
        <v>1</v>
      </c>
      <c r="W12" s="3">
        <v>2</v>
      </c>
      <c r="X12" s="3" t="s">
        <v>137</v>
      </c>
      <c r="Y12" s="60">
        <v>75.340999999999994</v>
      </c>
      <c r="Z12" s="244"/>
      <c r="AA12" s="234"/>
      <c r="AB12" s="234"/>
      <c r="AC12" s="249"/>
      <c r="AD12" s="53">
        <v>13.08</v>
      </c>
      <c r="AE12" s="54">
        <v>0.3</v>
      </c>
      <c r="AF12" s="46" t="s">
        <v>137</v>
      </c>
      <c r="AG12" s="46" t="s">
        <v>137</v>
      </c>
      <c r="AH12" s="55" t="s">
        <v>139</v>
      </c>
      <c r="AI12" s="54">
        <v>2.1720000000000002</v>
      </c>
      <c r="AJ12" s="46">
        <v>85.304000000000002</v>
      </c>
      <c r="AK12" s="173" t="s">
        <v>278</v>
      </c>
      <c r="AL12" s="62" t="s">
        <v>149</v>
      </c>
      <c r="AM12" s="54" t="s">
        <v>275</v>
      </c>
      <c r="AN12" s="46" t="s">
        <v>276</v>
      </c>
      <c r="AO12" s="46" t="s">
        <v>378</v>
      </c>
      <c r="AP12" s="55" t="s">
        <v>401</v>
      </c>
      <c r="AQ12" s="52" t="s">
        <v>162</v>
      </c>
      <c r="AR12" s="55" t="s">
        <v>379</v>
      </c>
      <c r="AS12" s="54" t="s">
        <v>280</v>
      </c>
      <c r="AT12" s="51" t="s">
        <v>283</v>
      </c>
      <c r="AU12" s="51" t="s">
        <v>285</v>
      </c>
      <c r="AV12" s="51" t="s">
        <v>287</v>
      </c>
      <c r="AW12" s="46" t="s">
        <v>258</v>
      </c>
      <c r="AX12" s="55" t="s">
        <v>146</v>
      </c>
      <c r="AY12" s="54">
        <v>17.5</v>
      </c>
      <c r="AZ12" s="55">
        <v>0</v>
      </c>
      <c r="BA12" s="188"/>
      <c r="BB12" s="189"/>
      <c r="BC12" s="51"/>
      <c r="BD12" s="3"/>
      <c r="BE12" s="3"/>
      <c r="BF12" s="3"/>
      <c r="BG12" s="3"/>
    </row>
    <row r="13" spans="1:59" s="26" customFormat="1" ht="45" x14ac:dyDescent="0.25">
      <c r="A13" s="66" t="s">
        <v>289</v>
      </c>
      <c r="B13" s="64">
        <v>43620.497295023146</v>
      </c>
      <c r="C13" s="64" t="s">
        <v>398</v>
      </c>
      <c r="D13" s="179">
        <v>43621.374095370367</v>
      </c>
      <c r="E13" s="46" t="s">
        <v>310</v>
      </c>
      <c r="F13" s="46" t="s">
        <v>393</v>
      </c>
      <c r="G13" s="46" t="s">
        <v>118</v>
      </c>
      <c r="H13" s="202" t="s">
        <v>141</v>
      </c>
      <c r="I13" s="172" t="s">
        <v>139</v>
      </c>
      <c r="J13" s="188"/>
      <c r="K13" s="55" t="s">
        <v>323</v>
      </c>
      <c r="L13" s="51" t="s">
        <v>399</v>
      </c>
      <c r="M13" s="53">
        <v>2</v>
      </c>
      <c r="N13" s="228"/>
      <c r="O13" s="245"/>
      <c r="P13" s="229"/>
      <c r="Q13" s="54" t="s">
        <v>400</v>
      </c>
      <c r="R13" s="52">
        <v>1</v>
      </c>
      <c r="S13" s="3">
        <v>2</v>
      </c>
      <c r="T13" s="3" t="s">
        <v>137</v>
      </c>
      <c r="U13" s="60">
        <v>174.33199999999999</v>
      </c>
      <c r="V13" s="52">
        <v>1</v>
      </c>
      <c r="W13" s="3">
        <v>2</v>
      </c>
      <c r="X13" s="3" t="s">
        <v>137</v>
      </c>
      <c r="Y13" s="60">
        <v>75.340999999999994</v>
      </c>
      <c r="Z13" s="244"/>
      <c r="AA13" s="234"/>
      <c r="AB13" s="234"/>
      <c r="AC13" s="249"/>
      <c r="AD13" s="53">
        <v>13.08</v>
      </c>
      <c r="AE13" s="54">
        <v>0.3</v>
      </c>
      <c r="AF13" s="46" t="s">
        <v>137</v>
      </c>
      <c r="AG13" s="46" t="s">
        <v>137</v>
      </c>
      <c r="AH13" s="55" t="s">
        <v>139</v>
      </c>
      <c r="AI13" s="52">
        <v>3.2570000000000001</v>
      </c>
      <c r="AJ13" s="3">
        <v>85.304000000000002</v>
      </c>
      <c r="AK13" s="173" t="s">
        <v>278</v>
      </c>
      <c r="AL13" s="62" t="s">
        <v>149</v>
      </c>
      <c r="AM13" s="54" t="s">
        <v>275</v>
      </c>
      <c r="AN13" s="46" t="s">
        <v>276</v>
      </c>
      <c r="AO13" s="46" t="s">
        <v>378</v>
      </c>
      <c r="AP13" s="55" t="s">
        <v>401</v>
      </c>
      <c r="AQ13" s="52" t="s">
        <v>162</v>
      </c>
      <c r="AR13" s="55" t="s">
        <v>379</v>
      </c>
      <c r="AS13" s="54" t="s">
        <v>280</v>
      </c>
      <c r="AT13" s="51" t="s">
        <v>283</v>
      </c>
      <c r="AU13" s="51" t="s">
        <v>285</v>
      </c>
      <c r="AV13" s="51" t="s">
        <v>287</v>
      </c>
      <c r="AW13" s="46" t="s">
        <v>258</v>
      </c>
      <c r="AX13" s="55" t="s">
        <v>146</v>
      </c>
      <c r="AY13" s="54">
        <v>17.5</v>
      </c>
      <c r="AZ13" s="55">
        <v>0</v>
      </c>
      <c r="BA13" s="188"/>
      <c r="BB13" s="189"/>
      <c r="BC13" s="51"/>
      <c r="BD13" s="3"/>
      <c r="BE13" s="3"/>
      <c r="BF13" s="3"/>
      <c r="BG13" s="3"/>
    </row>
    <row r="14" spans="1:59" s="26" customFormat="1" ht="90" x14ac:dyDescent="0.25">
      <c r="A14" s="66" t="s">
        <v>285</v>
      </c>
      <c r="B14" s="64">
        <v>43621.382872222224</v>
      </c>
      <c r="C14" s="51" t="s">
        <v>403</v>
      </c>
      <c r="D14" s="179">
        <v>43621.389056365741</v>
      </c>
      <c r="E14" s="46" t="s">
        <v>310</v>
      </c>
      <c r="F14" s="46" t="s">
        <v>393</v>
      </c>
      <c r="G14" s="46" t="s">
        <v>118</v>
      </c>
      <c r="H14" s="202" t="s">
        <v>141</v>
      </c>
      <c r="I14" s="172" t="s">
        <v>139</v>
      </c>
      <c r="J14" s="188"/>
      <c r="K14" s="55" t="s">
        <v>314</v>
      </c>
      <c r="L14" s="51" t="s">
        <v>402</v>
      </c>
      <c r="M14" s="53">
        <v>2</v>
      </c>
      <c r="N14" s="228"/>
      <c r="O14" s="51" t="s">
        <v>416</v>
      </c>
      <c r="P14" s="231" t="s">
        <v>415</v>
      </c>
      <c r="Q14" s="227" t="s">
        <v>418</v>
      </c>
      <c r="R14" s="52">
        <v>599.9</v>
      </c>
      <c r="S14" s="3">
        <v>2</v>
      </c>
      <c r="T14" s="3" t="s">
        <v>137</v>
      </c>
      <c r="U14" s="60">
        <v>174.33199999999999</v>
      </c>
      <c r="V14" s="52">
        <v>599.9</v>
      </c>
      <c r="W14" s="3">
        <v>2</v>
      </c>
      <c r="X14" s="3" t="s">
        <v>137</v>
      </c>
      <c r="Y14" s="60">
        <v>75.340999999999994</v>
      </c>
      <c r="Z14" s="244"/>
      <c r="AA14" s="234"/>
      <c r="AB14" s="234"/>
      <c r="AC14" s="249"/>
      <c r="AD14" s="53" t="s">
        <v>152</v>
      </c>
      <c r="AE14" s="54">
        <v>0.3</v>
      </c>
      <c r="AF14" s="46" t="s">
        <v>137</v>
      </c>
      <c r="AG14" s="46" t="s">
        <v>137</v>
      </c>
      <c r="AH14" s="55" t="s">
        <v>139</v>
      </c>
      <c r="AI14" s="52">
        <v>3.2570000000000001</v>
      </c>
      <c r="AJ14" s="3">
        <v>85.304000000000002</v>
      </c>
      <c r="AK14" s="173" t="s">
        <v>278</v>
      </c>
      <c r="AL14" s="62" t="s">
        <v>149</v>
      </c>
      <c r="AM14" s="54" t="s">
        <v>275</v>
      </c>
      <c r="AN14" s="46" t="s">
        <v>276</v>
      </c>
      <c r="AO14" s="46" t="s">
        <v>378</v>
      </c>
      <c r="AP14" s="55" t="s">
        <v>401</v>
      </c>
      <c r="AQ14" s="52" t="s">
        <v>162</v>
      </c>
      <c r="AR14" s="55" t="s">
        <v>379</v>
      </c>
      <c r="AS14" s="54" t="s">
        <v>280</v>
      </c>
      <c r="AT14" s="51" t="s">
        <v>283</v>
      </c>
      <c r="AU14" s="51" t="s">
        <v>285</v>
      </c>
      <c r="AV14" s="51" t="s">
        <v>287</v>
      </c>
      <c r="AW14" s="46" t="s">
        <v>258</v>
      </c>
      <c r="AX14" s="55" t="s">
        <v>146</v>
      </c>
      <c r="AY14" s="225">
        <v>0</v>
      </c>
      <c r="AZ14" s="53">
        <v>0</v>
      </c>
      <c r="BA14" s="188"/>
      <c r="BB14" s="189"/>
      <c r="BC14" s="51"/>
      <c r="BD14" s="3"/>
      <c r="BE14" s="3"/>
      <c r="BF14" s="3"/>
      <c r="BG14" s="3"/>
    </row>
    <row r="15" spans="1:59" s="163" customFormat="1" ht="45" x14ac:dyDescent="0.25">
      <c r="A15" s="66" t="s">
        <v>366</v>
      </c>
      <c r="B15" s="64">
        <v>43621.392650462964</v>
      </c>
      <c r="C15" s="51" t="s">
        <v>404</v>
      </c>
      <c r="D15" s="179">
        <v>43621.400173611109</v>
      </c>
      <c r="E15" s="46" t="s">
        <v>310</v>
      </c>
      <c r="F15" s="46" t="s">
        <v>393</v>
      </c>
      <c r="G15" s="46" t="s">
        <v>118</v>
      </c>
      <c r="H15" s="202" t="s">
        <v>141</v>
      </c>
      <c r="I15" s="172" t="s">
        <v>139</v>
      </c>
      <c r="J15" s="188"/>
      <c r="K15" s="55" t="s">
        <v>314</v>
      </c>
      <c r="L15" s="51" t="s">
        <v>406</v>
      </c>
      <c r="M15" s="53">
        <v>2</v>
      </c>
      <c r="N15" s="228"/>
      <c r="O15" s="51" t="s">
        <v>416</v>
      </c>
      <c r="P15" s="174" t="s">
        <v>414</v>
      </c>
      <c r="Q15" s="54" t="s">
        <v>409</v>
      </c>
      <c r="R15" s="52">
        <v>599.9</v>
      </c>
      <c r="S15" s="3">
        <v>2</v>
      </c>
      <c r="T15" s="3" t="s">
        <v>137</v>
      </c>
      <c r="U15" s="60">
        <v>174.33199999999999</v>
      </c>
      <c r="V15" s="52">
        <v>599.9</v>
      </c>
      <c r="W15" s="3">
        <v>2</v>
      </c>
      <c r="X15" s="3" t="s">
        <v>137</v>
      </c>
      <c r="Y15" s="60">
        <v>75.340999999999994</v>
      </c>
      <c r="Z15" s="244"/>
      <c r="AA15" s="234"/>
      <c r="AB15" s="234"/>
      <c r="AC15" s="249"/>
      <c r="AD15" s="53" t="s">
        <v>152</v>
      </c>
      <c r="AE15" s="54">
        <v>0.3</v>
      </c>
      <c r="AF15" s="46" t="s">
        <v>137</v>
      </c>
      <c r="AG15" s="46" t="s">
        <v>137</v>
      </c>
      <c r="AH15" s="55" t="s">
        <v>139</v>
      </c>
      <c r="AI15" s="227">
        <v>2.1720000000000002</v>
      </c>
      <c r="AJ15" s="3">
        <v>85.304000000000002</v>
      </c>
      <c r="AK15" s="173" t="s">
        <v>278</v>
      </c>
      <c r="AL15" s="62" t="s">
        <v>149</v>
      </c>
      <c r="AM15" s="54" t="s">
        <v>275</v>
      </c>
      <c r="AN15" s="46" t="s">
        <v>276</v>
      </c>
      <c r="AO15" s="46" t="s">
        <v>378</v>
      </c>
      <c r="AP15" s="55" t="s">
        <v>401</v>
      </c>
      <c r="AQ15" s="52" t="s">
        <v>162</v>
      </c>
      <c r="AR15" s="55" t="s">
        <v>379</v>
      </c>
      <c r="AS15" s="54" t="s">
        <v>280</v>
      </c>
      <c r="AT15" s="51" t="s">
        <v>283</v>
      </c>
      <c r="AU15" s="51" t="s">
        <v>285</v>
      </c>
      <c r="AV15" s="51" t="s">
        <v>287</v>
      </c>
      <c r="AW15" s="46" t="s">
        <v>258</v>
      </c>
      <c r="AX15" s="55" t="s">
        <v>146</v>
      </c>
      <c r="AY15" s="225">
        <v>0</v>
      </c>
      <c r="AZ15" s="53">
        <v>0</v>
      </c>
      <c r="BA15" s="188"/>
      <c r="BB15" s="189"/>
      <c r="BC15" s="51"/>
      <c r="BD15" s="3"/>
      <c r="BE15" s="3"/>
      <c r="BF15" s="3"/>
      <c r="BG15" s="3"/>
    </row>
    <row r="16" spans="1:59" s="163" customFormat="1" ht="45" x14ac:dyDescent="0.25">
      <c r="A16" s="66" t="s">
        <v>367</v>
      </c>
      <c r="B16" s="64">
        <v>43621.417986111112</v>
      </c>
      <c r="C16" s="51" t="s">
        <v>405</v>
      </c>
      <c r="D16" s="179">
        <v>43622.459081944442</v>
      </c>
      <c r="E16" s="46" t="s">
        <v>392</v>
      </c>
      <c r="F16" s="46" t="s">
        <v>393</v>
      </c>
      <c r="G16" s="46" t="s">
        <v>118</v>
      </c>
      <c r="H16" s="202" t="s">
        <v>141</v>
      </c>
      <c r="I16" s="172" t="s">
        <v>139</v>
      </c>
      <c r="J16" s="188"/>
      <c r="K16" s="259" t="s">
        <v>419</v>
      </c>
      <c r="L16" s="51" t="s">
        <v>420</v>
      </c>
      <c r="M16" s="53">
        <v>2</v>
      </c>
      <c r="N16" s="50" t="s">
        <v>241</v>
      </c>
      <c r="O16" s="51" t="s">
        <v>416</v>
      </c>
      <c r="P16" s="174" t="s">
        <v>421</v>
      </c>
      <c r="Q16" s="54" t="s">
        <v>422</v>
      </c>
      <c r="R16" s="52">
        <v>1</v>
      </c>
      <c r="S16" s="3">
        <v>2</v>
      </c>
      <c r="T16" s="3" t="s">
        <v>137</v>
      </c>
      <c r="U16" s="60">
        <v>174.33199999999999</v>
      </c>
      <c r="V16" s="52">
        <v>1</v>
      </c>
      <c r="W16" s="3">
        <v>2</v>
      </c>
      <c r="X16" s="3" t="s">
        <v>137</v>
      </c>
      <c r="Y16" s="60">
        <v>75.340999999999994</v>
      </c>
      <c r="Z16" s="244"/>
      <c r="AA16" s="234"/>
      <c r="AB16" s="234"/>
      <c r="AC16" s="249"/>
      <c r="AD16" s="53">
        <v>13.08</v>
      </c>
      <c r="AE16" s="54">
        <v>0.3</v>
      </c>
      <c r="AF16" s="46" t="s">
        <v>137</v>
      </c>
      <c r="AG16" s="46" t="s">
        <v>137</v>
      </c>
      <c r="AH16" s="55" t="s">
        <v>139</v>
      </c>
      <c r="AI16" s="227">
        <v>2.1720000000000002</v>
      </c>
      <c r="AJ16" s="3">
        <v>85.304000000000002</v>
      </c>
      <c r="AK16" s="173" t="s">
        <v>278</v>
      </c>
      <c r="AL16" s="62" t="s">
        <v>149</v>
      </c>
      <c r="AM16" s="54" t="s">
        <v>275</v>
      </c>
      <c r="AN16" s="46" t="s">
        <v>276</v>
      </c>
      <c r="AO16" s="46" t="s">
        <v>378</v>
      </c>
      <c r="AP16" s="55" t="s">
        <v>401</v>
      </c>
      <c r="AQ16" s="52" t="s">
        <v>162</v>
      </c>
      <c r="AR16" s="55" t="s">
        <v>379</v>
      </c>
      <c r="AS16" s="54" t="s">
        <v>280</v>
      </c>
      <c r="AT16" s="51" t="s">
        <v>283</v>
      </c>
      <c r="AU16" s="51" t="s">
        <v>285</v>
      </c>
      <c r="AV16" s="51" t="s">
        <v>287</v>
      </c>
      <c r="AW16" s="46" t="s">
        <v>258</v>
      </c>
      <c r="AX16" s="55" t="s">
        <v>146</v>
      </c>
      <c r="AY16" s="225">
        <v>0</v>
      </c>
      <c r="AZ16" s="53">
        <v>0</v>
      </c>
      <c r="BA16" s="188"/>
      <c r="BB16" s="189"/>
      <c r="BC16" s="51"/>
      <c r="BD16" s="3"/>
      <c r="BE16" s="3"/>
      <c r="BF16" s="3"/>
      <c r="BG16" s="3"/>
    </row>
    <row r="17" spans="1:59" s="163" customFormat="1" ht="45" x14ac:dyDescent="0.25">
      <c r="A17" s="66" t="s">
        <v>368</v>
      </c>
      <c r="B17" s="64">
        <v>43622.690430787035</v>
      </c>
      <c r="C17" s="51" t="s">
        <v>429</v>
      </c>
      <c r="D17" s="179">
        <v>43623.391019212962</v>
      </c>
      <c r="E17" s="46" t="s">
        <v>392</v>
      </c>
      <c r="F17" s="46" t="s">
        <v>428</v>
      </c>
      <c r="G17" s="46" t="s">
        <v>118</v>
      </c>
      <c r="H17" s="202" t="s">
        <v>141</v>
      </c>
      <c r="I17" s="172" t="s">
        <v>139</v>
      </c>
      <c r="J17" s="188"/>
      <c r="K17" s="55" t="s">
        <v>427</v>
      </c>
      <c r="L17" s="242" t="s">
        <v>141</v>
      </c>
      <c r="M17" s="241" t="s">
        <v>141</v>
      </c>
      <c r="N17" s="50" t="s">
        <v>241</v>
      </c>
      <c r="O17" s="51" t="s">
        <v>430</v>
      </c>
      <c r="P17" s="174" t="s">
        <v>431</v>
      </c>
      <c r="Q17" s="54" t="s">
        <v>432</v>
      </c>
      <c r="R17" s="52">
        <v>1</v>
      </c>
      <c r="S17" s="3">
        <v>2</v>
      </c>
      <c r="T17" s="3" t="s">
        <v>137</v>
      </c>
      <c r="U17" s="60">
        <v>174.33199999999999</v>
      </c>
      <c r="V17" s="52">
        <v>1</v>
      </c>
      <c r="W17" s="3">
        <v>2</v>
      </c>
      <c r="X17" s="3" t="s">
        <v>137</v>
      </c>
      <c r="Y17" s="60">
        <v>75.340999999999994</v>
      </c>
      <c r="Z17" s="244"/>
      <c r="AA17" s="234"/>
      <c r="AB17" s="234"/>
      <c r="AC17" s="249"/>
      <c r="AD17" s="53">
        <v>13.08</v>
      </c>
      <c r="AE17" s="54">
        <v>0.3</v>
      </c>
      <c r="AF17" s="46" t="s">
        <v>137</v>
      </c>
      <c r="AG17" s="46" t="s">
        <v>137</v>
      </c>
      <c r="AH17" s="55" t="s">
        <v>139</v>
      </c>
      <c r="AI17" s="54">
        <v>2.1720000000000002</v>
      </c>
      <c r="AJ17" s="46">
        <v>85.304000000000002</v>
      </c>
      <c r="AK17" s="173" t="s">
        <v>278</v>
      </c>
      <c r="AL17" s="62" t="s">
        <v>149</v>
      </c>
      <c r="AM17" s="240" t="s">
        <v>141</v>
      </c>
      <c r="AN17" s="253" t="s">
        <v>141</v>
      </c>
      <c r="AO17" s="253" t="s">
        <v>141</v>
      </c>
      <c r="AP17" s="243" t="s">
        <v>141</v>
      </c>
      <c r="AQ17" s="244" t="s">
        <v>141</v>
      </c>
      <c r="AR17" s="243" t="s">
        <v>141</v>
      </c>
      <c r="AS17" s="54" t="s">
        <v>280</v>
      </c>
      <c r="AT17" s="51" t="s">
        <v>283</v>
      </c>
      <c r="AU17" s="51" t="s">
        <v>285</v>
      </c>
      <c r="AV17" s="51" t="s">
        <v>287</v>
      </c>
      <c r="AW17" s="46" t="s">
        <v>258</v>
      </c>
      <c r="AX17" s="55" t="s">
        <v>146</v>
      </c>
      <c r="AY17" s="54">
        <v>17.5</v>
      </c>
      <c r="AZ17" s="55">
        <v>0</v>
      </c>
      <c r="BA17" s="188"/>
      <c r="BB17" s="189"/>
      <c r="BC17" s="51"/>
      <c r="BD17" s="3"/>
      <c r="BE17" s="3"/>
      <c r="BF17" s="3"/>
      <c r="BG17" s="3"/>
    </row>
    <row r="18" spans="1:59" s="163" customFormat="1" ht="75" x14ac:dyDescent="0.25">
      <c r="A18" s="66" t="s">
        <v>369</v>
      </c>
      <c r="B18" s="64">
        <v>43623.689133680557</v>
      </c>
      <c r="C18" s="51" t="s">
        <v>437</v>
      </c>
      <c r="D18" s="179">
        <v>43626.423261226853</v>
      </c>
      <c r="E18" s="46" t="s">
        <v>392</v>
      </c>
      <c r="F18" s="46" t="s">
        <v>439</v>
      </c>
      <c r="G18" s="46" t="s">
        <v>118</v>
      </c>
      <c r="H18" s="202" t="s">
        <v>141</v>
      </c>
      <c r="I18" s="250" t="s">
        <v>141</v>
      </c>
      <c r="J18" s="188"/>
      <c r="K18" s="55" t="s">
        <v>438</v>
      </c>
      <c r="L18" s="242" t="s">
        <v>141</v>
      </c>
      <c r="M18" s="241" t="s">
        <v>141</v>
      </c>
      <c r="N18" s="50" t="s">
        <v>241</v>
      </c>
      <c r="O18" s="51" t="s">
        <v>440</v>
      </c>
      <c r="P18" s="174" t="s">
        <v>431</v>
      </c>
      <c r="Q18" s="54" t="s">
        <v>441</v>
      </c>
      <c r="R18" s="52">
        <v>1</v>
      </c>
      <c r="S18" s="3">
        <v>2</v>
      </c>
      <c r="T18" s="3" t="s">
        <v>137</v>
      </c>
      <c r="U18" s="53">
        <v>174.33199999999999</v>
      </c>
      <c r="V18" s="52">
        <v>1</v>
      </c>
      <c r="W18" s="3">
        <v>2</v>
      </c>
      <c r="X18" s="3" t="s">
        <v>137</v>
      </c>
      <c r="Y18" s="60">
        <v>75.340999999999994</v>
      </c>
      <c r="Z18" s="209">
        <v>29.43</v>
      </c>
      <c r="AA18" s="210">
        <v>4</v>
      </c>
      <c r="AB18" s="210" t="s">
        <v>139</v>
      </c>
      <c r="AC18" s="211" t="s">
        <v>436</v>
      </c>
      <c r="AD18" s="53">
        <v>13.08</v>
      </c>
      <c r="AE18" s="54">
        <v>0.3</v>
      </c>
      <c r="AF18" s="46" t="s">
        <v>137</v>
      </c>
      <c r="AG18" s="46" t="s">
        <v>137</v>
      </c>
      <c r="AH18" s="55" t="s">
        <v>139</v>
      </c>
      <c r="AI18" s="54">
        <v>2.1720000000000002</v>
      </c>
      <c r="AJ18" s="46">
        <v>85.304000000000002</v>
      </c>
      <c r="AK18" s="173" t="s">
        <v>278</v>
      </c>
      <c r="AL18" s="62" t="s">
        <v>149</v>
      </c>
      <c r="AM18" s="240" t="s">
        <v>141</v>
      </c>
      <c r="AN18" s="253" t="s">
        <v>141</v>
      </c>
      <c r="AO18" s="253" t="s">
        <v>141</v>
      </c>
      <c r="AP18" s="243" t="s">
        <v>141</v>
      </c>
      <c r="AQ18" s="244" t="s">
        <v>141</v>
      </c>
      <c r="AR18" s="243" t="s">
        <v>141</v>
      </c>
      <c r="AS18" s="54" t="s">
        <v>280</v>
      </c>
      <c r="AT18" s="51" t="s">
        <v>283</v>
      </c>
      <c r="AU18" s="51" t="s">
        <v>285</v>
      </c>
      <c r="AV18" s="51" t="s">
        <v>287</v>
      </c>
      <c r="AW18" s="46" t="s">
        <v>258</v>
      </c>
      <c r="AX18" s="55" t="s">
        <v>146</v>
      </c>
      <c r="AY18" s="54">
        <v>17.5</v>
      </c>
      <c r="AZ18" s="55">
        <v>0</v>
      </c>
      <c r="BA18" s="188"/>
      <c r="BB18" s="189"/>
      <c r="BC18" s="51"/>
      <c r="BD18" s="3"/>
      <c r="BE18" s="3"/>
      <c r="BF18" s="3"/>
      <c r="BG18" s="3"/>
    </row>
    <row r="19" spans="1:59" s="163" customFormat="1" ht="90" x14ac:dyDescent="0.25">
      <c r="A19" s="66" t="s">
        <v>370</v>
      </c>
      <c r="B19" s="64">
        <v>43626.773090393515</v>
      </c>
      <c r="C19" s="51" t="s">
        <v>443</v>
      </c>
      <c r="D19" s="179">
        <v>43628.407469791666</v>
      </c>
      <c r="E19" s="46" t="s">
        <v>310</v>
      </c>
      <c r="F19" s="46" t="s">
        <v>439</v>
      </c>
      <c r="G19" s="46" t="s">
        <v>118</v>
      </c>
      <c r="H19" s="202" t="s">
        <v>141</v>
      </c>
      <c r="I19" s="250" t="s">
        <v>141</v>
      </c>
      <c r="J19" s="188"/>
      <c r="K19" s="55" t="s">
        <v>442</v>
      </c>
      <c r="L19" s="242" t="s">
        <v>141</v>
      </c>
      <c r="M19" s="241" t="s">
        <v>141</v>
      </c>
      <c r="N19" s="50" t="s">
        <v>241</v>
      </c>
      <c r="O19" s="51" t="s">
        <v>440</v>
      </c>
      <c r="P19" s="174" t="s">
        <v>444</v>
      </c>
      <c r="Q19" s="54" t="s">
        <v>445</v>
      </c>
      <c r="R19" s="52">
        <v>1</v>
      </c>
      <c r="S19" s="3">
        <v>2</v>
      </c>
      <c r="T19" s="3" t="s">
        <v>137</v>
      </c>
      <c r="U19" s="53">
        <v>174.33199999999999</v>
      </c>
      <c r="V19" s="52">
        <v>1</v>
      </c>
      <c r="W19" s="3">
        <v>2</v>
      </c>
      <c r="X19" s="3" t="s">
        <v>137</v>
      </c>
      <c r="Y19" s="60">
        <v>75.340999999999994</v>
      </c>
      <c r="Z19" s="209">
        <v>29.43</v>
      </c>
      <c r="AA19" s="210">
        <v>4</v>
      </c>
      <c r="AB19" s="210" t="s">
        <v>139</v>
      </c>
      <c r="AC19" s="211" t="s">
        <v>436</v>
      </c>
      <c r="AD19" s="53">
        <v>13.08</v>
      </c>
      <c r="AE19" s="54">
        <v>0.3</v>
      </c>
      <c r="AF19" s="46" t="s">
        <v>137</v>
      </c>
      <c r="AG19" s="46" t="s">
        <v>137</v>
      </c>
      <c r="AH19" s="55" t="s">
        <v>139</v>
      </c>
      <c r="AI19" s="54">
        <v>2.1720000000000002</v>
      </c>
      <c r="AJ19" s="46">
        <v>85.304000000000002</v>
      </c>
      <c r="AK19" s="173" t="s">
        <v>278</v>
      </c>
      <c r="AL19" s="62" t="s">
        <v>149</v>
      </c>
      <c r="AM19" s="240" t="s">
        <v>141</v>
      </c>
      <c r="AN19" s="253" t="s">
        <v>141</v>
      </c>
      <c r="AO19" s="253" t="s">
        <v>141</v>
      </c>
      <c r="AP19" s="243" t="s">
        <v>141</v>
      </c>
      <c r="AQ19" s="244" t="s">
        <v>141</v>
      </c>
      <c r="AR19" s="243" t="s">
        <v>141</v>
      </c>
      <c r="AS19" s="54" t="s">
        <v>280</v>
      </c>
      <c r="AT19" s="51" t="s">
        <v>283</v>
      </c>
      <c r="AU19" s="51" t="s">
        <v>285</v>
      </c>
      <c r="AV19" s="51" t="s">
        <v>287</v>
      </c>
      <c r="AW19" s="46" t="s">
        <v>258</v>
      </c>
      <c r="AX19" s="55" t="s">
        <v>146</v>
      </c>
      <c r="AY19" s="54">
        <v>17.5</v>
      </c>
      <c r="AZ19" s="55">
        <v>0</v>
      </c>
      <c r="BA19" s="188"/>
      <c r="BB19" s="189"/>
      <c r="BC19" s="51"/>
      <c r="BD19" s="3"/>
      <c r="BE19" s="3"/>
      <c r="BF19" s="3"/>
      <c r="BG19" s="3"/>
    </row>
    <row r="20" spans="1:59" s="163" customFormat="1" ht="90" x14ac:dyDescent="0.25">
      <c r="A20" s="66" t="s">
        <v>371</v>
      </c>
      <c r="B20" s="64">
        <v>43628.462037037039</v>
      </c>
      <c r="C20" s="51" t="s">
        <v>458</v>
      </c>
      <c r="D20" s="256"/>
      <c r="E20" s="256" t="s">
        <v>460</v>
      </c>
      <c r="F20" s="46" t="s">
        <v>452</v>
      </c>
      <c r="G20" s="46" t="s">
        <v>118</v>
      </c>
      <c r="H20" s="202" t="s">
        <v>141</v>
      </c>
      <c r="I20" s="250" t="s">
        <v>141</v>
      </c>
      <c r="J20" s="54" t="s">
        <v>448</v>
      </c>
      <c r="K20" s="55" t="s">
        <v>451</v>
      </c>
      <c r="L20" s="51" t="s">
        <v>457</v>
      </c>
      <c r="M20" s="53">
        <v>1</v>
      </c>
      <c r="N20" s="375" t="s">
        <v>459</v>
      </c>
      <c r="O20" s="376"/>
      <c r="P20" s="376"/>
      <c r="Q20" s="377"/>
      <c r="R20" s="52" t="s">
        <v>453</v>
      </c>
      <c r="S20" s="3">
        <v>2</v>
      </c>
      <c r="T20" s="3" t="s">
        <v>137</v>
      </c>
      <c r="U20" s="53">
        <v>174.33199999999999</v>
      </c>
      <c r="V20" s="52" t="s">
        <v>453</v>
      </c>
      <c r="W20" s="3">
        <v>2</v>
      </c>
      <c r="X20" s="3" t="s">
        <v>137</v>
      </c>
      <c r="Y20" s="60">
        <v>75.340999999999994</v>
      </c>
      <c r="Z20" s="209">
        <v>29.43</v>
      </c>
      <c r="AA20" s="210">
        <v>4</v>
      </c>
      <c r="AB20" s="210" t="s">
        <v>139</v>
      </c>
      <c r="AC20" s="211" t="s">
        <v>436</v>
      </c>
      <c r="AD20" s="53">
        <v>3.27</v>
      </c>
      <c r="AE20" s="54">
        <v>0.3</v>
      </c>
      <c r="AF20" s="46" t="s">
        <v>137</v>
      </c>
      <c r="AG20" s="46" t="s">
        <v>137</v>
      </c>
      <c r="AH20" s="55" t="s">
        <v>139</v>
      </c>
      <c r="AI20" s="54">
        <v>2.1720000000000002</v>
      </c>
      <c r="AJ20" s="46">
        <v>85.304000000000002</v>
      </c>
      <c r="AK20" s="173" t="s">
        <v>278</v>
      </c>
      <c r="AL20" s="62" t="s">
        <v>149</v>
      </c>
      <c r="AM20" s="54" t="s">
        <v>275</v>
      </c>
      <c r="AN20" s="46" t="s">
        <v>276</v>
      </c>
      <c r="AO20" s="3" t="s">
        <v>454</v>
      </c>
      <c r="AP20" s="3" t="s">
        <v>454</v>
      </c>
      <c r="AQ20" s="52" t="s">
        <v>456</v>
      </c>
      <c r="AR20" s="55" t="s">
        <v>455</v>
      </c>
      <c r="AS20" s="54" t="s">
        <v>280</v>
      </c>
      <c r="AT20" s="51" t="s">
        <v>283</v>
      </c>
      <c r="AU20" s="51" t="s">
        <v>285</v>
      </c>
      <c r="AV20" s="51" t="s">
        <v>287</v>
      </c>
      <c r="AW20" s="46" t="s">
        <v>258</v>
      </c>
      <c r="AX20" s="55" t="s">
        <v>146</v>
      </c>
      <c r="AY20" s="54">
        <v>17.5</v>
      </c>
      <c r="AZ20" s="55">
        <v>0</v>
      </c>
      <c r="BA20" s="188"/>
      <c r="BB20" s="189"/>
      <c r="BC20" s="51"/>
      <c r="BD20" s="3"/>
      <c r="BE20" s="3"/>
      <c r="BF20" s="3"/>
      <c r="BG20" s="3"/>
    </row>
    <row r="21" spans="1:59" s="163" customFormat="1" ht="90" x14ac:dyDescent="0.25">
      <c r="A21" s="66" t="s">
        <v>372</v>
      </c>
      <c r="B21" s="64">
        <v>43628.480046296296</v>
      </c>
      <c r="C21" s="51" t="s">
        <v>461</v>
      </c>
      <c r="D21" s="179" t="s">
        <v>466</v>
      </c>
      <c r="E21" s="46" t="s">
        <v>310</v>
      </c>
      <c r="F21" s="46" t="s">
        <v>462</v>
      </c>
      <c r="G21" s="46" t="s">
        <v>118</v>
      </c>
      <c r="H21" s="202" t="s">
        <v>141</v>
      </c>
      <c r="I21" s="250" t="s">
        <v>141</v>
      </c>
      <c r="J21" s="54" t="s">
        <v>448</v>
      </c>
      <c r="K21" s="55" t="s">
        <v>451</v>
      </c>
      <c r="L21" s="242" t="s">
        <v>141</v>
      </c>
      <c r="M21" s="241" t="s">
        <v>141</v>
      </c>
      <c r="N21" s="50" t="s">
        <v>241</v>
      </c>
      <c r="O21" s="51" t="s">
        <v>464</v>
      </c>
      <c r="P21" s="174" t="s">
        <v>465</v>
      </c>
      <c r="Q21" s="54" t="s">
        <v>463</v>
      </c>
      <c r="R21" s="52" t="s">
        <v>453</v>
      </c>
      <c r="S21" s="3">
        <v>2</v>
      </c>
      <c r="T21" s="3" t="s">
        <v>137</v>
      </c>
      <c r="U21" s="53">
        <v>174.33199999999999</v>
      </c>
      <c r="V21" s="52" t="s">
        <v>453</v>
      </c>
      <c r="W21" s="3">
        <v>2</v>
      </c>
      <c r="X21" s="3" t="s">
        <v>137</v>
      </c>
      <c r="Y21" s="60">
        <v>75.340999999999994</v>
      </c>
      <c r="Z21" s="209">
        <v>29.43</v>
      </c>
      <c r="AA21" s="210">
        <v>4</v>
      </c>
      <c r="AB21" s="210" t="s">
        <v>139</v>
      </c>
      <c r="AC21" s="211" t="s">
        <v>436</v>
      </c>
      <c r="AD21" s="53">
        <v>3.27</v>
      </c>
      <c r="AE21" s="54">
        <v>0.3</v>
      </c>
      <c r="AF21" s="46" t="s">
        <v>137</v>
      </c>
      <c r="AG21" s="46" t="s">
        <v>137</v>
      </c>
      <c r="AH21" s="55" t="s">
        <v>139</v>
      </c>
      <c r="AI21" s="54">
        <v>2.1720000000000002</v>
      </c>
      <c r="AJ21" s="46">
        <v>85.304000000000002</v>
      </c>
      <c r="AK21" s="173" t="s">
        <v>278</v>
      </c>
      <c r="AL21" s="62" t="s">
        <v>149</v>
      </c>
      <c r="AM21" s="240" t="s">
        <v>141</v>
      </c>
      <c r="AN21" s="253" t="s">
        <v>141</v>
      </c>
      <c r="AO21" s="253" t="s">
        <v>141</v>
      </c>
      <c r="AP21" s="243" t="s">
        <v>141</v>
      </c>
      <c r="AQ21" s="244" t="s">
        <v>141</v>
      </c>
      <c r="AR21" s="243" t="s">
        <v>141</v>
      </c>
      <c r="AS21" s="54" t="s">
        <v>280</v>
      </c>
      <c r="AT21" s="51" t="s">
        <v>283</v>
      </c>
      <c r="AU21" s="51" t="s">
        <v>285</v>
      </c>
      <c r="AV21" s="51" t="s">
        <v>287</v>
      </c>
      <c r="AW21" s="46" t="s">
        <v>258</v>
      </c>
      <c r="AX21" s="55" t="s">
        <v>146</v>
      </c>
      <c r="AY21" s="54">
        <v>17.5</v>
      </c>
      <c r="AZ21" s="55">
        <v>0</v>
      </c>
      <c r="BA21" s="188"/>
      <c r="BB21" s="189"/>
      <c r="BC21" s="51"/>
      <c r="BD21" s="3"/>
      <c r="BE21" s="3"/>
      <c r="BF21" s="3"/>
      <c r="BG21" s="3"/>
    </row>
    <row r="22" spans="1:59" s="163" customFormat="1" ht="75" x14ac:dyDescent="0.25">
      <c r="A22" s="66" t="s">
        <v>373</v>
      </c>
      <c r="B22" s="64">
        <v>43865.728470023147</v>
      </c>
      <c r="C22" s="64" t="s">
        <v>469</v>
      </c>
      <c r="D22" s="179">
        <v>43866.333972800923</v>
      </c>
      <c r="E22" s="46" t="s">
        <v>310</v>
      </c>
      <c r="F22" s="46" t="s">
        <v>477</v>
      </c>
      <c r="G22" s="46" t="s">
        <v>118</v>
      </c>
      <c r="H22" s="202" t="s">
        <v>141</v>
      </c>
      <c r="I22" s="250" t="s">
        <v>141</v>
      </c>
      <c r="J22" s="54" t="s">
        <v>471</v>
      </c>
      <c r="K22" s="55" t="s">
        <v>438</v>
      </c>
      <c r="L22" s="51" t="s">
        <v>478</v>
      </c>
      <c r="M22" s="53">
        <v>1</v>
      </c>
      <c r="N22" s="50" t="s">
        <v>241</v>
      </c>
      <c r="O22" s="51" t="s">
        <v>479</v>
      </c>
      <c r="P22" s="174" t="s">
        <v>431</v>
      </c>
      <c r="Q22" s="54" t="s">
        <v>480</v>
      </c>
      <c r="R22" s="52">
        <v>1</v>
      </c>
      <c r="S22" s="3">
        <v>2</v>
      </c>
      <c r="T22" s="3" t="s">
        <v>137</v>
      </c>
      <c r="U22" s="53">
        <v>174.33199999999999</v>
      </c>
      <c r="V22" s="52">
        <v>1</v>
      </c>
      <c r="W22" s="3">
        <v>2</v>
      </c>
      <c r="X22" s="3" t="s">
        <v>137</v>
      </c>
      <c r="Y22" s="60">
        <v>75.340999999999994</v>
      </c>
      <c r="Z22" s="209">
        <v>29.43</v>
      </c>
      <c r="AA22" s="210">
        <v>4</v>
      </c>
      <c r="AB22" s="210" t="s">
        <v>139</v>
      </c>
      <c r="AC22" s="211" t="s">
        <v>436</v>
      </c>
      <c r="AD22" s="53">
        <v>13.08</v>
      </c>
      <c r="AE22" s="54">
        <v>0.3</v>
      </c>
      <c r="AF22" s="46" t="s">
        <v>137</v>
      </c>
      <c r="AG22" s="46" t="s">
        <v>137</v>
      </c>
      <c r="AH22" s="55" t="s">
        <v>139</v>
      </c>
      <c r="AI22" s="261">
        <v>2.1749999999999998</v>
      </c>
      <c r="AJ22" s="3">
        <v>85.304000000000002</v>
      </c>
      <c r="AK22" s="173" t="s">
        <v>278</v>
      </c>
      <c r="AL22" s="62" t="s">
        <v>149</v>
      </c>
      <c r="AM22" s="54" t="s">
        <v>275</v>
      </c>
      <c r="AN22" s="46" t="s">
        <v>472</v>
      </c>
      <c r="AO22" s="3" t="s">
        <v>276</v>
      </c>
      <c r="AP22" s="46" t="s">
        <v>473</v>
      </c>
      <c r="AQ22" s="52" t="s">
        <v>162</v>
      </c>
      <c r="AR22" s="55" t="s">
        <v>379</v>
      </c>
      <c r="AS22" s="54" t="s">
        <v>280</v>
      </c>
      <c r="AT22" s="51" t="s">
        <v>283</v>
      </c>
      <c r="AU22" s="51" t="s">
        <v>285</v>
      </c>
      <c r="AV22" s="51" t="s">
        <v>287</v>
      </c>
      <c r="AW22" s="46" t="s">
        <v>258</v>
      </c>
      <c r="AX22" s="55" t="s">
        <v>146</v>
      </c>
      <c r="AY22" s="54">
        <v>17.5</v>
      </c>
      <c r="AZ22" s="55">
        <v>0</v>
      </c>
      <c r="BA22" s="54">
        <v>-13.74</v>
      </c>
      <c r="BB22" s="53">
        <v>-15.08</v>
      </c>
      <c r="BC22" s="51"/>
      <c r="BD22" s="3"/>
      <c r="BE22" s="3"/>
      <c r="BF22" s="3"/>
      <c r="BG22" s="3"/>
    </row>
    <row r="23" spans="1:59" s="163" customFormat="1" ht="150" x14ac:dyDescent="0.25">
      <c r="A23" s="66" t="s">
        <v>374</v>
      </c>
      <c r="B23" s="64">
        <v>43866.623299537037</v>
      </c>
      <c r="C23" s="51" t="s">
        <v>485</v>
      </c>
      <c r="D23" s="179">
        <v>43868.638715277775</v>
      </c>
      <c r="E23" s="46" t="s">
        <v>488</v>
      </c>
      <c r="F23" s="46" t="s">
        <v>484</v>
      </c>
      <c r="G23" s="46" t="s">
        <v>118</v>
      </c>
      <c r="H23" s="202" t="s">
        <v>141</v>
      </c>
      <c r="I23" s="250" t="s">
        <v>141</v>
      </c>
      <c r="J23" s="54" t="s">
        <v>448</v>
      </c>
      <c r="K23" s="55" t="s">
        <v>438</v>
      </c>
      <c r="L23" s="51" t="s">
        <v>483</v>
      </c>
      <c r="M23" s="53">
        <v>1</v>
      </c>
      <c r="N23" s="50" t="s">
        <v>241</v>
      </c>
      <c r="O23" s="51" t="s">
        <v>486</v>
      </c>
      <c r="P23" s="174" t="s">
        <v>431</v>
      </c>
      <c r="Q23" s="54" t="s">
        <v>487</v>
      </c>
      <c r="R23" s="52">
        <v>1</v>
      </c>
      <c r="S23" s="3">
        <v>2</v>
      </c>
      <c r="T23" s="3" t="s">
        <v>137</v>
      </c>
      <c r="U23" s="53">
        <v>174.33199999999999</v>
      </c>
      <c r="V23" s="52">
        <v>1</v>
      </c>
      <c r="W23" s="3">
        <v>2</v>
      </c>
      <c r="X23" s="3" t="s">
        <v>137</v>
      </c>
      <c r="Y23" s="60">
        <v>75.340999999999994</v>
      </c>
      <c r="Z23" s="209">
        <v>29.43</v>
      </c>
      <c r="AA23" s="210">
        <v>4</v>
      </c>
      <c r="AB23" s="210" t="s">
        <v>139</v>
      </c>
      <c r="AC23" s="211" t="s">
        <v>436</v>
      </c>
      <c r="AD23" s="53">
        <v>13.08</v>
      </c>
      <c r="AE23" s="54">
        <v>0.3</v>
      </c>
      <c r="AF23" s="46" t="s">
        <v>137</v>
      </c>
      <c r="AG23" s="46" t="s">
        <v>137</v>
      </c>
      <c r="AH23" s="55" t="s">
        <v>139</v>
      </c>
      <c r="AI23" s="261">
        <v>2.1749999999999998</v>
      </c>
      <c r="AJ23" s="3">
        <v>85.304000000000002</v>
      </c>
      <c r="AK23" s="173" t="s">
        <v>278</v>
      </c>
      <c r="AL23" s="62" t="s">
        <v>149</v>
      </c>
      <c r="AM23" s="54" t="s">
        <v>275</v>
      </c>
      <c r="AN23" s="46" t="s">
        <v>472</v>
      </c>
      <c r="AO23" s="3" t="s">
        <v>276</v>
      </c>
      <c r="AP23" s="46" t="s">
        <v>473</v>
      </c>
      <c r="AQ23" s="52" t="s">
        <v>162</v>
      </c>
      <c r="AR23" s="55" t="s">
        <v>379</v>
      </c>
      <c r="AS23" s="54" t="s">
        <v>280</v>
      </c>
      <c r="AT23" s="51" t="s">
        <v>283</v>
      </c>
      <c r="AU23" s="51" t="s">
        <v>285</v>
      </c>
      <c r="AV23" s="51" t="s">
        <v>287</v>
      </c>
      <c r="AW23" s="46" t="s">
        <v>258</v>
      </c>
      <c r="AX23" s="55" t="s">
        <v>146</v>
      </c>
      <c r="AY23" s="54">
        <v>17.5</v>
      </c>
      <c r="AZ23" s="55">
        <v>0</v>
      </c>
      <c r="BA23" s="54">
        <v>-13.79</v>
      </c>
      <c r="BB23" s="53">
        <v>-15.11</v>
      </c>
      <c r="BC23" s="51"/>
      <c r="BD23" s="3"/>
      <c r="BE23" s="3"/>
      <c r="BF23" s="3"/>
      <c r="BG23" s="3"/>
    </row>
    <row r="24" spans="1:59" s="277" customFormat="1" ht="60" x14ac:dyDescent="0.25">
      <c r="A24" s="66" t="s">
        <v>36</v>
      </c>
      <c r="B24" s="64">
        <v>43868.837381365738</v>
      </c>
      <c r="C24" s="51" t="s">
        <v>497</v>
      </c>
      <c r="D24" s="179">
        <v>43871.410790162037</v>
      </c>
      <c r="E24" s="179" t="s">
        <v>392</v>
      </c>
      <c r="F24" s="46" t="s">
        <v>495</v>
      </c>
      <c r="G24" s="46" t="s">
        <v>118</v>
      </c>
      <c r="H24" s="202" t="s">
        <v>141</v>
      </c>
      <c r="I24" s="250" t="s">
        <v>141</v>
      </c>
      <c r="J24" s="54" t="s">
        <v>448</v>
      </c>
      <c r="K24" s="55" t="s">
        <v>312</v>
      </c>
      <c r="L24" s="51" t="s">
        <v>496</v>
      </c>
      <c r="M24" s="53">
        <v>1</v>
      </c>
      <c r="N24" s="50" t="s">
        <v>241</v>
      </c>
      <c r="O24" s="51" t="s">
        <v>509</v>
      </c>
      <c r="P24" s="174" t="s">
        <v>431</v>
      </c>
      <c r="Q24" s="54" t="s">
        <v>510</v>
      </c>
      <c r="R24" s="52" t="s">
        <v>184</v>
      </c>
      <c r="S24" s="3">
        <v>2</v>
      </c>
      <c r="U24" s="53">
        <v>174.33199999999999</v>
      </c>
      <c r="V24" s="52" t="s">
        <v>184</v>
      </c>
      <c r="W24" s="3">
        <v>2</v>
      </c>
      <c r="X24" s="3" t="s">
        <v>137</v>
      </c>
      <c r="Y24" s="53">
        <v>75.340999999999994</v>
      </c>
      <c r="Z24" s="209">
        <v>29.43</v>
      </c>
      <c r="AA24" s="210">
        <v>4</v>
      </c>
      <c r="AB24" s="210" t="s">
        <v>139</v>
      </c>
      <c r="AC24" s="211" t="s">
        <v>436</v>
      </c>
      <c r="AD24" s="53" t="s">
        <v>183</v>
      </c>
      <c r="AE24" s="268">
        <v>0.1</v>
      </c>
      <c r="AF24" s="46" t="s">
        <v>137</v>
      </c>
      <c r="AG24" s="46" t="s">
        <v>137</v>
      </c>
      <c r="AH24" s="55" t="s">
        <v>139</v>
      </c>
      <c r="AI24" s="261">
        <v>2.1749999999999998</v>
      </c>
      <c r="AJ24" s="3">
        <v>85.304000000000002</v>
      </c>
      <c r="AK24" s="173" t="s">
        <v>278</v>
      </c>
      <c r="AL24" s="62" t="s">
        <v>149</v>
      </c>
      <c r="AM24" s="54" t="s">
        <v>275</v>
      </c>
      <c r="AN24" s="46" t="s">
        <v>472</v>
      </c>
      <c r="AO24" s="3" t="s">
        <v>276</v>
      </c>
      <c r="AP24" s="46" t="s">
        <v>473</v>
      </c>
      <c r="AQ24" s="52" t="s">
        <v>162</v>
      </c>
      <c r="AR24" s="55" t="s">
        <v>379</v>
      </c>
      <c r="AS24" s="54" t="s">
        <v>280</v>
      </c>
      <c r="AT24" s="51" t="s">
        <v>283</v>
      </c>
      <c r="AU24" s="51" t="s">
        <v>285</v>
      </c>
      <c r="AV24" s="51" t="s">
        <v>287</v>
      </c>
      <c r="AW24" s="46" t="s">
        <v>258</v>
      </c>
      <c r="AX24" s="55" t="s">
        <v>146</v>
      </c>
      <c r="AY24" s="267">
        <v>16</v>
      </c>
      <c r="AZ24" s="53">
        <v>0</v>
      </c>
      <c r="BA24" s="54">
        <v>-15.48</v>
      </c>
      <c r="BB24" s="53">
        <v>-16.809999999999999</v>
      </c>
      <c r="BC24" s="51"/>
      <c r="BD24" s="3"/>
      <c r="BE24" s="3"/>
      <c r="BF24" s="3"/>
      <c r="BG24" s="3"/>
    </row>
    <row r="25" spans="1:59" s="163" customFormat="1" ht="60" x14ac:dyDescent="0.25">
      <c r="A25" s="66" t="s">
        <v>37</v>
      </c>
      <c r="B25" s="64">
        <v>43872.448321759257</v>
      </c>
      <c r="C25" s="51" t="s">
        <v>547</v>
      </c>
      <c r="D25" s="179">
        <v>43875.352685185186</v>
      </c>
      <c r="E25" s="46" t="s">
        <v>550</v>
      </c>
      <c r="F25" s="46" t="s">
        <v>546</v>
      </c>
      <c r="G25" s="46" t="s">
        <v>118</v>
      </c>
      <c r="H25" s="46" t="s">
        <v>545</v>
      </c>
      <c r="I25" s="172" t="s">
        <v>364</v>
      </c>
      <c r="J25" s="54" t="s">
        <v>448</v>
      </c>
      <c r="K25" s="55" t="s">
        <v>548</v>
      </c>
      <c r="L25" s="51" t="s">
        <v>549</v>
      </c>
      <c r="M25" s="53">
        <v>3</v>
      </c>
      <c r="N25" s="50" t="s">
        <v>241</v>
      </c>
      <c r="O25" s="51" t="s">
        <v>551</v>
      </c>
      <c r="P25" s="174" t="s">
        <v>431</v>
      </c>
      <c r="Q25" s="54" t="s">
        <v>552</v>
      </c>
      <c r="R25" s="52" t="s">
        <v>453</v>
      </c>
      <c r="S25" s="3">
        <v>2</v>
      </c>
      <c r="T25" s="3" t="s">
        <v>137</v>
      </c>
      <c r="U25" s="53">
        <v>174.33199999999999</v>
      </c>
      <c r="V25" s="52" t="s">
        <v>453</v>
      </c>
      <c r="W25" s="3">
        <v>2</v>
      </c>
      <c r="X25" s="3" t="s">
        <v>137</v>
      </c>
      <c r="Y25" s="53">
        <v>75.340999999999994</v>
      </c>
      <c r="Z25" s="209">
        <v>29.43</v>
      </c>
      <c r="AA25" s="210">
        <v>4</v>
      </c>
      <c r="AB25" s="210" t="s">
        <v>139</v>
      </c>
      <c r="AC25" s="211" t="s">
        <v>436</v>
      </c>
      <c r="AD25" s="53">
        <v>3.27</v>
      </c>
      <c r="AE25" s="52">
        <v>0.3</v>
      </c>
      <c r="AF25" s="46" t="s">
        <v>137</v>
      </c>
      <c r="AG25" s="46" t="s">
        <v>137</v>
      </c>
      <c r="AH25" s="55" t="s">
        <v>139</v>
      </c>
      <c r="AI25" s="261">
        <v>2.1749999999999998</v>
      </c>
      <c r="AJ25" s="3">
        <v>85.304000000000002</v>
      </c>
      <c r="AK25" s="173" t="s">
        <v>278</v>
      </c>
      <c r="AL25" s="62" t="s">
        <v>149</v>
      </c>
      <c r="AM25" s="54" t="s">
        <v>275</v>
      </c>
      <c r="AN25" s="46" t="s">
        <v>276</v>
      </c>
      <c r="AO25" s="46" t="s">
        <v>544</v>
      </c>
      <c r="AP25" s="55" t="s">
        <v>401</v>
      </c>
      <c r="AQ25" s="52" t="s">
        <v>162</v>
      </c>
      <c r="AR25" s="55" t="s">
        <v>379</v>
      </c>
      <c r="AS25" s="54" t="s">
        <v>280</v>
      </c>
      <c r="AT25" s="51" t="s">
        <v>283</v>
      </c>
      <c r="AU25" s="51" t="s">
        <v>285</v>
      </c>
      <c r="AV25" s="51" t="s">
        <v>287</v>
      </c>
      <c r="AW25" s="46" t="s">
        <v>258</v>
      </c>
      <c r="AX25" s="55" t="s">
        <v>146</v>
      </c>
      <c r="AY25" s="54">
        <v>17.5</v>
      </c>
      <c r="AZ25" s="55">
        <v>0</v>
      </c>
      <c r="BA25" s="54">
        <v>-13.29</v>
      </c>
      <c r="BB25" s="53">
        <v>-14.62</v>
      </c>
      <c r="BC25" s="51"/>
      <c r="BD25" s="3"/>
      <c r="BE25" s="3"/>
      <c r="BF25" s="3"/>
      <c r="BG25" s="3"/>
    </row>
    <row r="26" spans="1:59" s="163" customFormat="1" ht="75" x14ac:dyDescent="0.25">
      <c r="A26" s="66" t="s">
        <v>163</v>
      </c>
      <c r="B26" s="64">
        <v>43875.365613425929</v>
      </c>
      <c r="C26" s="51" t="s">
        <v>554</v>
      </c>
      <c r="D26" s="179">
        <v>43878.379554629631</v>
      </c>
      <c r="E26" s="46" t="s">
        <v>392</v>
      </c>
      <c r="F26" s="46" t="s">
        <v>546</v>
      </c>
      <c r="G26" s="46" t="s">
        <v>118</v>
      </c>
      <c r="H26" s="278" t="s">
        <v>553</v>
      </c>
      <c r="I26" s="172" t="s">
        <v>364</v>
      </c>
      <c r="J26" s="54" t="s">
        <v>448</v>
      </c>
      <c r="K26" s="55" t="s">
        <v>548</v>
      </c>
      <c r="L26" s="51" t="s">
        <v>555</v>
      </c>
      <c r="M26" s="53">
        <v>3</v>
      </c>
      <c r="N26" s="50" t="s">
        <v>241</v>
      </c>
      <c r="O26" s="51" t="s">
        <v>551</v>
      </c>
      <c r="P26" s="174" t="s">
        <v>465</v>
      </c>
      <c r="Q26" s="54" t="s">
        <v>556</v>
      </c>
      <c r="R26" s="52" t="s">
        <v>453</v>
      </c>
      <c r="S26" s="3">
        <v>2</v>
      </c>
      <c r="T26" s="3" t="s">
        <v>137</v>
      </c>
      <c r="U26" s="53">
        <v>174.33199999999999</v>
      </c>
      <c r="V26" s="52" t="s">
        <v>453</v>
      </c>
      <c r="W26" s="3">
        <v>2</v>
      </c>
      <c r="X26" s="3" t="s">
        <v>137</v>
      </c>
      <c r="Y26" s="53">
        <v>75.340999999999994</v>
      </c>
      <c r="Z26" s="209">
        <v>29.43</v>
      </c>
      <c r="AA26" s="210">
        <v>4</v>
      </c>
      <c r="AB26" s="210" t="s">
        <v>139</v>
      </c>
      <c r="AC26" s="211" t="s">
        <v>436</v>
      </c>
      <c r="AD26" s="53">
        <v>3.27</v>
      </c>
      <c r="AE26" s="52">
        <v>0.3</v>
      </c>
      <c r="AF26" s="46" t="s">
        <v>137</v>
      </c>
      <c r="AG26" s="46" t="s">
        <v>137</v>
      </c>
      <c r="AH26" s="55" t="s">
        <v>139</v>
      </c>
      <c r="AI26" s="261">
        <v>2.1749999999999998</v>
      </c>
      <c r="AJ26" s="3">
        <v>85.304000000000002</v>
      </c>
      <c r="AK26" s="173" t="s">
        <v>278</v>
      </c>
      <c r="AL26" s="62" t="s">
        <v>149</v>
      </c>
      <c r="AM26" s="54" t="s">
        <v>275</v>
      </c>
      <c r="AN26" s="46" t="s">
        <v>276</v>
      </c>
      <c r="AO26" s="46" t="s">
        <v>544</v>
      </c>
      <c r="AP26" s="55" t="s">
        <v>401</v>
      </c>
      <c r="AQ26" s="52" t="s">
        <v>162</v>
      </c>
      <c r="AR26" s="55" t="s">
        <v>379</v>
      </c>
      <c r="AS26" s="54" t="s">
        <v>280</v>
      </c>
      <c r="AT26" s="51" t="s">
        <v>283</v>
      </c>
      <c r="AU26" s="51" t="s">
        <v>285</v>
      </c>
      <c r="AV26" s="51" t="s">
        <v>287</v>
      </c>
      <c r="AW26" s="46" t="s">
        <v>258</v>
      </c>
      <c r="AX26" s="55" t="s">
        <v>146</v>
      </c>
      <c r="AY26" s="54">
        <v>17.5</v>
      </c>
      <c r="AZ26" s="55">
        <v>0</v>
      </c>
      <c r="BA26" s="240"/>
      <c r="BB26" s="241"/>
      <c r="BC26" s="51"/>
      <c r="BD26" s="3"/>
      <c r="BE26" s="3"/>
      <c r="BF26" s="3"/>
      <c r="BG26" s="3"/>
    </row>
    <row r="27" spans="1:59" s="292" customFormat="1" ht="120" customHeight="1" x14ac:dyDescent="0.25">
      <c r="A27" s="283" t="s">
        <v>375</v>
      </c>
      <c r="B27" s="389">
        <v>44057.580313310187</v>
      </c>
      <c r="C27" s="293" t="s">
        <v>563</v>
      </c>
      <c r="D27" s="392">
        <v>44057.583785532406</v>
      </c>
      <c r="E27" s="285" t="s">
        <v>567</v>
      </c>
      <c r="F27" s="285" t="s">
        <v>596</v>
      </c>
      <c r="G27" s="294" t="s">
        <v>141</v>
      </c>
      <c r="H27" s="294" t="s">
        <v>141</v>
      </c>
      <c r="I27" s="295" t="s">
        <v>141</v>
      </c>
      <c r="J27" s="287" t="s">
        <v>569</v>
      </c>
      <c r="K27" s="288" t="s">
        <v>141</v>
      </c>
      <c r="L27" s="297" t="s">
        <v>141</v>
      </c>
      <c r="M27" s="298" t="s">
        <v>141</v>
      </c>
      <c r="N27" s="50" t="s">
        <v>241</v>
      </c>
      <c r="O27" s="284" t="s">
        <v>570</v>
      </c>
      <c r="P27" s="174" t="s">
        <v>572</v>
      </c>
      <c r="Q27" s="393" t="s">
        <v>571</v>
      </c>
      <c r="R27" s="52">
        <v>599.9</v>
      </c>
      <c r="S27" s="3">
        <v>2</v>
      </c>
      <c r="T27" s="3" t="s">
        <v>137</v>
      </c>
      <c r="U27" s="60">
        <v>174.33199999999999</v>
      </c>
      <c r="V27" s="52">
        <v>599.9</v>
      </c>
      <c r="W27" s="3">
        <v>2</v>
      </c>
      <c r="X27" s="3" t="s">
        <v>137</v>
      </c>
      <c r="Y27" s="60">
        <v>75.340999999999994</v>
      </c>
      <c r="Z27" s="209">
        <v>29.43</v>
      </c>
      <c r="AA27" s="210">
        <v>4</v>
      </c>
      <c r="AB27" s="210" t="s">
        <v>139</v>
      </c>
      <c r="AC27" s="211" t="s">
        <v>436</v>
      </c>
      <c r="AD27" s="53" t="s">
        <v>152</v>
      </c>
      <c r="AE27" s="289">
        <v>0.3</v>
      </c>
      <c r="AF27" s="285" t="s">
        <v>137</v>
      </c>
      <c r="AG27" s="285" t="s">
        <v>137</v>
      </c>
      <c r="AH27" s="288" t="s">
        <v>139</v>
      </c>
      <c r="AI27" s="291">
        <v>2.1720000000000002</v>
      </c>
      <c r="AJ27" s="290">
        <v>85.304000000000002</v>
      </c>
      <c r="AK27" s="286" t="s">
        <v>278</v>
      </c>
      <c r="AL27" s="288" t="s">
        <v>558</v>
      </c>
      <c r="AM27" s="299" t="s">
        <v>141</v>
      </c>
      <c r="AN27" s="294" t="s">
        <v>141</v>
      </c>
      <c r="AO27" s="294" t="s">
        <v>141</v>
      </c>
      <c r="AP27" s="300" t="s">
        <v>141</v>
      </c>
      <c r="AQ27" s="301" t="s">
        <v>141</v>
      </c>
      <c r="AR27" s="300" t="s">
        <v>141</v>
      </c>
      <c r="AS27" s="390" t="s">
        <v>561</v>
      </c>
      <c r="AT27" s="284" t="s">
        <v>559</v>
      </c>
      <c r="AU27" s="284" t="s">
        <v>285</v>
      </c>
      <c r="AV27" s="284" t="s">
        <v>287</v>
      </c>
      <c r="AW27" s="285" t="s">
        <v>258</v>
      </c>
      <c r="AX27" s="288" t="s">
        <v>146</v>
      </c>
      <c r="AY27" s="54" t="s">
        <v>141</v>
      </c>
      <c r="AZ27" s="55" t="s">
        <v>141</v>
      </c>
      <c r="BA27" s="287" t="s">
        <v>141</v>
      </c>
      <c r="BB27" s="399" t="s">
        <v>141</v>
      </c>
      <c r="BC27" s="400" t="s">
        <v>578</v>
      </c>
      <c r="BD27" s="290"/>
      <c r="BE27" s="290"/>
      <c r="BF27" s="290"/>
      <c r="BG27" s="290"/>
    </row>
    <row r="28" spans="1:59" s="163" customFormat="1" ht="60" x14ac:dyDescent="0.25">
      <c r="A28" s="66" t="s">
        <v>376</v>
      </c>
      <c r="B28" s="64">
        <v>44057.593952430558</v>
      </c>
      <c r="C28" s="280" t="s">
        <v>564</v>
      </c>
      <c r="D28" s="179" t="s">
        <v>574</v>
      </c>
      <c r="E28" s="285" t="s">
        <v>567</v>
      </c>
      <c r="F28" s="285" t="s">
        <v>595</v>
      </c>
      <c r="G28" s="202" t="s">
        <v>141</v>
      </c>
      <c r="H28" s="202" t="s">
        <v>141</v>
      </c>
      <c r="I28" s="296" t="s">
        <v>141</v>
      </c>
      <c r="J28" s="287" t="s">
        <v>569</v>
      </c>
      <c r="K28" s="288" t="s">
        <v>141</v>
      </c>
      <c r="L28" s="297" t="s">
        <v>141</v>
      </c>
      <c r="M28" s="298" t="s">
        <v>141</v>
      </c>
      <c r="N28" s="50" t="s">
        <v>241</v>
      </c>
      <c r="O28" s="284" t="s">
        <v>570</v>
      </c>
      <c r="P28" s="174" t="s">
        <v>575</v>
      </c>
      <c r="Q28" s="394"/>
      <c r="R28" s="52">
        <v>599.9</v>
      </c>
      <c r="S28" s="3">
        <v>2</v>
      </c>
      <c r="T28" s="3" t="s">
        <v>137</v>
      </c>
      <c r="U28" s="60">
        <v>174.33199999999999</v>
      </c>
      <c r="V28" s="52">
        <v>599.9</v>
      </c>
      <c r="W28" s="3">
        <v>2</v>
      </c>
      <c r="X28" s="3" t="s">
        <v>137</v>
      </c>
      <c r="Y28" s="60">
        <v>75.340999999999994</v>
      </c>
      <c r="Z28" s="209">
        <v>29.43</v>
      </c>
      <c r="AA28" s="210">
        <v>4</v>
      </c>
      <c r="AB28" s="210" t="s">
        <v>139</v>
      </c>
      <c r="AC28" s="211" t="s">
        <v>436</v>
      </c>
      <c r="AD28" s="53" t="s">
        <v>152</v>
      </c>
      <c r="AE28" s="281" t="s">
        <v>573</v>
      </c>
      <c r="AF28" s="285" t="s">
        <v>137</v>
      </c>
      <c r="AG28" s="285" t="s">
        <v>137</v>
      </c>
      <c r="AH28" s="288" t="s">
        <v>139</v>
      </c>
      <c r="AI28" s="291">
        <v>2.1720000000000002</v>
      </c>
      <c r="AJ28" s="290">
        <v>85.304000000000002</v>
      </c>
      <c r="AK28" s="286" t="s">
        <v>278</v>
      </c>
      <c r="AL28" s="288" t="s">
        <v>558</v>
      </c>
      <c r="AM28" s="299" t="s">
        <v>141</v>
      </c>
      <c r="AN28" s="294" t="s">
        <v>141</v>
      </c>
      <c r="AO28" s="294" t="s">
        <v>141</v>
      </c>
      <c r="AP28" s="300" t="s">
        <v>141</v>
      </c>
      <c r="AQ28" s="301" t="s">
        <v>141</v>
      </c>
      <c r="AR28" s="300" t="s">
        <v>141</v>
      </c>
      <c r="AS28" s="390" t="s">
        <v>561</v>
      </c>
      <c r="AT28" s="284" t="s">
        <v>559</v>
      </c>
      <c r="AU28" s="284" t="s">
        <v>285</v>
      </c>
      <c r="AV28" s="284" t="s">
        <v>287</v>
      </c>
      <c r="AW28" s="285" t="s">
        <v>258</v>
      </c>
      <c r="AX28" s="288" t="s">
        <v>146</v>
      </c>
      <c r="AY28" s="54" t="s">
        <v>141</v>
      </c>
      <c r="AZ28" s="55" t="s">
        <v>141</v>
      </c>
      <c r="BA28" s="287" t="s">
        <v>141</v>
      </c>
      <c r="BB28" s="399" t="s">
        <v>141</v>
      </c>
      <c r="BC28" s="400" t="s">
        <v>577</v>
      </c>
      <c r="BD28" s="3"/>
      <c r="BE28" s="3"/>
      <c r="BF28" s="3"/>
      <c r="BG28" s="3"/>
    </row>
    <row r="29" spans="1:59" s="163" customFormat="1" ht="75" x14ac:dyDescent="0.25">
      <c r="A29" s="66" t="s">
        <v>512</v>
      </c>
      <c r="B29" s="64" t="s">
        <v>579</v>
      </c>
      <c r="C29" s="280" t="s">
        <v>565</v>
      </c>
      <c r="D29" s="64" t="s">
        <v>580</v>
      </c>
      <c r="E29" s="285" t="s">
        <v>567</v>
      </c>
      <c r="F29" s="46" t="s">
        <v>608</v>
      </c>
      <c r="G29" s="202" t="s">
        <v>141</v>
      </c>
      <c r="H29" s="202" t="s">
        <v>141</v>
      </c>
      <c r="I29" s="296" t="s">
        <v>141</v>
      </c>
      <c r="J29" s="287" t="s">
        <v>569</v>
      </c>
      <c r="K29" s="288" t="s">
        <v>141</v>
      </c>
      <c r="L29" s="297" t="s">
        <v>141</v>
      </c>
      <c r="M29" s="298" t="s">
        <v>141</v>
      </c>
      <c r="N29" s="50" t="s">
        <v>241</v>
      </c>
      <c r="O29" s="284" t="s">
        <v>570</v>
      </c>
      <c r="P29" s="174" t="s">
        <v>581</v>
      </c>
      <c r="Q29" s="394"/>
      <c r="R29" s="52">
        <v>599.9</v>
      </c>
      <c r="S29" s="3">
        <v>2</v>
      </c>
      <c r="T29" s="3" t="s">
        <v>137</v>
      </c>
      <c r="U29" s="60">
        <v>174.33199999999999</v>
      </c>
      <c r="V29" s="52">
        <v>599.9</v>
      </c>
      <c r="W29" s="3">
        <v>2</v>
      </c>
      <c r="X29" s="3" t="s">
        <v>137</v>
      </c>
      <c r="Y29" s="60">
        <v>75.340999999999994</v>
      </c>
      <c r="Z29" s="209">
        <v>29.43</v>
      </c>
      <c r="AA29" s="210">
        <v>4</v>
      </c>
      <c r="AB29" s="210" t="s">
        <v>139</v>
      </c>
      <c r="AC29" s="211" t="s">
        <v>436</v>
      </c>
      <c r="AD29" s="53" t="s">
        <v>152</v>
      </c>
      <c r="AE29" s="289">
        <v>0.3</v>
      </c>
      <c r="AF29" s="285" t="s">
        <v>137</v>
      </c>
      <c r="AG29" s="285" t="s">
        <v>137</v>
      </c>
      <c r="AH29" s="288" t="s">
        <v>139</v>
      </c>
      <c r="AI29" s="291">
        <v>2.1720000000000002</v>
      </c>
      <c r="AJ29" s="290">
        <v>85.304000000000002</v>
      </c>
      <c r="AK29" s="286" t="s">
        <v>278</v>
      </c>
      <c r="AL29" s="288" t="s">
        <v>558</v>
      </c>
      <c r="AM29" s="299" t="s">
        <v>141</v>
      </c>
      <c r="AN29" s="294" t="s">
        <v>141</v>
      </c>
      <c r="AO29" s="294" t="s">
        <v>141</v>
      </c>
      <c r="AP29" s="300" t="s">
        <v>141</v>
      </c>
      <c r="AQ29" s="301" t="s">
        <v>141</v>
      </c>
      <c r="AR29" s="300" t="s">
        <v>141</v>
      </c>
      <c r="AS29" s="391" t="s">
        <v>562</v>
      </c>
      <c r="AT29" s="284" t="s">
        <v>559</v>
      </c>
      <c r="AU29" s="284" t="s">
        <v>285</v>
      </c>
      <c r="AV29" s="284" t="s">
        <v>287</v>
      </c>
      <c r="AW29" s="285" t="s">
        <v>258</v>
      </c>
      <c r="AX29" s="288" t="s">
        <v>146</v>
      </c>
      <c r="AY29" s="54" t="s">
        <v>141</v>
      </c>
      <c r="AZ29" s="55" t="s">
        <v>141</v>
      </c>
      <c r="BA29" s="287" t="s">
        <v>141</v>
      </c>
      <c r="BB29" s="399" t="s">
        <v>141</v>
      </c>
      <c r="BC29" s="401" t="s">
        <v>576</v>
      </c>
      <c r="BD29" s="3"/>
      <c r="BE29" s="3"/>
      <c r="BF29" s="3"/>
      <c r="BG29" s="3"/>
    </row>
    <row r="30" spans="1:59" s="163" customFormat="1" ht="75" x14ac:dyDescent="0.25">
      <c r="A30" s="66" t="s">
        <v>513</v>
      </c>
      <c r="B30" s="64" t="s">
        <v>583</v>
      </c>
      <c r="C30" s="282" t="s">
        <v>557</v>
      </c>
      <c r="D30" s="64" t="s">
        <v>593</v>
      </c>
      <c r="E30" s="285" t="s">
        <v>567</v>
      </c>
      <c r="F30" s="46" t="s">
        <v>607</v>
      </c>
      <c r="G30" s="202" t="s">
        <v>141</v>
      </c>
      <c r="H30" s="202" t="s">
        <v>141</v>
      </c>
      <c r="I30" s="296" t="s">
        <v>141</v>
      </c>
      <c r="J30" s="287" t="s">
        <v>569</v>
      </c>
      <c r="K30" s="288" t="s">
        <v>141</v>
      </c>
      <c r="L30" s="297" t="s">
        <v>141</v>
      </c>
      <c r="M30" s="298" t="s">
        <v>141</v>
      </c>
      <c r="N30" s="50" t="s">
        <v>241</v>
      </c>
      <c r="O30" s="284" t="s">
        <v>570</v>
      </c>
      <c r="P30" s="174" t="s">
        <v>582</v>
      </c>
      <c r="Q30" s="394"/>
      <c r="R30" s="52">
        <v>599.9</v>
      </c>
      <c r="S30" s="3">
        <v>2</v>
      </c>
      <c r="T30" s="3" t="s">
        <v>137</v>
      </c>
      <c r="U30" s="60">
        <v>174.33199999999999</v>
      </c>
      <c r="V30" s="52">
        <v>599.9</v>
      </c>
      <c r="W30" s="3">
        <v>2</v>
      </c>
      <c r="X30" s="3" t="s">
        <v>137</v>
      </c>
      <c r="Y30" s="60">
        <v>75.340999999999994</v>
      </c>
      <c r="Z30" s="209">
        <v>29.43</v>
      </c>
      <c r="AA30" s="210">
        <v>4</v>
      </c>
      <c r="AB30" s="210" t="s">
        <v>139</v>
      </c>
      <c r="AC30" s="211" t="s">
        <v>436</v>
      </c>
      <c r="AD30" s="53" t="s">
        <v>152</v>
      </c>
      <c r="AE30" s="281" t="s">
        <v>573</v>
      </c>
      <c r="AF30" s="285" t="s">
        <v>137</v>
      </c>
      <c r="AG30" s="285" t="s">
        <v>137</v>
      </c>
      <c r="AH30" s="288" t="s">
        <v>139</v>
      </c>
      <c r="AI30" s="291">
        <v>2.1720000000000002</v>
      </c>
      <c r="AJ30" s="290">
        <v>85.304000000000002</v>
      </c>
      <c r="AK30" s="286" t="s">
        <v>278</v>
      </c>
      <c r="AL30" s="288" t="s">
        <v>558</v>
      </c>
      <c r="AM30" s="299" t="s">
        <v>141</v>
      </c>
      <c r="AN30" s="294" t="s">
        <v>141</v>
      </c>
      <c r="AO30" s="294" t="s">
        <v>141</v>
      </c>
      <c r="AP30" s="300" t="s">
        <v>141</v>
      </c>
      <c r="AQ30" s="301" t="s">
        <v>141</v>
      </c>
      <c r="AR30" s="300" t="s">
        <v>141</v>
      </c>
      <c r="AS30" s="391" t="s">
        <v>562</v>
      </c>
      <c r="AT30" s="284" t="s">
        <v>559</v>
      </c>
      <c r="AU30" s="284" t="s">
        <v>285</v>
      </c>
      <c r="AV30" s="284" t="s">
        <v>287</v>
      </c>
      <c r="AW30" s="285" t="s">
        <v>258</v>
      </c>
      <c r="AX30" s="288" t="s">
        <v>146</v>
      </c>
      <c r="AY30" s="54" t="s">
        <v>141</v>
      </c>
      <c r="AZ30" s="55" t="s">
        <v>141</v>
      </c>
      <c r="BA30" s="287" t="s">
        <v>141</v>
      </c>
      <c r="BB30" s="399" t="s">
        <v>141</v>
      </c>
      <c r="BC30" s="401" t="s">
        <v>584</v>
      </c>
      <c r="BD30" s="3"/>
      <c r="BE30" s="3"/>
      <c r="BF30" s="3"/>
      <c r="BG30" s="3"/>
    </row>
    <row r="31" spans="1:59" s="163" customFormat="1" ht="60" x14ac:dyDescent="0.25">
      <c r="A31" s="66" t="s">
        <v>134</v>
      </c>
      <c r="B31" s="64" t="s">
        <v>585</v>
      </c>
      <c r="C31" s="282" t="s">
        <v>566</v>
      </c>
      <c r="D31" s="179">
        <v>44058.515583333334</v>
      </c>
      <c r="E31" s="46" t="s">
        <v>392</v>
      </c>
      <c r="F31" s="46" t="s">
        <v>597</v>
      </c>
      <c r="G31" s="202" t="s">
        <v>141</v>
      </c>
      <c r="H31" s="202" t="s">
        <v>141</v>
      </c>
      <c r="I31" s="296" t="s">
        <v>141</v>
      </c>
      <c r="J31" s="287" t="s">
        <v>569</v>
      </c>
      <c r="K31" s="288" t="s">
        <v>141</v>
      </c>
      <c r="L31" s="297" t="s">
        <v>141</v>
      </c>
      <c r="M31" s="298" t="s">
        <v>141</v>
      </c>
      <c r="N31" s="50" t="s">
        <v>241</v>
      </c>
      <c r="O31" s="284" t="s">
        <v>570</v>
      </c>
      <c r="P31" s="174" t="s">
        <v>586</v>
      </c>
      <c r="Q31" s="395"/>
      <c r="R31" s="52">
        <v>1</v>
      </c>
      <c r="S31" s="3">
        <v>2</v>
      </c>
      <c r="T31" s="3" t="s">
        <v>137</v>
      </c>
      <c r="U31" s="53">
        <v>174.33199999999999</v>
      </c>
      <c r="V31" s="52">
        <v>1</v>
      </c>
      <c r="W31" s="3">
        <v>2</v>
      </c>
      <c r="X31" s="3" t="s">
        <v>137</v>
      </c>
      <c r="Y31" s="60">
        <v>75.340999999999994</v>
      </c>
      <c r="Z31" s="209">
        <v>29.43</v>
      </c>
      <c r="AA31" s="210">
        <v>4</v>
      </c>
      <c r="AB31" s="210" t="s">
        <v>139</v>
      </c>
      <c r="AC31" s="211" t="s">
        <v>436</v>
      </c>
      <c r="AD31" s="53">
        <v>13.08</v>
      </c>
      <c r="AE31" s="289">
        <v>0.3</v>
      </c>
      <c r="AF31" s="285" t="s">
        <v>137</v>
      </c>
      <c r="AG31" s="285" t="s">
        <v>137</v>
      </c>
      <c r="AH31" s="288" t="s">
        <v>139</v>
      </c>
      <c r="AI31" s="291">
        <v>2.1720000000000002</v>
      </c>
      <c r="AJ31" s="290">
        <v>85.304000000000002</v>
      </c>
      <c r="AK31" s="286" t="s">
        <v>278</v>
      </c>
      <c r="AL31" s="288" t="s">
        <v>558</v>
      </c>
      <c r="AM31" s="299" t="s">
        <v>141</v>
      </c>
      <c r="AN31" s="294" t="s">
        <v>141</v>
      </c>
      <c r="AO31" s="294" t="s">
        <v>141</v>
      </c>
      <c r="AP31" s="300" t="s">
        <v>141</v>
      </c>
      <c r="AQ31" s="301" t="s">
        <v>141</v>
      </c>
      <c r="AR31" s="300" t="s">
        <v>141</v>
      </c>
      <c r="AS31" s="390" t="s">
        <v>561</v>
      </c>
      <c r="AT31" s="284" t="s">
        <v>559</v>
      </c>
      <c r="AU31" s="284" t="s">
        <v>285</v>
      </c>
      <c r="AV31" s="284" t="s">
        <v>287</v>
      </c>
      <c r="AW31" s="285" t="s">
        <v>258</v>
      </c>
      <c r="AX31" s="288" t="s">
        <v>146</v>
      </c>
      <c r="AY31" s="54" t="s">
        <v>141</v>
      </c>
      <c r="AZ31" s="55" t="s">
        <v>141</v>
      </c>
      <c r="BA31" s="287" t="s">
        <v>141</v>
      </c>
      <c r="BB31" s="399" t="s">
        <v>141</v>
      </c>
      <c r="BC31" s="401" t="s">
        <v>594</v>
      </c>
      <c r="BD31" s="3"/>
      <c r="BE31" s="3"/>
      <c r="BF31" s="3"/>
      <c r="BG31" s="3"/>
    </row>
    <row r="32" spans="1:59" s="163" customFormat="1" ht="60" x14ac:dyDescent="0.25">
      <c r="A32" s="66" t="s">
        <v>514</v>
      </c>
      <c r="B32" s="64">
        <v>44058.522393981482</v>
      </c>
      <c r="C32" s="282" t="s">
        <v>590</v>
      </c>
      <c r="D32" s="179" t="s">
        <v>604</v>
      </c>
      <c r="E32" s="285" t="s">
        <v>567</v>
      </c>
      <c r="F32" s="46" t="s">
        <v>598</v>
      </c>
      <c r="G32" s="202" t="s">
        <v>141</v>
      </c>
      <c r="H32" s="202" t="s">
        <v>141</v>
      </c>
      <c r="I32" s="296" t="s">
        <v>141</v>
      </c>
      <c r="J32" s="287" t="s">
        <v>569</v>
      </c>
      <c r="K32" s="288" t="s">
        <v>141</v>
      </c>
      <c r="L32" s="297" t="s">
        <v>141</v>
      </c>
      <c r="M32" s="298" t="s">
        <v>141</v>
      </c>
      <c r="N32" s="51" t="s">
        <v>602</v>
      </c>
      <c r="O32" s="51" t="s">
        <v>570</v>
      </c>
      <c r="P32" s="174" t="s">
        <v>600</v>
      </c>
      <c r="Q32" s="402" t="s">
        <v>599</v>
      </c>
      <c r="R32" s="52">
        <v>1</v>
      </c>
      <c r="S32" s="3">
        <v>2</v>
      </c>
      <c r="T32" s="3" t="s">
        <v>137</v>
      </c>
      <c r="U32" s="53">
        <v>174.33199999999999</v>
      </c>
      <c r="V32" s="52">
        <v>1</v>
      </c>
      <c r="W32" s="3">
        <v>2</v>
      </c>
      <c r="X32" s="3" t="s">
        <v>137</v>
      </c>
      <c r="Y32" s="60">
        <v>75.340999999999994</v>
      </c>
      <c r="Z32" s="209">
        <v>29.43</v>
      </c>
      <c r="AA32" s="210">
        <v>4</v>
      </c>
      <c r="AB32" s="210" t="s">
        <v>139</v>
      </c>
      <c r="AC32" s="211" t="s">
        <v>436</v>
      </c>
      <c r="AD32" s="53">
        <v>13.08</v>
      </c>
      <c r="AE32" s="281" t="s">
        <v>573</v>
      </c>
      <c r="AF32" s="285" t="s">
        <v>137</v>
      </c>
      <c r="AG32" s="285" t="s">
        <v>137</v>
      </c>
      <c r="AH32" s="288" t="s">
        <v>139</v>
      </c>
      <c r="AI32" s="291">
        <v>2.1720000000000002</v>
      </c>
      <c r="AJ32" s="290">
        <v>85.304000000000002</v>
      </c>
      <c r="AK32" s="286" t="s">
        <v>278</v>
      </c>
      <c r="AL32" s="288" t="s">
        <v>558</v>
      </c>
      <c r="AM32" s="299" t="s">
        <v>141</v>
      </c>
      <c r="AN32" s="294" t="s">
        <v>141</v>
      </c>
      <c r="AO32" s="294" t="s">
        <v>141</v>
      </c>
      <c r="AP32" s="300" t="s">
        <v>141</v>
      </c>
      <c r="AQ32" s="301" t="s">
        <v>141</v>
      </c>
      <c r="AR32" s="300" t="s">
        <v>141</v>
      </c>
      <c r="AS32" s="390" t="s">
        <v>561</v>
      </c>
      <c r="AT32" s="284" t="s">
        <v>559</v>
      </c>
      <c r="AU32" s="284" t="s">
        <v>285</v>
      </c>
      <c r="AV32" s="284" t="s">
        <v>287</v>
      </c>
      <c r="AW32" s="285" t="s">
        <v>258</v>
      </c>
      <c r="AX32" s="288" t="s">
        <v>146</v>
      </c>
      <c r="AY32" s="54" t="s">
        <v>141</v>
      </c>
      <c r="AZ32" s="55" t="s">
        <v>141</v>
      </c>
      <c r="BA32" s="287" t="s">
        <v>141</v>
      </c>
      <c r="BB32" s="399" t="s">
        <v>141</v>
      </c>
      <c r="BC32" s="401" t="s">
        <v>603</v>
      </c>
      <c r="BD32" s="3"/>
      <c r="BE32" s="3"/>
      <c r="BF32" s="3"/>
      <c r="BG32" s="3"/>
    </row>
    <row r="33" spans="1:59" s="163" customFormat="1" ht="75" x14ac:dyDescent="0.25">
      <c r="A33" s="66" t="s">
        <v>515</v>
      </c>
      <c r="B33" s="64">
        <v>44061.612877083331</v>
      </c>
      <c r="C33" s="282" t="s">
        <v>605</v>
      </c>
      <c r="D33" s="179">
        <v>44062.481070949078</v>
      </c>
      <c r="E33" s="46" t="s">
        <v>392</v>
      </c>
      <c r="F33" s="46" t="s">
        <v>606</v>
      </c>
      <c r="G33" s="202" t="s">
        <v>141</v>
      </c>
      <c r="H33" s="202" t="s">
        <v>141</v>
      </c>
      <c r="I33" s="296" t="s">
        <v>141</v>
      </c>
      <c r="J33" s="287" t="s">
        <v>569</v>
      </c>
      <c r="K33" s="288" t="s">
        <v>141</v>
      </c>
      <c r="L33" s="297" t="s">
        <v>141</v>
      </c>
      <c r="M33" s="298" t="s">
        <v>141</v>
      </c>
      <c r="N33" s="51" t="s">
        <v>602</v>
      </c>
      <c r="O33" s="51" t="s">
        <v>570</v>
      </c>
      <c r="P33" s="174" t="s">
        <v>415</v>
      </c>
      <c r="Q33" s="402" t="s">
        <v>599</v>
      </c>
      <c r="R33" s="52">
        <v>1</v>
      </c>
      <c r="S33" s="3">
        <v>2</v>
      </c>
      <c r="T33" s="3" t="s">
        <v>137</v>
      </c>
      <c r="U33" s="53">
        <v>174.33199999999999</v>
      </c>
      <c r="V33" s="52">
        <v>1</v>
      </c>
      <c r="W33" s="3">
        <v>2</v>
      </c>
      <c r="X33" s="3" t="s">
        <v>137</v>
      </c>
      <c r="Y33" s="60">
        <v>75.340999999999994</v>
      </c>
      <c r="Z33" s="209">
        <v>29.43</v>
      </c>
      <c r="AA33" s="210">
        <v>4</v>
      </c>
      <c r="AB33" s="210" t="s">
        <v>139</v>
      </c>
      <c r="AC33" s="211" t="s">
        <v>436</v>
      </c>
      <c r="AD33" s="53">
        <v>13.08</v>
      </c>
      <c r="AE33" s="281" t="s">
        <v>573</v>
      </c>
      <c r="AF33" s="285" t="s">
        <v>137</v>
      </c>
      <c r="AG33" s="285" t="s">
        <v>137</v>
      </c>
      <c r="AH33" s="288" t="s">
        <v>139</v>
      </c>
      <c r="AI33" s="291">
        <v>2.1720000000000002</v>
      </c>
      <c r="AJ33" s="290">
        <v>85.304000000000002</v>
      </c>
      <c r="AK33" s="286" t="s">
        <v>278</v>
      </c>
      <c r="AL33" s="288" t="s">
        <v>558</v>
      </c>
      <c r="AM33" s="299" t="s">
        <v>141</v>
      </c>
      <c r="AN33" s="294" t="s">
        <v>141</v>
      </c>
      <c r="AO33" s="294" t="s">
        <v>141</v>
      </c>
      <c r="AP33" s="300" t="s">
        <v>141</v>
      </c>
      <c r="AQ33" s="301" t="s">
        <v>141</v>
      </c>
      <c r="AR33" s="300" t="s">
        <v>141</v>
      </c>
      <c r="AS33" s="391" t="s">
        <v>562</v>
      </c>
      <c r="AT33" s="284" t="s">
        <v>559</v>
      </c>
      <c r="AU33" s="284" t="s">
        <v>285</v>
      </c>
      <c r="AV33" s="284" t="s">
        <v>287</v>
      </c>
      <c r="AW33" s="285" t="s">
        <v>258</v>
      </c>
      <c r="AX33" s="288" t="s">
        <v>146</v>
      </c>
      <c r="AY33" s="54" t="s">
        <v>141</v>
      </c>
      <c r="AZ33" s="55" t="s">
        <v>141</v>
      </c>
      <c r="BA33" s="287" t="s">
        <v>141</v>
      </c>
      <c r="BB33" s="399" t="s">
        <v>141</v>
      </c>
      <c r="BC33" s="401" t="s">
        <v>609</v>
      </c>
      <c r="BD33" s="3"/>
      <c r="BE33" s="3"/>
      <c r="BF33" s="3"/>
      <c r="BG33" s="3"/>
    </row>
    <row r="34" spans="1:59" s="163" customFormat="1" ht="75" x14ac:dyDescent="0.25">
      <c r="A34" s="66" t="s">
        <v>516</v>
      </c>
      <c r="B34" s="64">
        <v>44062.483151388886</v>
      </c>
      <c r="C34" s="282" t="s">
        <v>611</v>
      </c>
      <c r="D34" s="179" t="s">
        <v>613</v>
      </c>
      <c r="E34" s="285" t="s">
        <v>567</v>
      </c>
      <c r="F34" s="46" t="s">
        <v>610</v>
      </c>
      <c r="G34" s="202" t="s">
        <v>141</v>
      </c>
      <c r="H34" s="202" t="s">
        <v>141</v>
      </c>
      <c r="I34" s="296" t="s">
        <v>141</v>
      </c>
      <c r="J34" s="287" t="s">
        <v>569</v>
      </c>
      <c r="K34" s="288" t="s">
        <v>141</v>
      </c>
      <c r="L34" s="297" t="s">
        <v>141</v>
      </c>
      <c r="M34" s="298" t="s">
        <v>141</v>
      </c>
      <c r="N34" s="50" t="s">
        <v>241</v>
      </c>
      <c r="O34" s="51" t="s">
        <v>570</v>
      </c>
      <c r="P34" s="174" t="s">
        <v>414</v>
      </c>
      <c r="Q34" s="402" t="s">
        <v>599</v>
      </c>
      <c r="R34" s="52">
        <v>1</v>
      </c>
      <c r="S34" s="3">
        <v>2</v>
      </c>
      <c r="T34" s="3" t="s">
        <v>137</v>
      </c>
      <c r="U34" s="53">
        <v>174.33199999999999</v>
      </c>
      <c r="V34" s="52">
        <v>1</v>
      </c>
      <c r="W34" s="3">
        <v>2</v>
      </c>
      <c r="X34" s="3" t="s">
        <v>137</v>
      </c>
      <c r="Y34" s="60">
        <v>75.340999999999994</v>
      </c>
      <c r="Z34" s="209">
        <v>29.43</v>
      </c>
      <c r="AA34" s="210">
        <v>4</v>
      </c>
      <c r="AB34" s="210" t="s">
        <v>139</v>
      </c>
      <c r="AC34" s="211" t="s">
        <v>436</v>
      </c>
      <c r="AD34" s="53">
        <v>13.08</v>
      </c>
      <c r="AE34" s="289">
        <v>0.3</v>
      </c>
      <c r="AF34" s="285" t="s">
        <v>137</v>
      </c>
      <c r="AG34" s="285" t="s">
        <v>137</v>
      </c>
      <c r="AH34" s="288" t="s">
        <v>139</v>
      </c>
      <c r="AI34" s="291">
        <v>2.1720000000000002</v>
      </c>
      <c r="AJ34" s="290">
        <v>85.304000000000002</v>
      </c>
      <c r="AK34" s="286" t="s">
        <v>278</v>
      </c>
      <c r="AL34" s="288" t="s">
        <v>558</v>
      </c>
      <c r="AM34" s="299" t="s">
        <v>141</v>
      </c>
      <c r="AN34" s="294" t="s">
        <v>141</v>
      </c>
      <c r="AO34" s="294" t="s">
        <v>141</v>
      </c>
      <c r="AP34" s="300" t="s">
        <v>141</v>
      </c>
      <c r="AQ34" s="301" t="s">
        <v>141</v>
      </c>
      <c r="AR34" s="300" t="s">
        <v>141</v>
      </c>
      <c r="AS34" s="391" t="s">
        <v>562</v>
      </c>
      <c r="AT34" s="284" t="s">
        <v>559</v>
      </c>
      <c r="AU34" s="284" t="s">
        <v>285</v>
      </c>
      <c r="AV34" s="284" t="s">
        <v>287</v>
      </c>
      <c r="AW34" s="285" t="s">
        <v>258</v>
      </c>
      <c r="AX34" s="288" t="s">
        <v>146</v>
      </c>
      <c r="AY34" s="54" t="s">
        <v>141</v>
      </c>
      <c r="AZ34" s="55" t="s">
        <v>141</v>
      </c>
      <c r="BA34" s="287" t="s">
        <v>141</v>
      </c>
      <c r="BB34" s="399" t="s">
        <v>141</v>
      </c>
      <c r="BC34" s="401" t="s">
        <v>612</v>
      </c>
      <c r="BD34" s="3"/>
      <c r="BE34" s="3"/>
      <c r="BF34" s="3"/>
      <c r="BG34" s="3"/>
    </row>
    <row r="35" spans="1:59" s="163" customFormat="1" x14ac:dyDescent="0.25">
      <c r="A35" s="66" t="s">
        <v>517</v>
      </c>
      <c r="B35" s="51"/>
      <c r="C35" s="51"/>
      <c r="D35" s="46"/>
      <c r="E35" s="46"/>
      <c r="F35" s="46"/>
      <c r="G35" s="46"/>
      <c r="H35" s="46"/>
      <c r="I35" s="172"/>
      <c r="J35" s="54"/>
      <c r="K35" s="55"/>
      <c r="L35" s="51"/>
      <c r="M35" s="53"/>
      <c r="N35" s="50"/>
      <c r="O35" s="51"/>
      <c r="P35" s="174"/>
      <c r="Q35" s="54"/>
      <c r="R35" s="52"/>
      <c r="S35" s="3"/>
      <c r="T35" s="3"/>
      <c r="U35" s="53"/>
      <c r="V35" s="52"/>
      <c r="W35" s="3"/>
      <c r="X35" s="3"/>
      <c r="Y35" s="53"/>
      <c r="Z35" s="52"/>
      <c r="AA35" s="3"/>
      <c r="AB35" s="3"/>
      <c r="AC35" s="53"/>
      <c r="AD35" s="53"/>
      <c r="AE35" s="52"/>
      <c r="AF35" s="3"/>
      <c r="AG35" s="3"/>
      <c r="AH35" s="53"/>
      <c r="AI35" s="52"/>
      <c r="AJ35" s="3"/>
      <c r="AK35" s="174"/>
      <c r="AL35" s="53"/>
      <c r="AM35" s="52"/>
      <c r="AN35" s="3"/>
      <c r="AO35" s="3"/>
      <c r="AP35" s="53"/>
      <c r="AQ35" s="52"/>
      <c r="AR35" s="55"/>
      <c r="AS35" s="52"/>
      <c r="AT35" s="50"/>
      <c r="AU35" s="50"/>
      <c r="AV35" s="50"/>
      <c r="AW35" s="3"/>
      <c r="AX35" s="53"/>
      <c r="AY35" s="52"/>
      <c r="AZ35" s="53"/>
      <c r="BA35" s="54"/>
      <c r="BB35" s="53"/>
      <c r="BC35" s="51"/>
      <c r="BD35" s="3"/>
      <c r="BE35" s="3"/>
      <c r="BF35" s="3"/>
      <c r="BG35" s="3"/>
    </row>
    <row r="36" spans="1:59" s="163" customFormat="1" x14ac:dyDescent="0.25">
      <c r="A36" s="66" t="s">
        <v>518</v>
      </c>
      <c r="B36" s="51"/>
      <c r="C36" s="51"/>
      <c r="D36" s="46"/>
      <c r="E36" s="46"/>
      <c r="F36" s="46"/>
      <c r="G36" s="46"/>
      <c r="H36" s="46"/>
      <c r="I36" s="172"/>
      <c r="J36" s="54"/>
      <c r="K36" s="55"/>
      <c r="L36" s="51"/>
      <c r="M36" s="53"/>
      <c r="N36" s="50"/>
      <c r="O36" s="51"/>
      <c r="P36" s="174"/>
      <c r="Q36" s="54"/>
      <c r="R36" s="52"/>
      <c r="S36" s="3"/>
      <c r="T36" s="3"/>
      <c r="U36" s="53"/>
      <c r="V36" s="52"/>
      <c r="W36" s="3"/>
      <c r="X36" s="3"/>
      <c r="Y36" s="53"/>
      <c r="Z36" s="52"/>
      <c r="AA36" s="3"/>
      <c r="AB36" s="3"/>
      <c r="AC36" s="53"/>
      <c r="AD36" s="53"/>
      <c r="AE36" s="52"/>
      <c r="AF36" s="3"/>
      <c r="AG36" s="3"/>
      <c r="AH36" s="53"/>
      <c r="AI36" s="52"/>
      <c r="AJ36" s="3"/>
      <c r="AK36" s="174"/>
      <c r="AL36" s="53"/>
      <c r="AM36" s="52"/>
      <c r="AN36" s="3"/>
      <c r="AO36" s="3"/>
      <c r="AP36" s="53"/>
      <c r="AQ36" s="52"/>
      <c r="AR36" s="55"/>
      <c r="AS36" s="52"/>
      <c r="AT36" s="50"/>
      <c r="AU36" s="50"/>
      <c r="AV36" s="50"/>
      <c r="AW36" s="3"/>
      <c r="AX36" s="53"/>
      <c r="AY36" s="52"/>
      <c r="AZ36" s="53"/>
      <c r="BA36" s="54"/>
      <c r="BB36" s="53"/>
      <c r="BC36" s="51"/>
      <c r="BD36" s="3"/>
      <c r="BE36" s="3"/>
      <c r="BF36" s="3"/>
      <c r="BG36" s="3"/>
    </row>
    <row r="37" spans="1:59" s="163" customFormat="1" x14ac:dyDescent="0.25">
      <c r="A37" s="66" t="s">
        <v>519</v>
      </c>
      <c r="B37" s="51"/>
      <c r="C37" s="51"/>
      <c r="D37" s="46"/>
      <c r="E37" s="46"/>
      <c r="F37" s="46"/>
      <c r="G37" s="46"/>
      <c r="H37" s="46"/>
      <c r="I37" s="172"/>
      <c r="J37" s="54"/>
      <c r="K37" s="55"/>
      <c r="L37" s="51"/>
      <c r="M37" s="53"/>
      <c r="N37" s="50"/>
      <c r="O37" s="51"/>
      <c r="P37" s="174"/>
      <c r="Q37" s="54"/>
      <c r="R37" s="52"/>
      <c r="S37" s="3"/>
      <c r="T37" s="3"/>
      <c r="U37" s="53"/>
      <c r="V37" s="52"/>
      <c r="W37" s="3"/>
      <c r="X37" s="3"/>
      <c r="Y37" s="53"/>
      <c r="Z37" s="52"/>
      <c r="AA37" s="3"/>
      <c r="AB37" s="3"/>
      <c r="AC37" s="53"/>
      <c r="AD37" s="53"/>
      <c r="AE37" s="52"/>
      <c r="AF37" s="3"/>
      <c r="AG37" s="3"/>
      <c r="AH37" s="53"/>
      <c r="AI37" s="52"/>
      <c r="AJ37" s="3"/>
      <c r="AK37" s="174"/>
      <c r="AL37" s="53"/>
      <c r="AM37" s="52"/>
      <c r="AN37" s="3"/>
      <c r="AO37" s="3"/>
      <c r="AP37" s="53"/>
      <c r="AQ37" s="52"/>
      <c r="AR37" s="55"/>
      <c r="AS37" s="52"/>
      <c r="AT37" s="50"/>
      <c r="AU37" s="50"/>
      <c r="AV37" s="50"/>
      <c r="AW37" s="3"/>
      <c r="AX37" s="53"/>
      <c r="AY37" s="52"/>
      <c r="AZ37" s="53"/>
      <c r="BA37" s="54"/>
      <c r="BB37" s="53"/>
      <c r="BC37" s="51"/>
      <c r="BD37" s="3"/>
      <c r="BE37" s="3"/>
      <c r="BF37" s="3"/>
      <c r="BG37" s="3"/>
    </row>
    <row r="38" spans="1:59" s="163" customFormat="1" x14ac:dyDescent="0.25">
      <c r="A38" s="66" t="s">
        <v>520</v>
      </c>
      <c r="B38" s="51"/>
      <c r="C38" s="51"/>
      <c r="D38" s="46"/>
      <c r="E38" s="46"/>
      <c r="F38" s="46"/>
      <c r="G38" s="46"/>
      <c r="H38" s="46"/>
      <c r="I38" s="172"/>
      <c r="J38" s="54"/>
      <c r="K38" s="55"/>
      <c r="L38" s="51"/>
      <c r="M38" s="53"/>
      <c r="N38" s="50"/>
      <c r="O38" s="51"/>
      <c r="P38" s="174"/>
      <c r="Q38" s="54"/>
      <c r="R38" s="52"/>
      <c r="S38" s="3"/>
      <c r="T38" s="3"/>
      <c r="U38" s="53"/>
      <c r="V38" s="52"/>
      <c r="W38" s="3"/>
      <c r="X38" s="3"/>
      <c r="Y38" s="53"/>
      <c r="Z38" s="52"/>
      <c r="AA38" s="3"/>
      <c r="AB38" s="3"/>
      <c r="AC38" s="53"/>
      <c r="AD38" s="53"/>
      <c r="AE38" s="52"/>
      <c r="AF38" s="3"/>
      <c r="AG38" s="3"/>
      <c r="AH38" s="53"/>
      <c r="AI38" s="52"/>
      <c r="AJ38" s="3"/>
      <c r="AK38" s="174"/>
      <c r="AL38" s="53"/>
      <c r="AM38" s="52"/>
      <c r="AN38" s="3"/>
      <c r="AO38" s="3"/>
      <c r="AP38" s="53"/>
      <c r="AQ38" s="52"/>
      <c r="AR38" s="55"/>
      <c r="AS38" s="52"/>
      <c r="AT38" s="50"/>
      <c r="AU38" s="50"/>
      <c r="AV38" s="50"/>
      <c r="AW38" s="3"/>
      <c r="AX38" s="53"/>
      <c r="AY38" s="52"/>
      <c r="AZ38" s="53"/>
      <c r="BA38" s="54"/>
      <c r="BB38" s="53"/>
      <c r="BC38" s="51"/>
      <c r="BD38" s="3"/>
      <c r="BE38" s="3"/>
      <c r="BF38" s="3"/>
      <c r="BG38" s="3"/>
    </row>
    <row r="39" spans="1:59" s="163" customFormat="1" x14ac:dyDescent="0.25">
      <c r="A39" s="66" t="s">
        <v>521</v>
      </c>
      <c r="B39" s="51"/>
      <c r="C39" s="51"/>
      <c r="D39" s="46"/>
      <c r="E39" s="46"/>
      <c r="F39" s="46"/>
      <c r="G39" s="46"/>
      <c r="H39" s="46"/>
      <c r="I39" s="172"/>
      <c r="J39" s="54"/>
      <c r="K39" s="55"/>
      <c r="L39" s="51"/>
      <c r="M39" s="53"/>
      <c r="N39" s="50"/>
      <c r="O39" s="51"/>
      <c r="P39" s="174"/>
      <c r="Q39" s="54"/>
      <c r="R39" s="52"/>
      <c r="S39" s="3"/>
      <c r="T39" s="3"/>
      <c r="U39" s="53"/>
      <c r="V39" s="52"/>
      <c r="W39" s="3"/>
      <c r="X39" s="3"/>
      <c r="Y39" s="53"/>
      <c r="Z39" s="52"/>
      <c r="AA39" s="3"/>
      <c r="AB39" s="3"/>
      <c r="AC39" s="53"/>
      <c r="AD39" s="53"/>
      <c r="AE39" s="52"/>
      <c r="AF39" s="3"/>
      <c r="AG39" s="3"/>
      <c r="AH39" s="53"/>
      <c r="AI39" s="52"/>
      <c r="AJ39" s="3"/>
      <c r="AK39" s="174"/>
      <c r="AL39" s="53"/>
      <c r="AM39" s="52"/>
      <c r="AN39" s="3"/>
      <c r="AO39" s="3"/>
      <c r="AP39" s="53"/>
      <c r="AQ39" s="52"/>
      <c r="AR39" s="55"/>
      <c r="AS39" s="52"/>
      <c r="AT39" s="50"/>
      <c r="AU39" s="50"/>
      <c r="AV39" s="50"/>
      <c r="AW39" s="3"/>
      <c r="AX39" s="53"/>
      <c r="AY39" s="52"/>
      <c r="AZ39" s="53"/>
      <c r="BA39" s="54"/>
      <c r="BB39" s="53"/>
      <c r="BC39" s="51"/>
      <c r="BD39" s="3"/>
      <c r="BE39" s="3"/>
      <c r="BF39" s="3"/>
      <c r="BG39" s="3"/>
    </row>
    <row r="40" spans="1:59" s="163" customFormat="1" x14ac:dyDescent="0.25">
      <c r="A40" s="66" t="s">
        <v>522</v>
      </c>
      <c r="B40" s="51"/>
      <c r="C40" s="51"/>
      <c r="D40" s="46"/>
      <c r="E40" s="46"/>
      <c r="F40" s="46"/>
      <c r="G40" s="46"/>
      <c r="H40" s="46"/>
      <c r="I40" s="172"/>
      <c r="J40" s="54"/>
      <c r="K40" s="55"/>
      <c r="L40" s="51"/>
      <c r="M40" s="53"/>
      <c r="N40" s="50"/>
      <c r="O40" s="51"/>
      <c r="P40" s="174"/>
      <c r="Q40" s="54"/>
      <c r="R40" s="52"/>
      <c r="S40" s="3"/>
      <c r="T40" s="3"/>
      <c r="U40" s="53"/>
      <c r="V40" s="52"/>
      <c r="W40" s="3"/>
      <c r="X40" s="3"/>
      <c r="Y40" s="53"/>
      <c r="Z40" s="52"/>
      <c r="AA40" s="3"/>
      <c r="AB40" s="3"/>
      <c r="AC40" s="53"/>
      <c r="AD40" s="53"/>
      <c r="AE40" s="52"/>
      <c r="AF40" s="3"/>
      <c r="AG40" s="3"/>
      <c r="AH40" s="53"/>
      <c r="AI40" s="52"/>
      <c r="AJ40" s="3"/>
      <c r="AK40" s="174"/>
      <c r="AL40" s="53"/>
      <c r="AM40" s="52"/>
      <c r="AN40" s="3"/>
      <c r="AO40" s="3"/>
      <c r="AP40" s="53"/>
      <c r="AQ40" s="52"/>
      <c r="AR40" s="55"/>
      <c r="AS40" s="52"/>
      <c r="AT40" s="50"/>
      <c r="AU40" s="50"/>
      <c r="AV40" s="50"/>
      <c r="AW40" s="3"/>
      <c r="AX40" s="53"/>
      <c r="AY40" s="52"/>
      <c r="AZ40" s="53"/>
      <c r="BA40" s="54"/>
      <c r="BB40" s="53"/>
      <c r="BC40" s="51"/>
      <c r="BD40" s="3"/>
      <c r="BE40" s="3"/>
      <c r="BF40" s="3"/>
      <c r="BG40" s="3"/>
    </row>
    <row r="41" spans="1:59" s="163" customFormat="1" x14ac:dyDescent="0.25">
      <c r="A41" s="66" t="s">
        <v>523</v>
      </c>
      <c r="B41" s="51"/>
      <c r="C41" s="51"/>
      <c r="D41" s="46"/>
      <c r="E41" s="46"/>
      <c r="F41" s="46"/>
      <c r="G41" s="46"/>
      <c r="H41" s="46"/>
      <c r="I41" s="172"/>
      <c r="J41" s="54"/>
      <c r="K41" s="55"/>
      <c r="L41" s="51"/>
      <c r="M41" s="53"/>
      <c r="N41" s="50"/>
      <c r="O41" s="51"/>
      <c r="P41" s="174"/>
      <c r="Q41" s="54"/>
      <c r="R41" s="52"/>
      <c r="S41" s="3"/>
      <c r="T41" s="3"/>
      <c r="U41" s="53"/>
      <c r="V41" s="52"/>
      <c r="W41" s="3"/>
      <c r="X41" s="3"/>
      <c r="Y41" s="53"/>
      <c r="Z41" s="52"/>
      <c r="AA41" s="3"/>
      <c r="AB41" s="3"/>
      <c r="AC41" s="53"/>
      <c r="AD41" s="53"/>
      <c r="AE41" s="52"/>
      <c r="AF41" s="3"/>
      <c r="AG41" s="3"/>
      <c r="AH41" s="53"/>
      <c r="AI41" s="52"/>
      <c r="AJ41" s="3"/>
      <c r="AK41" s="174"/>
      <c r="AL41" s="53"/>
      <c r="AM41" s="52"/>
      <c r="AN41" s="3"/>
      <c r="AO41" s="3"/>
      <c r="AP41" s="53"/>
      <c r="AQ41" s="52"/>
      <c r="AR41" s="55"/>
      <c r="AS41" s="52"/>
      <c r="AT41" s="50"/>
      <c r="AU41" s="50"/>
      <c r="AV41" s="50"/>
      <c r="AW41" s="3"/>
      <c r="AX41" s="53"/>
      <c r="AY41" s="52"/>
      <c r="AZ41" s="53"/>
      <c r="BA41" s="54"/>
      <c r="BB41" s="53"/>
      <c r="BC41" s="51"/>
      <c r="BD41" s="3"/>
      <c r="BE41" s="3"/>
      <c r="BF41" s="3"/>
      <c r="BG41" s="3"/>
    </row>
    <row r="42" spans="1:59" s="163" customFormat="1" x14ac:dyDescent="0.25">
      <c r="A42" s="66" t="s">
        <v>524</v>
      </c>
      <c r="B42" s="51"/>
      <c r="C42" s="51"/>
      <c r="D42" s="46"/>
      <c r="E42" s="46"/>
      <c r="F42" s="46"/>
      <c r="G42" s="46"/>
      <c r="H42" s="46"/>
      <c r="I42" s="172"/>
      <c r="J42" s="54"/>
      <c r="K42" s="55"/>
      <c r="L42" s="51"/>
      <c r="M42" s="53"/>
      <c r="N42" s="50"/>
      <c r="O42" s="51"/>
      <c r="P42" s="174"/>
      <c r="Q42" s="54"/>
      <c r="R42" s="52"/>
      <c r="S42" s="3"/>
      <c r="T42" s="3"/>
      <c r="U42" s="53"/>
      <c r="V42" s="52"/>
      <c r="W42" s="3"/>
      <c r="X42" s="3"/>
      <c r="Y42" s="53"/>
      <c r="Z42" s="52"/>
      <c r="AA42" s="3"/>
      <c r="AB42" s="3"/>
      <c r="AC42" s="53"/>
      <c r="AD42" s="53"/>
      <c r="AE42" s="52"/>
      <c r="AF42" s="3"/>
      <c r="AG42" s="3"/>
      <c r="AH42" s="53"/>
      <c r="AI42" s="52"/>
      <c r="AJ42" s="3"/>
      <c r="AK42" s="174"/>
      <c r="AL42" s="53"/>
      <c r="AM42" s="52"/>
      <c r="AN42" s="3"/>
      <c r="AO42" s="3"/>
      <c r="AP42" s="53"/>
      <c r="AQ42" s="52"/>
      <c r="AR42" s="55"/>
      <c r="AS42" s="52"/>
      <c r="AT42" s="50"/>
      <c r="AU42" s="50"/>
      <c r="AV42" s="50"/>
      <c r="AW42" s="3"/>
      <c r="AX42" s="53"/>
      <c r="AY42" s="52"/>
      <c r="AZ42" s="53"/>
      <c r="BA42" s="54"/>
      <c r="BB42" s="53"/>
      <c r="BC42" s="51"/>
      <c r="BD42" s="3"/>
      <c r="BE42" s="3"/>
      <c r="BF42" s="3"/>
      <c r="BG42" s="3"/>
    </row>
    <row r="43" spans="1:59" s="163" customFormat="1" x14ac:dyDescent="0.25">
      <c r="A43" s="66" t="s">
        <v>525</v>
      </c>
      <c r="B43" s="51"/>
      <c r="C43" s="51"/>
      <c r="D43" s="46"/>
      <c r="E43" s="46"/>
      <c r="F43" s="46"/>
      <c r="G43" s="46"/>
      <c r="H43" s="46"/>
      <c r="I43" s="172"/>
      <c r="J43" s="54"/>
      <c r="K43" s="55"/>
      <c r="L43" s="51"/>
      <c r="M43" s="53"/>
      <c r="N43" s="50"/>
      <c r="O43" s="51"/>
      <c r="P43" s="174"/>
      <c r="Q43" s="54"/>
      <c r="R43" s="52"/>
      <c r="S43" s="3"/>
      <c r="T43" s="3"/>
      <c r="U43" s="53"/>
      <c r="V43" s="52"/>
      <c r="W43" s="3"/>
      <c r="X43" s="3"/>
      <c r="Y43" s="53"/>
      <c r="Z43" s="52"/>
      <c r="AA43" s="3"/>
      <c r="AB43" s="3"/>
      <c r="AC43" s="53"/>
      <c r="AD43" s="53"/>
      <c r="AE43" s="52"/>
      <c r="AF43" s="3"/>
      <c r="AG43" s="3"/>
      <c r="AH43" s="53"/>
      <c r="AI43" s="52"/>
      <c r="AJ43" s="3"/>
      <c r="AK43" s="174"/>
      <c r="AL43" s="53"/>
      <c r="AM43" s="52"/>
      <c r="AN43" s="3"/>
      <c r="AO43" s="3"/>
      <c r="AP43" s="53"/>
      <c r="AQ43" s="52"/>
      <c r="AR43" s="55"/>
      <c r="AS43" s="52"/>
      <c r="AT43" s="50"/>
      <c r="AU43" s="50"/>
      <c r="AV43" s="50"/>
      <c r="AW43" s="3"/>
      <c r="AX43" s="53"/>
      <c r="AY43" s="52"/>
      <c r="AZ43" s="53"/>
      <c r="BA43" s="54"/>
      <c r="BB43" s="53"/>
      <c r="BC43" s="51"/>
      <c r="BD43" s="3"/>
      <c r="BE43" s="3"/>
      <c r="BF43" s="3"/>
      <c r="BG43" s="3"/>
    </row>
    <row r="44" spans="1:59" s="163" customFormat="1" x14ac:dyDescent="0.25">
      <c r="A44" s="66" t="s">
        <v>526</v>
      </c>
      <c r="B44" s="51"/>
      <c r="C44" s="51"/>
      <c r="D44" s="46"/>
      <c r="E44" s="46"/>
      <c r="F44" s="46"/>
      <c r="G44" s="46"/>
      <c r="H44" s="46"/>
      <c r="I44" s="172"/>
      <c r="J44" s="54"/>
      <c r="K44" s="55"/>
      <c r="L44" s="51"/>
      <c r="M44" s="53"/>
      <c r="N44" s="50"/>
      <c r="O44" s="51"/>
      <c r="P44" s="174"/>
      <c r="Q44" s="54"/>
      <c r="R44" s="52"/>
      <c r="S44" s="3"/>
      <c r="T44" s="3"/>
      <c r="U44" s="53"/>
      <c r="V44" s="52"/>
      <c r="W44" s="3"/>
      <c r="X44" s="3"/>
      <c r="Y44" s="53"/>
      <c r="Z44" s="52"/>
      <c r="AA44" s="3"/>
      <c r="AB44" s="3"/>
      <c r="AC44" s="53"/>
      <c r="AD44" s="53"/>
      <c r="AE44" s="52"/>
      <c r="AF44" s="3"/>
      <c r="AG44" s="3"/>
      <c r="AH44" s="53"/>
      <c r="AI44" s="52"/>
      <c r="AJ44" s="3"/>
      <c r="AK44" s="174"/>
      <c r="AL44" s="53"/>
      <c r="AM44" s="52"/>
      <c r="AN44" s="3"/>
      <c r="AO44" s="3"/>
      <c r="AP44" s="53"/>
      <c r="AQ44" s="52"/>
      <c r="AR44" s="55"/>
      <c r="AS44" s="52"/>
      <c r="AT44" s="50"/>
      <c r="AU44" s="50"/>
      <c r="AV44" s="50"/>
      <c r="AW44" s="3"/>
      <c r="AX44" s="53"/>
      <c r="AY44" s="52"/>
      <c r="AZ44" s="53"/>
      <c r="BA44" s="54"/>
      <c r="BB44" s="53"/>
      <c r="BC44" s="51"/>
      <c r="BD44" s="3"/>
      <c r="BE44" s="3"/>
      <c r="BF44" s="3"/>
      <c r="BG44" s="3"/>
    </row>
    <row r="45" spans="1:59" s="163" customFormat="1" x14ac:dyDescent="0.25">
      <c r="A45" s="66" t="s">
        <v>527</v>
      </c>
      <c r="B45" s="51"/>
      <c r="C45" s="51"/>
      <c r="D45" s="46"/>
      <c r="E45" s="46"/>
      <c r="F45" s="46"/>
      <c r="G45" s="46"/>
      <c r="H45" s="46"/>
      <c r="I45" s="172"/>
      <c r="J45" s="54"/>
      <c r="K45" s="55"/>
      <c r="L45" s="51"/>
      <c r="M45" s="53"/>
      <c r="N45" s="50"/>
      <c r="O45" s="51"/>
      <c r="P45" s="174"/>
      <c r="Q45" s="54"/>
      <c r="R45" s="52"/>
      <c r="S45" s="3"/>
      <c r="T45" s="3"/>
      <c r="U45" s="53"/>
      <c r="V45" s="52"/>
      <c r="W45" s="3"/>
      <c r="X45" s="3"/>
      <c r="Y45" s="53"/>
      <c r="Z45" s="52"/>
      <c r="AA45" s="3"/>
      <c r="AB45" s="3"/>
      <c r="AC45" s="53"/>
      <c r="AD45" s="53"/>
      <c r="AE45" s="52"/>
      <c r="AF45" s="3"/>
      <c r="AG45" s="3"/>
      <c r="AH45" s="53"/>
      <c r="AI45" s="52"/>
      <c r="AJ45" s="3"/>
      <c r="AK45" s="174"/>
      <c r="AL45" s="53"/>
      <c r="AM45" s="52"/>
      <c r="AN45" s="3"/>
      <c r="AO45" s="3"/>
      <c r="AP45" s="53"/>
      <c r="AQ45" s="52"/>
      <c r="AR45" s="55"/>
      <c r="AS45" s="52"/>
      <c r="AT45" s="50"/>
      <c r="AU45" s="50"/>
      <c r="AV45" s="50"/>
      <c r="AW45" s="3"/>
      <c r="AX45" s="53"/>
      <c r="AY45" s="52"/>
      <c r="AZ45" s="53"/>
      <c r="BA45" s="54"/>
      <c r="BB45" s="53"/>
      <c r="BC45" s="51"/>
      <c r="BD45" s="3"/>
      <c r="BE45" s="3"/>
      <c r="BF45" s="3"/>
      <c r="BG45" s="3"/>
    </row>
    <row r="46" spans="1:59" s="163" customFormat="1" x14ac:dyDescent="0.25">
      <c r="A46" s="66" t="s">
        <v>528</v>
      </c>
      <c r="B46" s="51"/>
      <c r="C46" s="51"/>
      <c r="D46" s="46"/>
      <c r="E46" s="46"/>
      <c r="F46" s="46"/>
      <c r="G46" s="46"/>
      <c r="H46" s="46"/>
      <c r="I46" s="172"/>
      <c r="J46" s="54"/>
      <c r="K46" s="55"/>
      <c r="L46" s="51"/>
      <c r="M46" s="53"/>
      <c r="N46" s="50"/>
      <c r="O46" s="51"/>
      <c r="P46" s="174"/>
      <c r="Q46" s="54"/>
      <c r="R46" s="52"/>
      <c r="S46" s="3"/>
      <c r="T46" s="3"/>
      <c r="U46" s="53"/>
      <c r="V46" s="52"/>
      <c r="W46" s="3"/>
      <c r="X46" s="3"/>
      <c r="Y46" s="53"/>
      <c r="Z46" s="52"/>
      <c r="AA46" s="3"/>
      <c r="AB46" s="3"/>
      <c r="AC46" s="53"/>
      <c r="AD46" s="53"/>
      <c r="AE46" s="52"/>
      <c r="AF46" s="3"/>
      <c r="AG46" s="3"/>
      <c r="AH46" s="53"/>
      <c r="AI46" s="52"/>
      <c r="AJ46" s="3"/>
      <c r="AK46" s="174"/>
      <c r="AL46" s="53"/>
      <c r="AM46" s="52"/>
      <c r="AN46" s="3"/>
      <c r="AO46" s="3"/>
      <c r="AP46" s="53"/>
      <c r="AQ46" s="52"/>
      <c r="AR46" s="55"/>
      <c r="AS46" s="52"/>
      <c r="AT46" s="50"/>
      <c r="AU46" s="50"/>
      <c r="AV46" s="50"/>
      <c r="AW46" s="3"/>
      <c r="AX46" s="53"/>
      <c r="AY46" s="52"/>
      <c r="AZ46" s="53"/>
      <c r="BA46" s="54"/>
      <c r="BB46" s="53"/>
      <c r="BC46" s="51"/>
      <c r="BD46" s="3"/>
      <c r="BE46" s="3"/>
      <c r="BF46" s="3"/>
      <c r="BG46" s="3"/>
    </row>
    <row r="47" spans="1:59" s="163" customFormat="1" x14ac:dyDescent="0.25">
      <c r="A47" s="66" t="s">
        <v>529</v>
      </c>
      <c r="B47" s="51"/>
      <c r="C47" s="51"/>
      <c r="D47" s="46"/>
      <c r="E47" s="46"/>
      <c r="F47" s="46"/>
      <c r="G47" s="46"/>
      <c r="H47" s="46"/>
      <c r="I47" s="172"/>
      <c r="J47" s="54"/>
      <c r="K47" s="55"/>
      <c r="L47" s="51"/>
      <c r="M47" s="53"/>
      <c r="N47" s="50"/>
      <c r="O47" s="51"/>
      <c r="P47" s="174"/>
      <c r="Q47" s="54"/>
      <c r="R47" s="52"/>
      <c r="S47" s="3"/>
      <c r="T47" s="3"/>
      <c r="U47" s="53"/>
      <c r="V47" s="52"/>
      <c r="W47" s="3"/>
      <c r="X47" s="3"/>
      <c r="Y47" s="53"/>
      <c r="Z47" s="52"/>
      <c r="AA47" s="3"/>
      <c r="AB47" s="3"/>
      <c r="AC47" s="53"/>
      <c r="AD47" s="53"/>
      <c r="AE47" s="52"/>
      <c r="AF47" s="3"/>
      <c r="AG47" s="3"/>
      <c r="AH47" s="53"/>
      <c r="AI47" s="52"/>
      <c r="AJ47" s="3"/>
      <c r="AK47" s="174"/>
      <c r="AL47" s="53"/>
      <c r="AM47" s="52"/>
      <c r="AN47" s="3"/>
      <c r="AO47" s="3"/>
      <c r="AP47" s="53"/>
      <c r="AQ47" s="52"/>
      <c r="AR47" s="55"/>
      <c r="AS47" s="52"/>
      <c r="AT47" s="50"/>
      <c r="AU47" s="50"/>
      <c r="AV47" s="50"/>
      <c r="AW47" s="3"/>
      <c r="AX47" s="53"/>
      <c r="AY47" s="52"/>
      <c r="AZ47" s="53"/>
      <c r="BA47" s="54"/>
      <c r="BB47" s="53"/>
      <c r="BC47" s="51"/>
      <c r="BD47" s="3"/>
      <c r="BE47" s="3"/>
      <c r="BF47" s="3"/>
      <c r="BG47" s="3"/>
    </row>
    <row r="48" spans="1:59" s="163" customFormat="1" x14ac:dyDescent="0.25">
      <c r="A48" s="66" t="s">
        <v>530</v>
      </c>
      <c r="B48" s="51"/>
      <c r="C48" s="51"/>
      <c r="D48" s="46"/>
      <c r="E48" s="46"/>
      <c r="F48" s="46"/>
      <c r="G48" s="46"/>
      <c r="H48" s="46"/>
      <c r="I48" s="172"/>
      <c r="J48" s="54"/>
      <c r="K48" s="55"/>
      <c r="L48" s="51"/>
      <c r="M48" s="53"/>
      <c r="N48" s="50"/>
      <c r="O48" s="51"/>
      <c r="P48" s="174"/>
      <c r="Q48" s="54"/>
      <c r="R48" s="52"/>
      <c r="S48" s="3"/>
      <c r="T48" s="3"/>
      <c r="U48" s="53"/>
      <c r="V48" s="52"/>
      <c r="W48" s="3"/>
      <c r="X48" s="3"/>
      <c r="Y48" s="53"/>
      <c r="Z48" s="52"/>
      <c r="AA48" s="3"/>
      <c r="AB48" s="3"/>
      <c r="AC48" s="53"/>
      <c r="AD48" s="53"/>
      <c r="AE48" s="52"/>
      <c r="AF48" s="3"/>
      <c r="AG48" s="3"/>
      <c r="AH48" s="53"/>
      <c r="AI48" s="52"/>
      <c r="AJ48" s="3"/>
      <c r="AK48" s="174"/>
      <c r="AL48" s="53"/>
      <c r="AM48" s="52"/>
      <c r="AN48" s="3"/>
      <c r="AO48" s="3"/>
      <c r="AP48" s="53"/>
      <c r="AQ48" s="52"/>
      <c r="AR48" s="55"/>
      <c r="AS48" s="52"/>
      <c r="AT48" s="50"/>
      <c r="AU48" s="50"/>
      <c r="AV48" s="50"/>
      <c r="AW48" s="3"/>
      <c r="AX48" s="53"/>
      <c r="AY48" s="52"/>
      <c r="AZ48" s="53"/>
      <c r="BA48" s="54"/>
      <c r="BB48" s="53"/>
      <c r="BC48" s="51"/>
      <c r="BD48" s="3"/>
      <c r="BE48" s="3"/>
      <c r="BF48" s="3"/>
      <c r="BG48" s="3"/>
    </row>
    <row r="49" spans="1:59" s="163" customFormat="1" x14ac:dyDescent="0.25">
      <c r="A49" s="66" t="s">
        <v>531</v>
      </c>
      <c r="B49" s="51"/>
      <c r="C49" s="51"/>
      <c r="D49" s="46"/>
      <c r="E49" s="46"/>
      <c r="F49" s="46"/>
      <c r="G49" s="46"/>
      <c r="H49" s="46"/>
      <c r="I49" s="172"/>
      <c r="J49" s="54"/>
      <c r="K49" s="55"/>
      <c r="L49" s="51"/>
      <c r="M49" s="53"/>
      <c r="N49" s="50"/>
      <c r="O49" s="51"/>
      <c r="P49" s="174"/>
      <c r="Q49" s="54"/>
      <c r="R49" s="52"/>
      <c r="S49" s="3"/>
      <c r="T49" s="3"/>
      <c r="U49" s="53"/>
      <c r="V49" s="52"/>
      <c r="W49" s="3"/>
      <c r="X49" s="3"/>
      <c r="Y49" s="53"/>
      <c r="Z49" s="52"/>
      <c r="AA49" s="3"/>
      <c r="AB49" s="3"/>
      <c r="AC49" s="53"/>
      <c r="AD49" s="53"/>
      <c r="AE49" s="52"/>
      <c r="AF49" s="3"/>
      <c r="AG49" s="3"/>
      <c r="AH49" s="53"/>
      <c r="AI49" s="52"/>
      <c r="AJ49" s="3"/>
      <c r="AK49" s="174"/>
      <c r="AL49" s="53"/>
      <c r="AM49" s="52"/>
      <c r="AN49" s="3"/>
      <c r="AO49" s="3"/>
      <c r="AP49" s="53"/>
      <c r="AQ49" s="52"/>
      <c r="AR49" s="55"/>
      <c r="AS49" s="52"/>
      <c r="AT49" s="50"/>
      <c r="AU49" s="50"/>
      <c r="AV49" s="50"/>
      <c r="AW49" s="3"/>
      <c r="AX49" s="53"/>
      <c r="AY49" s="52"/>
      <c r="AZ49" s="53"/>
      <c r="BA49" s="54"/>
      <c r="BB49" s="53"/>
      <c r="BC49" s="51"/>
      <c r="BD49" s="3"/>
      <c r="BE49" s="3"/>
      <c r="BF49" s="3"/>
      <c r="BG49" s="3"/>
    </row>
    <row r="50" spans="1:59" s="163" customFormat="1" x14ac:dyDescent="0.25">
      <c r="A50" s="66" t="s">
        <v>532</v>
      </c>
      <c r="B50" s="51"/>
      <c r="C50" s="51"/>
      <c r="D50" s="46"/>
      <c r="E50" s="46"/>
      <c r="F50" s="46"/>
      <c r="G50" s="46"/>
      <c r="H50" s="46"/>
      <c r="I50" s="172"/>
      <c r="J50" s="54"/>
      <c r="K50" s="55"/>
      <c r="L50" s="51"/>
      <c r="M50" s="53"/>
      <c r="N50" s="50"/>
      <c r="O50" s="51"/>
      <c r="P50" s="174"/>
      <c r="Q50" s="54"/>
      <c r="R50" s="52"/>
      <c r="S50" s="3"/>
      <c r="T50" s="3"/>
      <c r="U50" s="53"/>
      <c r="V50" s="52"/>
      <c r="W50" s="3"/>
      <c r="X50" s="3"/>
      <c r="Y50" s="53"/>
      <c r="Z50" s="52"/>
      <c r="AA50" s="3"/>
      <c r="AB50" s="3"/>
      <c r="AC50" s="53"/>
      <c r="AD50" s="53"/>
      <c r="AE50" s="52"/>
      <c r="AF50" s="3"/>
      <c r="AG50" s="3"/>
      <c r="AH50" s="53"/>
      <c r="AI50" s="52"/>
      <c r="AJ50" s="3"/>
      <c r="AK50" s="174"/>
      <c r="AL50" s="53"/>
      <c r="AM50" s="52"/>
      <c r="AN50" s="3"/>
      <c r="AO50" s="3"/>
      <c r="AP50" s="53"/>
      <c r="AQ50" s="52"/>
      <c r="AR50" s="55"/>
      <c r="AS50" s="52"/>
      <c r="AT50" s="50"/>
      <c r="AU50" s="50"/>
      <c r="AV50" s="50"/>
      <c r="AW50" s="3"/>
      <c r="AX50" s="53"/>
      <c r="AY50" s="52"/>
      <c r="AZ50" s="53"/>
      <c r="BA50" s="54"/>
      <c r="BB50" s="53"/>
      <c r="BC50" s="51"/>
      <c r="BD50" s="3"/>
      <c r="BE50" s="3"/>
      <c r="BF50" s="3"/>
      <c r="BG50" s="3"/>
    </row>
    <row r="51" spans="1:59" s="163" customFormat="1" x14ac:dyDescent="0.25">
      <c r="A51" s="66" t="s">
        <v>533</v>
      </c>
      <c r="B51" s="51"/>
      <c r="C51" s="51"/>
      <c r="D51" s="46"/>
      <c r="E51" s="46"/>
      <c r="F51" s="46"/>
      <c r="G51" s="46"/>
      <c r="H51" s="46"/>
      <c r="I51" s="172"/>
      <c r="J51" s="54"/>
      <c r="K51" s="55"/>
      <c r="L51" s="51"/>
      <c r="M51" s="53"/>
      <c r="N51" s="50"/>
      <c r="O51" s="51"/>
      <c r="P51" s="174"/>
      <c r="Q51" s="54"/>
      <c r="R51" s="52"/>
      <c r="S51" s="3"/>
      <c r="T51" s="3"/>
      <c r="U51" s="53"/>
      <c r="V51" s="52"/>
      <c r="W51" s="3"/>
      <c r="X51" s="3"/>
      <c r="Y51" s="53"/>
      <c r="Z51" s="52"/>
      <c r="AA51" s="3"/>
      <c r="AB51" s="3"/>
      <c r="AC51" s="53"/>
      <c r="AD51" s="53"/>
      <c r="AE51" s="52"/>
      <c r="AF51" s="3"/>
      <c r="AG51" s="3"/>
      <c r="AH51" s="53"/>
      <c r="AI51" s="52"/>
      <c r="AJ51" s="3"/>
      <c r="AK51" s="174"/>
      <c r="AL51" s="53"/>
      <c r="AM51" s="52"/>
      <c r="AN51" s="3"/>
      <c r="AO51" s="3"/>
      <c r="AP51" s="53"/>
      <c r="AQ51" s="52"/>
      <c r="AR51" s="55"/>
      <c r="AS51" s="52"/>
      <c r="AT51" s="50"/>
      <c r="AU51" s="50"/>
      <c r="AV51" s="50"/>
      <c r="AW51" s="3"/>
      <c r="AX51" s="53"/>
      <c r="AY51" s="52"/>
      <c r="AZ51" s="53"/>
      <c r="BA51" s="54"/>
      <c r="BB51" s="53"/>
      <c r="BC51" s="51"/>
      <c r="BD51" s="3"/>
      <c r="BE51" s="3"/>
      <c r="BF51" s="3"/>
      <c r="BG51" s="3"/>
    </row>
    <row r="52" spans="1:59" s="163" customFormat="1" x14ac:dyDescent="0.25">
      <c r="A52" s="66" t="s">
        <v>534</v>
      </c>
      <c r="B52" s="51"/>
      <c r="C52" s="51"/>
      <c r="D52" s="46"/>
      <c r="E52" s="46"/>
      <c r="F52" s="46"/>
      <c r="G52" s="46"/>
      <c r="H52" s="46"/>
      <c r="I52" s="172"/>
      <c r="J52" s="54"/>
      <c r="K52" s="55"/>
      <c r="L52" s="51"/>
      <c r="M52" s="53"/>
      <c r="N52" s="50"/>
      <c r="O52" s="51"/>
      <c r="P52" s="174"/>
      <c r="Q52" s="54"/>
      <c r="R52" s="52"/>
      <c r="S52" s="3"/>
      <c r="T52" s="3"/>
      <c r="U52" s="53"/>
      <c r="V52" s="52"/>
      <c r="W52" s="3"/>
      <c r="X52" s="3"/>
      <c r="Y52" s="53"/>
      <c r="Z52" s="52"/>
      <c r="AA52" s="3"/>
      <c r="AB52" s="3"/>
      <c r="AC52" s="53"/>
      <c r="AD52" s="53"/>
      <c r="AE52" s="52"/>
      <c r="AF52" s="3"/>
      <c r="AG52" s="3"/>
      <c r="AH52" s="53"/>
      <c r="AI52" s="52"/>
      <c r="AJ52" s="3"/>
      <c r="AK52" s="174"/>
      <c r="AL52" s="53"/>
      <c r="AM52" s="52"/>
      <c r="AN52" s="3"/>
      <c r="AO52" s="3"/>
      <c r="AP52" s="53"/>
      <c r="AQ52" s="52"/>
      <c r="AR52" s="55"/>
      <c r="AS52" s="52"/>
      <c r="AT52" s="50"/>
      <c r="AU52" s="50"/>
      <c r="AV52" s="50"/>
      <c r="AW52" s="3"/>
      <c r="AX52" s="53"/>
      <c r="AY52" s="52"/>
      <c r="AZ52" s="53"/>
      <c r="BA52" s="54"/>
      <c r="BB52" s="53"/>
      <c r="BC52" s="51"/>
      <c r="BD52" s="3"/>
      <c r="BE52" s="3"/>
      <c r="BF52" s="3"/>
      <c r="BG52" s="3"/>
    </row>
    <row r="53" spans="1:59" s="163" customFormat="1" x14ac:dyDescent="0.25">
      <c r="A53" s="66" t="s">
        <v>535</v>
      </c>
      <c r="B53" s="51"/>
      <c r="C53" s="51"/>
      <c r="D53" s="46"/>
      <c r="E53" s="46"/>
      <c r="F53" s="46"/>
      <c r="G53" s="46"/>
      <c r="H53" s="46"/>
      <c r="I53" s="172"/>
      <c r="J53" s="54"/>
      <c r="K53" s="55"/>
      <c r="L53" s="51"/>
      <c r="M53" s="53"/>
      <c r="N53" s="50"/>
      <c r="O53" s="51"/>
      <c r="P53" s="174"/>
      <c r="Q53" s="54"/>
      <c r="R53" s="52"/>
      <c r="S53" s="3"/>
      <c r="T53" s="3"/>
      <c r="U53" s="53"/>
      <c r="V53" s="52"/>
      <c r="W53" s="3"/>
      <c r="X53" s="3"/>
      <c r="Y53" s="53"/>
      <c r="Z53" s="52"/>
      <c r="AA53" s="3"/>
      <c r="AB53" s="3"/>
      <c r="AC53" s="53"/>
      <c r="AD53" s="53"/>
      <c r="AE53" s="52"/>
      <c r="AF53" s="3"/>
      <c r="AG53" s="3"/>
      <c r="AH53" s="53"/>
      <c r="AI53" s="52"/>
      <c r="AJ53" s="3"/>
      <c r="AK53" s="174"/>
      <c r="AL53" s="53"/>
      <c r="AM53" s="52"/>
      <c r="AN53" s="3"/>
      <c r="AO53" s="3"/>
      <c r="AP53" s="53"/>
      <c r="AQ53" s="52"/>
      <c r="AR53" s="55"/>
      <c r="AS53" s="52"/>
      <c r="AT53" s="50"/>
      <c r="AU53" s="50"/>
      <c r="AV53" s="50"/>
      <c r="AW53" s="3"/>
      <c r="AX53" s="53"/>
      <c r="AY53" s="52"/>
      <c r="AZ53" s="53"/>
      <c r="BA53" s="54"/>
      <c r="BB53" s="53"/>
      <c r="BC53" s="51"/>
      <c r="BD53" s="3"/>
      <c r="BE53" s="3"/>
      <c r="BF53" s="3"/>
      <c r="BG53" s="3"/>
    </row>
    <row r="54" spans="1:59" s="163" customFormat="1" x14ac:dyDescent="0.25">
      <c r="A54" s="66" t="s">
        <v>536</v>
      </c>
      <c r="B54" s="51"/>
      <c r="C54" s="51"/>
      <c r="D54" s="46"/>
      <c r="E54" s="46"/>
      <c r="F54" s="46"/>
      <c r="G54" s="46"/>
      <c r="H54" s="46"/>
      <c r="I54" s="172"/>
      <c r="J54" s="54"/>
      <c r="K54" s="55"/>
      <c r="L54" s="51"/>
      <c r="M54" s="53"/>
      <c r="N54" s="50"/>
      <c r="O54" s="51"/>
      <c r="P54" s="174"/>
      <c r="Q54" s="54"/>
      <c r="R54" s="52"/>
      <c r="S54" s="3"/>
      <c r="T54" s="3"/>
      <c r="U54" s="53"/>
      <c r="V54" s="52"/>
      <c r="W54" s="3"/>
      <c r="X54" s="3"/>
      <c r="Y54" s="53"/>
      <c r="Z54" s="52"/>
      <c r="AA54" s="3"/>
      <c r="AB54" s="3"/>
      <c r="AC54" s="53"/>
      <c r="AD54" s="53"/>
      <c r="AE54" s="52"/>
      <c r="AF54" s="3"/>
      <c r="AG54" s="3"/>
      <c r="AH54" s="53"/>
      <c r="AI54" s="52"/>
      <c r="AJ54" s="3"/>
      <c r="AK54" s="174"/>
      <c r="AL54" s="53"/>
      <c r="AM54" s="52"/>
      <c r="AN54" s="3"/>
      <c r="AO54" s="3"/>
      <c r="AP54" s="53"/>
      <c r="AQ54" s="52"/>
      <c r="AR54" s="55"/>
      <c r="AS54" s="52"/>
      <c r="AT54" s="50"/>
      <c r="AU54" s="50"/>
      <c r="AV54" s="50"/>
      <c r="AW54" s="3"/>
      <c r="AX54" s="53"/>
      <c r="AY54" s="52"/>
      <c r="AZ54" s="53"/>
      <c r="BA54" s="54"/>
      <c r="BB54" s="53"/>
      <c r="BC54" s="51"/>
      <c r="BD54" s="3"/>
      <c r="BE54" s="3"/>
      <c r="BF54" s="3"/>
      <c r="BG54" s="3"/>
    </row>
    <row r="55" spans="1:59" s="163" customFormat="1" x14ac:dyDescent="0.25">
      <c r="A55" s="66" t="s">
        <v>537</v>
      </c>
      <c r="B55" s="51"/>
      <c r="C55" s="51"/>
      <c r="D55" s="46"/>
      <c r="E55" s="46"/>
      <c r="F55" s="46"/>
      <c r="G55" s="46"/>
      <c r="H55" s="46"/>
      <c r="I55" s="172"/>
      <c r="J55" s="54"/>
      <c r="K55" s="55"/>
      <c r="L55" s="51"/>
      <c r="M55" s="53"/>
      <c r="N55" s="50"/>
      <c r="O55" s="51"/>
      <c r="P55" s="174"/>
      <c r="Q55" s="54"/>
      <c r="R55" s="52"/>
      <c r="S55" s="3"/>
      <c r="T55" s="3"/>
      <c r="U55" s="53"/>
      <c r="V55" s="52"/>
      <c r="W55" s="3"/>
      <c r="X55" s="3"/>
      <c r="Y55" s="53"/>
      <c r="Z55" s="52"/>
      <c r="AA55" s="3"/>
      <c r="AB55" s="3"/>
      <c r="AC55" s="53"/>
      <c r="AD55" s="53"/>
      <c r="AE55" s="52"/>
      <c r="AF55" s="3"/>
      <c r="AG55" s="3"/>
      <c r="AH55" s="53"/>
      <c r="AI55" s="52"/>
      <c r="AJ55" s="3"/>
      <c r="AK55" s="174"/>
      <c r="AL55" s="53"/>
      <c r="AM55" s="52"/>
      <c r="AN55" s="3"/>
      <c r="AO55" s="3"/>
      <c r="AP55" s="53"/>
      <c r="AQ55" s="52"/>
      <c r="AR55" s="55"/>
      <c r="AS55" s="52"/>
      <c r="AT55" s="50"/>
      <c r="AU55" s="50"/>
      <c r="AV55" s="50"/>
      <c r="AW55" s="3"/>
      <c r="AX55" s="53"/>
      <c r="AY55" s="52"/>
      <c r="AZ55" s="53"/>
      <c r="BA55" s="54"/>
      <c r="BB55" s="53"/>
      <c r="BC55" s="51"/>
      <c r="BD55" s="3"/>
      <c r="BE55" s="3"/>
      <c r="BF55" s="3"/>
      <c r="BG55" s="3"/>
    </row>
    <row r="56" spans="1:59" s="163" customFormat="1" x14ac:dyDescent="0.25">
      <c r="A56" s="66" t="s">
        <v>538</v>
      </c>
      <c r="B56" s="51"/>
      <c r="C56" s="51"/>
      <c r="D56" s="46"/>
      <c r="E56" s="46"/>
      <c r="F56" s="46"/>
      <c r="G56" s="46"/>
      <c r="H56" s="46"/>
      <c r="I56" s="172"/>
      <c r="J56" s="54"/>
      <c r="K56" s="55"/>
      <c r="L56" s="51"/>
      <c r="M56" s="53"/>
      <c r="N56" s="50"/>
      <c r="O56" s="51"/>
      <c r="P56" s="174"/>
      <c r="Q56" s="54"/>
      <c r="R56" s="52"/>
      <c r="S56" s="3"/>
      <c r="T56" s="3"/>
      <c r="U56" s="53"/>
      <c r="V56" s="52"/>
      <c r="W56" s="3"/>
      <c r="X56" s="3"/>
      <c r="Y56" s="53"/>
      <c r="Z56" s="52"/>
      <c r="AA56" s="3"/>
      <c r="AB56" s="3"/>
      <c r="AC56" s="53"/>
      <c r="AD56" s="53"/>
      <c r="AE56" s="52"/>
      <c r="AF56" s="3"/>
      <c r="AG56" s="3"/>
      <c r="AH56" s="53"/>
      <c r="AI56" s="52"/>
      <c r="AJ56" s="3"/>
      <c r="AK56" s="174"/>
      <c r="AL56" s="53"/>
      <c r="AM56" s="52"/>
      <c r="AN56" s="3"/>
      <c r="AO56" s="3"/>
      <c r="AP56" s="53"/>
      <c r="AQ56" s="52"/>
      <c r="AR56" s="55"/>
      <c r="AS56" s="52"/>
      <c r="AT56" s="50"/>
      <c r="AU56" s="50"/>
      <c r="AV56" s="50"/>
      <c r="AW56" s="3"/>
      <c r="AX56" s="53"/>
      <c r="AY56" s="52"/>
      <c r="AZ56" s="53"/>
      <c r="BA56" s="54"/>
      <c r="BB56" s="53"/>
      <c r="BC56" s="51"/>
      <c r="BD56" s="3"/>
      <c r="BE56" s="3"/>
      <c r="BF56" s="3"/>
      <c r="BG56" s="3"/>
    </row>
    <row r="57" spans="1:59" s="163" customFormat="1" x14ac:dyDescent="0.25">
      <c r="A57" s="66"/>
      <c r="B57" s="51"/>
      <c r="C57" s="51"/>
      <c r="D57" s="46"/>
      <c r="E57" s="46"/>
      <c r="F57" s="46"/>
      <c r="G57" s="46"/>
      <c r="H57" s="46"/>
      <c r="I57" s="172"/>
      <c r="J57" s="54"/>
      <c r="K57" s="55"/>
      <c r="L57" s="51"/>
      <c r="M57" s="53"/>
      <c r="N57" s="50"/>
      <c r="O57" s="51"/>
      <c r="P57" s="174"/>
      <c r="Q57" s="54"/>
      <c r="R57" s="52"/>
      <c r="S57" s="3"/>
      <c r="T57" s="3"/>
      <c r="U57" s="53"/>
      <c r="V57" s="52"/>
      <c r="W57" s="3"/>
      <c r="X57" s="3"/>
      <c r="Y57" s="53"/>
      <c r="Z57" s="52"/>
      <c r="AA57" s="3"/>
      <c r="AB57" s="3"/>
      <c r="AC57" s="53"/>
      <c r="AD57" s="53"/>
      <c r="AE57" s="52"/>
      <c r="AF57" s="3"/>
      <c r="AG57" s="3"/>
      <c r="AH57" s="53"/>
      <c r="AI57" s="52"/>
      <c r="AJ57" s="3"/>
      <c r="AK57" s="174"/>
      <c r="AL57" s="53"/>
      <c r="AM57" s="52"/>
      <c r="AN57" s="3"/>
      <c r="AO57" s="3"/>
      <c r="AP57" s="53"/>
      <c r="AQ57" s="52"/>
      <c r="AR57" s="55"/>
      <c r="AS57" s="52"/>
      <c r="AT57" s="50"/>
      <c r="AU57" s="50"/>
      <c r="AV57" s="50"/>
      <c r="AW57" s="3"/>
      <c r="AX57" s="53"/>
      <c r="AY57" s="52"/>
      <c r="AZ57" s="53"/>
      <c r="BA57" s="54"/>
      <c r="BB57" s="53"/>
      <c r="BC57" s="51"/>
      <c r="BD57" s="3"/>
      <c r="BE57" s="3"/>
      <c r="BF57" s="3"/>
      <c r="BG57" s="3"/>
    </row>
    <row r="58" spans="1:59" s="163" customFormat="1" x14ac:dyDescent="0.25">
      <c r="A58" s="66"/>
      <c r="B58" s="51"/>
      <c r="C58" s="51"/>
      <c r="D58" s="46"/>
      <c r="E58" s="46"/>
      <c r="F58" s="46"/>
      <c r="G58" s="46"/>
      <c r="H58" s="46"/>
      <c r="I58" s="172"/>
      <c r="J58" s="54"/>
      <c r="K58" s="55"/>
      <c r="L58" s="51"/>
      <c r="M58" s="53"/>
      <c r="N58" s="50"/>
      <c r="O58" s="51"/>
      <c r="P58" s="174"/>
      <c r="Q58" s="54"/>
      <c r="R58" s="52"/>
      <c r="S58" s="3"/>
      <c r="T58" s="3"/>
      <c r="U58" s="53"/>
      <c r="V58" s="52"/>
      <c r="W58" s="3"/>
      <c r="X58" s="3"/>
      <c r="Y58" s="53"/>
      <c r="Z58" s="52"/>
      <c r="AA58" s="3"/>
      <c r="AB58" s="3"/>
      <c r="AC58" s="53"/>
      <c r="AD58" s="53"/>
      <c r="AE58" s="52"/>
      <c r="AF58" s="3"/>
      <c r="AG58" s="3"/>
      <c r="AH58" s="53"/>
      <c r="AI58" s="52"/>
      <c r="AJ58" s="3"/>
      <c r="AK58" s="174"/>
      <c r="AL58" s="53"/>
      <c r="AM58" s="52"/>
      <c r="AN58" s="3"/>
      <c r="AO58" s="3"/>
      <c r="AP58" s="53"/>
      <c r="AQ58" s="52"/>
      <c r="AR58" s="55"/>
      <c r="AS58" s="52"/>
      <c r="AT58" s="50"/>
      <c r="AU58" s="50"/>
      <c r="AV58" s="50"/>
      <c r="AW58" s="3"/>
      <c r="AX58" s="53"/>
      <c r="AY58" s="52"/>
      <c r="AZ58" s="53"/>
      <c r="BA58" s="54"/>
      <c r="BB58" s="53"/>
      <c r="BC58" s="51"/>
      <c r="BD58" s="3"/>
      <c r="BE58" s="3"/>
      <c r="BF58" s="3"/>
      <c r="BG58" s="3"/>
    </row>
    <row r="59" spans="1:59" s="163" customFormat="1" x14ac:dyDescent="0.25">
      <c r="A59" s="66"/>
      <c r="B59" s="51"/>
      <c r="C59" s="51"/>
      <c r="D59" s="46"/>
      <c r="E59" s="46"/>
      <c r="F59" s="46"/>
      <c r="G59" s="46"/>
      <c r="H59" s="46"/>
      <c r="I59" s="172"/>
      <c r="J59" s="54"/>
      <c r="K59" s="55"/>
      <c r="L59" s="51"/>
      <c r="M59" s="53"/>
      <c r="N59" s="50"/>
      <c r="O59" s="51"/>
      <c r="P59" s="174"/>
      <c r="Q59" s="54"/>
      <c r="R59" s="52"/>
      <c r="S59" s="3"/>
      <c r="T59" s="3"/>
      <c r="U59" s="53"/>
      <c r="V59" s="52"/>
      <c r="W59" s="3"/>
      <c r="X59" s="3"/>
      <c r="Y59" s="53"/>
      <c r="Z59" s="52"/>
      <c r="AA59" s="3"/>
      <c r="AB59" s="3"/>
      <c r="AC59" s="53"/>
      <c r="AD59" s="53"/>
      <c r="AE59" s="52"/>
      <c r="AF59" s="3"/>
      <c r="AG59" s="3"/>
      <c r="AH59" s="53"/>
      <c r="AI59" s="52"/>
      <c r="AJ59" s="3"/>
      <c r="AK59" s="174"/>
      <c r="AL59" s="53"/>
      <c r="AM59" s="52"/>
      <c r="AN59" s="3"/>
      <c r="AO59" s="3"/>
      <c r="AP59" s="53"/>
      <c r="AQ59" s="52"/>
      <c r="AR59" s="55"/>
      <c r="AS59" s="52"/>
      <c r="AT59" s="50"/>
      <c r="AU59" s="50"/>
      <c r="AV59" s="50"/>
      <c r="AW59" s="3"/>
      <c r="AX59" s="53"/>
      <c r="AY59" s="52"/>
      <c r="AZ59" s="53"/>
      <c r="BA59" s="54"/>
      <c r="BB59" s="53"/>
      <c r="BC59" s="51"/>
      <c r="BD59" s="3"/>
      <c r="BE59" s="3"/>
      <c r="BF59" s="3"/>
      <c r="BG59" s="3"/>
    </row>
    <row r="60" spans="1:59" s="163" customFormat="1" x14ac:dyDescent="0.25">
      <c r="A60" s="66"/>
      <c r="B60" s="51"/>
      <c r="C60" s="51"/>
      <c r="D60" s="46"/>
      <c r="E60" s="46"/>
      <c r="F60" s="46"/>
      <c r="G60" s="46"/>
      <c r="H60" s="46"/>
      <c r="I60" s="172"/>
      <c r="J60" s="54"/>
      <c r="K60" s="55"/>
      <c r="L60" s="51"/>
      <c r="M60" s="53"/>
      <c r="N60" s="50"/>
      <c r="O60" s="51"/>
      <c r="P60" s="174"/>
      <c r="Q60" s="54"/>
      <c r="R60" s="52"/>
      <c r="S60" s="3"/>
      <c r="T60" s="3"/>
      <c r="U60" s="53"/>
      <c r="V60" s="52"/>
      <c r="W60" s="3"/>
      <c r="X60" s="3"/>
      <c r="Y60" s="53"/>
      <c r="Z60" s="52"/>
      <c r="AA60" s="3"/>
      <c r="AB60" s="3"/>
      <c r="AC60" s="53"/>
      <c r="AD60" s="53"/>
      <c r="AE60" s="52"/>
      <c r="AF60" s="3"/>
      <c r="AG60" s="3"/>
      <c r="AH60" s="53"/>
      <c r="AI60" s="52"/>
      <c r="AJ60" s="3"/>
      <c r="AK60" s="174"/>
      <c r="AL60" s="53"/>
      <c r="AM60" s="52"/>
      <c r="AN60" s="3"/>
      <c r="AO60" s="3"/>
      <c r="AP60" s="53"/>
      <c r="AQ60" s="52"/>
      <c r="AR60" s="55"/>
      <c r="AS60" s="52"/>
      <c r="AT60" s="50"/>
      <c r="AU60" s="50"/>
      <c r="AV60" s="50"/>
      <c r="AW60" s="3"/>
      <c r="AX60" s="53"/>
      <c r="AY60" s="52"/>
      <c r="AZ60" s="53"/>
      <c r="BA60" s="54"/>
      <c r="BB60" s="53"/>
      <c r="BC60" s="51"/>
      <c r="BD60" s="3"/>
      <c r="BE60" s="3"/>
      <c r="BF60" s="3"/>
      <c r="BG60" s="3"/>
    </row>
    <row r="61" spans="1:59" s="163" customFormat="1" x14ac:dyDescent="0.25">
      <c r="A61" s="66"/>
      <c r="B61" s="51"/>
      <c r="C61" s="51"/>
      <c r="D61" s="46"/>
      <c r="E61" s="46"/>
      <c r="F61" s="46"/>
      <c r="G61" s="46"/>
      <c r="H61" s="46"/>
      <c r="I61" s="172"/>
      <c r="J61" s="54"/>
      <c r="K61" s="55"/>
      <c r="L61" s="51"/>
      <c r="M61" s="53"/>
      <c r="N61" s="50"/>
      <c r="O61" s="51"/>
      <c r="P61" s="174"/>
      <c r="Q61" s="54"/>
      <c r="R61" s="52"/>
      <c r="S61" s="3"/>
      <c r="T61" s="3"/>
      <c r="U61" s="53"/>
      <c r="V61" s="52"/>
      <c r="W61" s="3"/>
      <c r="X61" s="3"/>
      <c r="Y61" s="53"/>
      <c r="Z61" s="52"/>
      <c r="AA61" s="3"/>
      <c r="AB61" s="3"/>
      <c r="AC61" s="53"/>
      <c r="AD61" s="53"/>
      <c r="AE61" s="52"/>
      <c r="AF61" s="3"/>
      <c r="AG61" s="3"/>
      <c r="AH61" s="53"/>
      <c r="AI61" s="52"/>
      <c r="AJ61" s="3"/>
      <c r="AK61" s="174"/>
      <c r="AL61" s="53"/>
      <c r="AM61" s="52"/>
      <c r="AN61" s="3"/>
      <c r="AO61" s="3"/>
      <c r="AP61" s="53"/>
      <c r="AQ61" s="52"/>
      <c r="AR61" s="55"/>
      <c r="AS61" s="52"/>
      <c r="AT61" s="50"/>
      <c r="AU61" s="50"/>
      <c r="AV61" s="50"/>
      <c r="AW61" s="3"/>
      <c r="AX61" s="53"/>
      <c r="AY61" s="52"/>
      <c r="AZ61" s="53"/>
      <c r="BA61" s="54"/>
      <c r="BB61" s="53"/>
      <c r="BC61" s="51"/>
      <c r="BD61" s="3"/>
      <c r="BE61" s="3"/>
      <c r="BF61" s="3"/>
      <c r="BG61" s="3"/>
    </row>
    <row r="62" spans="1:59" s="163" customFormat="1" x14ac:dyDescent="0.25">
      <c r="A62" s="66"/>
      <c r="B62" s="51"/>
      <c r="C62" s="51"/>
      <c r="D62" s="46"/>
      <c r="E62" s="46"/>
      <c r="F62" s="46"/>
      <c r="G62" s="46"/>
      <c r="H62" s="46"/>
      <c r="I62" s="172"/>
      <c r="J62" s="54"/>
      <c r="K62" s="55"/>
      <c r="L62" s="51"/>
      <c r="M62" s="53"/>
      <c r="N62" s="50"/>
      <c r="O62" s="51"/>
      <c r="P62" s="174"/>
      <c r="Q62" s="54"/>
      <c r="R62" s="52"/>
      <c r="S62" s="3"/>
      <c r="T62" s="3"/>
      <c r="U62" s="53"/>
      <c r="V62" s="52"/>
      <c r="W62" s="3"/>
      <c r="X62" s="3"/>
      <c r="Y62" s="53"/>
      <c r="Z62" s="52"/>
      <c r="AA62" s="3"/>
      <c r="AB62" s="3"/>
      <c r="AC62" s="53"/>
      <c r="AD62" s="53"/>
      <c r="AE62" s="52"/>
      <c r="AF62" s="3"/>
      <c r="AG62" s="3"/>
      <c r="AH62" s="53"/>
      <c r="AI62" s="52"/>
      <c r="AJ62" s="3"/>
      <c r="AK62" s="174"/>
      <c r="AL62" s="53"/>
      <c r="AM62" s="52"/>
      <c r="AN62" s="3"/>
      <c r="AO62" s="3"/>
      <c r="AP62" s="53"/>
      <c r="AQ62" s="52"/>
      <c r="AR62" s="55"/>
      <c r="AS62" s="52"/>
      <c r="AT62" s="50"/>
      <c r="AU62" s="50"/>
      <c r="AV62" s="50"/>
      <c r="AW62" s="3"/>
      <c r="AX62" s="53"/>
      <c r="AY62" s="52"/>
      <c r="AZ62" s="53"/>
      <c r="BA62" s="54"/>
      <c r="BB62" s="53"/>
      <c r="BC62" s="51"/>
      <c r="BD62" s="3"/>
      <c r="BE62" s="3"/>
      <c r="BF62" s="3"/>
      <c r="BG62" s="3"/>
    </row>
    <row r="63" spans="1:59" s="163" customFormat="1" x14ac:dyDescent="0.25">
      <c r="A63" s="66"/>
      <c r="B63" s="51"/>
      <c r="C63" s="51"/>
      <c r="D63" s="46"/>
      <c r="E63" s="46"/>
      <c r="F63" s="46"/>
      <c r="G63" s="46"/>
      <c r="H63" s="46"/>
      <c r="I63" s="172"/>
      <c r="J63" s="54"/>
      <c r="K63" s="55"/>
      <c r="L63" s="51"/>
      <c r="M63" s="53"/>
      <c r="N63" s="50"/>
      <c r="O63" s="51"/>
      <c r="P63" s="174"/>
      <c r="Q63" s="54"/>
      <c r="R63" s="52"/>
      <c r="S63" s="3"/>
      <c r="T63" s="3"/>
      <c r="U63" s="53"/>
      <c r="V63" s="52"/>
      <c r="W63" s="3"/>
      <c r="X63" s="3"/>
      <c r="Y63" s="53"/>
      <c r="Z63" s="52"/>
      <c r="AA63" s="3"/>
      <c r="AB63" s="3"/>
      <c r="AC63" s="53"/>
      <c r="AD63" s="53"/>
      <c r="AE63" s="52"/>
      <c r="AF63" s="3"/>
      <c r="AG63" s="3"/>
      <c r="AH63" s="53"/>
      <c r="AI63" s="52"/>
      <c r="AJ63" s="3"/>
      <c r="AK63" s="174"/>
      <c r="AL63" s="53"/>
      <c r="AM63" s="52"/>
      <c r="AN63" s="3"/>
      <c r="AO63" s="3"/>
      <c r="AP63" s="53"/>
      <c r="AQ63" s="52"/>
      <c r="AR63" s="55"/>
      <c r="AS63" s="52"/>
      <c r="AT63" s="50"/>
      <c r="AU63" s="50"/>
      <c r="AV63" s="50"/>
      <c r="AW63" s="3"/>
      <c r="AX63" s="53"/>
      <c r="AY63" s="52"/>
      <c r="AZ63" s="53"/>
      <c r="BA63" s="54"/>
      <c r="BB63" s="53"/>
      <c r="BC63" s="51"/>
      <c r="BD63" s="3"/>
      <c r="BE63" s="3"/>
      <c r="BF63" s="3"/>
      <c r="BG63" s="3"/>
    </row>
    <row r="64" spans="1:59" s="163" customFormat="1" x14ac:dyDescent="0.25">
      <c r="A64" s="66"/>
      <c r="B64" s="51"/>
      <c r="C64" s="51"/>
      <c r="D64" s="46"/>
      <c r="E64" s="46"/>
      <c r="F64" s="46"/>
      <c r="G64" s="46"/>
      <c r="H64" s="46"/>
      <c r="I64" s="172"/>
      <c r="J64" s="54"/>
      <c r="K64" s="55"/>
      <c r="L64" s="51"/>
      <c r="M64" s="53"/>
      <c r="N64" s="50"/>
      <c r="O64" s="51"/>
      <c r="P64" s="174"/>
      <c r="Q64" s="54"/>
      <c r="R64" s="52"/>
      <c r="S64" s="3"/>
      <c r="T64" s="3"/>
      <c r="U64" s="53"/>
      <c r="V64" s="52"/>
      <c r="W64" s="3"/>
      <c r="X64" s="3"/>
      <c r="Y64" s="53"/>
      <c r="Z64" s="52"/>
      <c r="AA64" s="3"/>
      <c r="AB64" s="3"/>
      <c r="AC64" s="53"/>
      <c r="AD64" s="53"/>
      <c r="AE64" s="52"/>
      <c r="AF64" s="3"/>
      <c r="AG64" s="3"/>
      <c r="AH64" s="53"/>
      <c r="AI64" s="52"/>
      <c r="AJ64" s="3"/>
      <c r="AK64" s="174"/>
      <c r="AL64" s="53"/>
      <c r="AM64" s="52"/>
      <c r="AN64" s="3"/>
      <c r="AO64" s="3"/>
      <c r="AP64" s="53"/>
      <c r="AQ64" s="52"/>
      <c r="AR64" s="55"/>
      <c r="AS64" s="52"/>
      <c r="AT64" s="50"/>
      <c r="AU64" s="50"/>
      <c r="AV64" s="50"/>
      <c r="AW64" s="3"/>
      <c r="AX64" s="53"/>
      <c r="AY64" s="52"/>
      <c r="AZ64" s="53"/>
      <c r="BA64" s="54"/>
      <c r="BB64" s="53"/>
      <c r="BC64" s="51"/>
      <c r="BD64" s="3"/>
      <c r="BE64" s="3"/>
      <c r="BF64" s="3"/>
      <c r="BG64" s="3"/>
    </row>
    <row r="65" spans="1:59" s="163" customFormat="1" x14ac:dyDescent="0.25">
      <c r="A65" s="66"/>
      <c r="B65" s="51"/>
      <c r="C65" s="51"/>
      <c r="D65" s="46"/>
      <c r="E65" s="46"/>
      <c r="F65" s="290"/>
      <c r="G65" s="46"/>
      <c r="H65" s="46"/>
      <c r="I65" s="172"/>
      <c r="J65" s="54"/>
      <c r="K65" s="55"/>
      <c r="L65" s="51"/>
      <c r="M65" s="53"/>
      <c r="N65" s="50"/>
      <c r="O65" s="51"/>
      <c r="P65" s="174"/>
      <c r="Q65" s="54"/>
      <c r="R65" s="52"/>
      <c r="S65" s="3"/>
      <c r="T65" s="3"/>
      <c r="U65" s="53"/>
      <c r="V65" s="52"/>
      <c r="W65" s="3"/>
      <c r="X65" s="3"/>
      <c r="Y65" s="53"/>
      <c r="Z65" s="52"/>
      <c r="AA65" s="3"/>
      <c r="AB65" s="3"/>
      <c r="AC65" s="53"/>
      <c r="AD65" s="53"/>
      <c r="AE65" s="52"/>
      <c r="AF65" s="3"/>
      <c r="AG65" s="3"/>
      <c r="AH65" s="53"/>
      <c r="AI65" s="52"/>
      <c r="AJ65" s="3"/>
      <c r="AK65" s="174"/>
      <c r="AL65" s="53"/>
      <c r="AM65" s="52"/>
      <c r="AN65" s="3"/>
      <c r="AO65" s="3"/>
      <c r="AP65" s="53"/>
      <c r="AQ65" s="52"/>
      <c r="AR65" s="55"/>
      <c r="AS65" s="52"/>
      <c r="AT65" s="50"/>
      <c r="AU65" s="50"/>
      <c r="AV65" s="50"/>
      <c r="AW65" s="3"/>
      <c r="AX65" s="53"/>
      <c r="AY65" s="52"/>
      <c r="AZ65" s="53"/>
      <c r="BA65" s="54"/>
      <c r="BB65" s="53"/>
      <c r="BC65" s="51"/>
      <c r="BD65" s="3"/>
      <c r="BE65" s="3"/>
      <c r="BF65" s="3"/>
      <c r="BG65" s="3"/>
    </row>
    <row r="66" spans="1:59" s="163" customFormat="1" x14ac:dyDescent="0.25">
      <c r="A66" s="66"/>
      <c r="B66" s="51"/>
      <c r="C66" s="51"/>
      <c r="D66" s="46"/>
      <c r="E66" s="46"/>
      <c r="F66" s="46"/>
      <c r="G66" s="46"/>
      <c r="H66" s="46"/>
      <c r="I66" s="172"/>
      <c r="J66" s="54"/>
      <c r="K66" s="55"/>
      <c r="L66" s="51"/>
      <c r="M66" s="53"/>
      <c r="N66" s="50"/>
      <c r="O66" s="51"/>
      <c r="P66" s="174"/>
      <c r="Q66" s="54"/>
      <c r="R66" s="52"/>
      <c r="S66" s="3"/>
      <c r="T66" s="3"/>
      <c r="U66" s="53"/>
      <c r="V66" s="52"/>
      <c r="W66" s="3"/>
      <c r="X66" s="3"/>
      <c r="Y66" s="53"/>
      <c r="Z66" s="52"/>
      <c r="AA66" s="3"/>
      <c r="AB66" s="3"/>
      <c r="AC66" s="53"/>
      <c r="AD66" s="53"/>
      <c r="AE66" s="52"/>
      <c r="AF66" s="3"/>
      <c r="AG66" s="3"/>
      <c r="AH66" s="53"/>
      <c r="AI66" s="52"/>
      <c r="AJ66" s="3"/>
      <c r="AK66" s="174"/>
      <c r="AL66" s="53"/>
      <c r="AM66" s="52"/>
      <c r="AN66" s="3"/>
      <c r="AO66" s="3"/>
      <c r="AP66" s="53"/>
      <c r="AQ66" s="52"/>
      <c r="AR66" s="55"/>
      <c r="AS66" s="52"/>
      <c r="AT66" s="50"/>
      <c r="AU66" s="50"/>
      <c r="AV66" s="50"/>
      <c r="AW66" s="3"/>
      <c r="AX66" s="53"/>
      <c r="AY66" s="52"/>
      <c r="AZ66" s="53"/>
      <c r="BA66" s="54"/>
      <c r="BB66" s="53"/>
      <c r="BC66" s="51"/>
      <c r="BD66" s="3"/>
      <c r="BE66" s="3"/>
      <c r="BF66" s="3"/>
      <c r="BG66" s="3"/>
    </row>
    <row r="67" spans="1:59" s="163" customFormat="1" x14ac:dyDescent="0.25">
      <c r="A67" s="66"/>
      <c r="B67" s="51"/>
      <c r="C67" s="51"/>
      <c r="D67" s="46"/>
      <c r="E67" s="46"/>
      <c r="F67" s="46"/>
      <c r="G67" s="46"/>
      <c r="H67" s="46"/>
      <c r="I67" s="172"/>
      <c r="J67" s="54"/>
      <c r="K67" s="55"/>
      <c r="L67" s="51"/>
      <c r="M67" s="53"/>
      <c r="N67" s="50"/>
      <c r="O67" s="51"/>
      <c r="P67" s="174"/>
      <c r="Q67" s="54"/>
      <c r="R67" s="52"/>
      <c r="S67" s="3"/>
      <c r="T67" s="3"/>
      <c r="U67" s="53"/>
      <c r="V67" s="52"/>
      <c r="W67" s="3"/>
      <c r="X67" s="3"/>
      <c r="Y67" s="53"/>
      <c r="Z67" s="52"/>
      <c r="AA67" s="3"/>
      <c r="AB67" s="3"/>
      <c r="AC67" s="53"/>
      <c r="AD67" s="53"/>
      <c r="AE67" s="52"/>
      <c r="AF67" s="3"/>
      <c r="AG67" s="3"/>
      <c r="AH67" s="53"/>
      <c r="AI67" s="52"/>
      <c r="AJ67" s="3"/>
      <c r="AK67" s="174"/>
      <c r="AL67" s="53"/>
      <c r="AM67" s="52"/>
      <c r="AN67" s="3"/>
      <c r="AO67" s="3"/>
      <c r="AP67" s="53"/>
      <c r="AQ67" s="52"/>
      <c r="AR67" s="55"/>
      <c r="AS67" s="52"/>
      <c r="AT67" s="50"/>
      <c r="AU67" s="50"/>
      <c r="AV67" s="50"/>
      <c r="AW67" s="3"/>
      <c r="AX67" s="53"/>
      <c r="AY67" s="52"/>
      <c r="AZ67" s="53"/>
      <c r="BA67" s="54"/>
      <c r="BB67" s="53"/>
      <c r="BC67" s="51"/>
      <c r="BD67" s="3"/>
      <c r="BE67" s="3"/>
      <c r="BF67" s="3"/>
      <c r="BG67" s="3"/>
    </row>
    <row r="68" spans="1:59" s="26" customFormat="1" x14ac:dyDescent="0.25">
      <c r="A68" s="66"/>
      <c r="B68" s="51"/>
      <c r="C68" s="51"/>
      <c r="D68" s="46"/>
      <c r="E68" s="46"/>
      <c r="F68" s="46"/>
      <c r="G68" s="46"/>
      <c r="H68" s="46"/>
      <c r="I68" s="172"/>
      <c r="J68" s="54"/>
      <c r="K68" s="55"/>
      <c r="L68" s="51"/>
      <c r="M68" s="53"/>
      <c r="N68" s="50"/>
      <c r="O68" s="51"/>
      <c r="P68" s="174"/>
      <c r="Q68" s="54"/>
      <c r="R68" s="52"/>
      <c r="S68" s="3"/>
      <c r="T68" s="3"/>
      <c r="U68" s="53"/>
      <c r="V68" s="52"/>
      <c r="W68" s="3"/>
      <c r="X68" s="3"/>
      <c r="Y68" s="53"/>
      <c r="Z68" s="52"/>
      <c r="AA68" s="3"/>
      <c r="AB68" s="3"/>
      <c r="AC68" s="53"/>
      <c r="AD68" s="53"/>
      <c r="AE68" s="52"/>
      <c r="AF68" s="3"/>
      <c r="AG68" s="3"/>
      <c r="AH68" s="53"/>
      <c r="AI68" s="52"/>
      <c r="AJ68" s="3"/>
      <c r="AK68" s="174"/>
      <c r="AL68" s="53"/>
      <c r="AM68" s="52"/>
      <c r="AN68" s="3"/>
      <c r="AO68" s="3"/>
      <c r="AP68" s="53"/>
      <c r="AQ68" s="52"/>
      <c r="AR68" s="55"/>
      <c r="AS68" s="52"/>
      <c r="AT68" s="50"/>
      <c r="AU68" s="50"/>
      <c r="AV68" s="50"/>
      <c r="AW68" s="3"/>
      <c r="AX68" s="53"/>
      <c r="AY68" s="52"/>
      <c r="AZ68" s="53"/>
      <c r="BA68" s="54"/>
      <c r="BB68" s="53"/>
      <c r="BC68" s="51"/>
      <c r="BD68" s="3"/>
      <c r="BE68" s="3"/>
      <c r="BF68" s="3"/>
      <c r="BG68" s="3"/>
    </row>
    <row r="69" spans="1:59" s="26" customFormat="1" x14ac:dyDescent="0.25">
      <c r="A69" s="66"/>
      <c r="B69" s="51"/>
      <c r="C69" s="51"/>
      <c r="D69" s="46"/>
      <c r="E69" s="46"/>
      <c r="F69" s="46"/>
      <c r="G69" s="46"/>
      <c r="H69" s="46"/>
      <c r="I69" s="172"/>
      <c r="J69" s="54"/>
      <c r="K69" s="55"/>
      <c r="L69" s="51"/>
      <c r="M69" s="53"/>
      <c r="N69" s="50"/>
      <c r="O69" s="51"/>
      <c r="P69" s="174"/>
      <c r="Q69" s="54"/>
      <c r="R69" s="52"/>
      <c r="S69" s="3"/>
      <c r="T69" s="3"/>
      <c r="U69" s="53"/>
      <c r="V69" s="52"/>
      <c r="W69" s="3"/>
      <c r="X69" s="3"/>
      <c r="Y69" s="53"/>
      <c r="Z69" s="52"/>
      <c r="AA69" s="3"/>
      <c r="AB69" s="3"/>
      <c r="AC69" s="53"/>
      <c r="AD69" s="53"/>
      <c r="AE69" s="52"/>
      <c r="AF69" s="3"/>
      <c r="AG69" s="3"/>
      <c r="AH69" s="53"/>
      <c r="AI69" s="52"/>
      <c r="AJ69" s="3"/>
      <c r="AK69" s="174"/>
      <c r="AL69" s="53"/>
      <c r="AM69" s="52"/>
      <c r="AN69" s="3"/>
      <c r="AO69" s="3"/>
      <c r="AP69" s="53"/>
      <c r="AQ69" s="52"/>
      <c r="AR69" s="55"/>
      <c r="AS69" s="52"/>
      <c r="AT69" s="50"/>
      <c r="AU69" s="50"/>
      <c r="AV69" s="50"/>
      <c r="AW69" s="3"/>
      <c r="AX69" s="53"/>
      <c r="AY69" s="52"/>
      <c r="AZ69" s="53"/>
      <c r="BA69" s="54"/>
      <c r="BB69" s="53"/>
      <c r="BC69" s="51"/>
      <c r="BD69" s="3"/>
      <c r="BE69" s="3"/>
      <c r="BF69" s="3"/>
      <c r="BG69" s="3"/>
    </row>
    <row r="70" spans="1:59" s="26" customFormat="1" x14ac:dyDescent="0.25">
      <c r="A70" s="66"/>
      <c r="B70" s="51"/>
      <c r="C70" s="51"/>
      <c r="D70" s="46"/>
      <c r="E70" s="46"/>
      <c r="F70" s="46"/>
      <c r="G70" s="46"/>
      <c r="H70" s="46"/>
      <c r="I70" s="172"/>
      <c r="J70" s="54"/>
      <c r="K70" s="55"/>
      <c r="L70" s="51"/>
      <c r="M70" s="53"/>
      <c r="N70" s="50"/>
      <c r="O70" s="51"/>
      <c r="P70" s="174"/>
      <c r="Q70" s="54"/>
      <c r="R70" s="52"/>
      <c r="S70" s="3"/>
      <c r="T70" s="3"/>
      <c r="U70" s="53"/>
      <c r="V70" s="52"/>
      <c r="W70" s="3"/>
      <c r="X70" s="3"/>
      <c r="Y70" s="53"/>
      <c r="Z70" s="52"/>
      <c r="AA70" s="3"/>
      <c r="AB70" s="3"/>
      <c r="AC70" s="53"/>
      <c r="AD70" s="53"/>
      <c r="AE70" s="52"/>
      <c r="AF70" s="3"/>
      <c r="AG70" s="3"/>
      <c r="AH70" s="53"/>
      <c r="AI70" s="52"/>
      <c r="AJ70" s="3"/>
      <c r="AK70" s="174"/>
      <c r="AL70" s="53"/>
      <c r="AM70" s="52"/>
      <c r="AN70" s="3"/>
      <c r="AO70" s="3"/>
      <c r="AP70" s="53"/>
      <c r="AQ70" s="52"/>
      <c r="AR70" s="55"/>
      <c r="AS70" s="52"/>
      <c r="AT70" s="50"/>
      <c r="AU70" s="50"/>
      <c r="AV70" s="50"/>
      <c r="AW70" s="3"/>
      <c r="AX70" s="53"/>
      <c r="AY70" s="52"/>
      <c r="AZ70" s="53"/>
      <c r="BA70" s="54"/>
      <c r="BB70" s="53"/>
      <c r="BC70" s="51"/>
      <c r="BD70" s="3"/>
      <c r="BE70" s="3"/>
      <c r="BF70" s="3"/>
      <c r="BG70" s="3"/>
    </row>
    <row r="71" spans="1:59" s="26" customFormat="1" x14ac:dyDescent="0.25">
      <c r="A71" s="66"/>
      <c r="B71" s="51"/>
      <c r="C71" s="51"/>
      <c r="D71" s="46"/>
      <c r="E71" s="46"/>
      <c r="F71" s="46"/>
      <c r="G71" s="46"/>
      <c r="H71" s="46"/>
      <c r="I71" s="172"/>
      <c r="J71" s="54"/>
      <c r="K71" s="55"/>
      <c r="L71" s="51"/>
      <c r="M71" s="53"/>
      <c r="N71" s="50"/>
      <c r="O71" s="51"/>
      <c r="P71" s="174"/>
      <c r="Q71" s="54"/>
      <c r="R71" s="52"/>
      <c r="S71" s="3"/>
      <c r="T71" s="3"/>
      <c r="U71" s="53"/>
      <c r="V71" s="52"/>
      <c r="W71" s="3"/>
      <c r="X71" s="3"/>
      <c r="Y71" s="53"/>
      <c r="Z71" s="52"/>
      <c r="AA71" s="3"/>
      <c r="AB71" s="3"/>
      <c r="AC71" s="53"/>
      <c r="AD71" s="53"/>
      <c r="AE71" s="52"/>
      <c r="AF71" s="3"/>
      <c r="AG71" s="3"/>
      <c r="AH71" s="53"/>
      <c r="AI71" s="52"/>
      <c r="AJ71" s="3"/>
      <c r="AK71" s="174"/>
      <c r="AL71" s="53"/>
      <c r="AM71" s="52"/>
      <c r="AN71" s="3"/>
      <c r="AO71" s="3"/>
      <c r="AP71" s="53"/>
      <c r="AQ71" s="52"/>
      <c r="AR71" s="55"/>
      <c r="AS71" s="52"/>
      <c r="AT71" s="50"/>
      <c r="AU71" s="50"/>
      <c r="AV71" s="50"/>
      <c r="AW71" s="3"/>
      <c r="AX71" s="53"/>
      <c r="AY71" s="52"/>
      <c r="AZ71" s="53"/>
      <c r="BA71" s="54"/>
      <c r="BB71" s="53"/>
      <c r="BC71" s="51"/>
      <c r="BD71" s="3"/>
      <c r="BE71" s="3"/>
      <c r="BF71" s="3"/>
      <c r="BG71" s="3"/>
    </row>
    <row r="72" spans="1:59" s="26" customFormat="1" x14ac:dyDescent="0.25">
      <c r="A72" s="66"/>
      <c r="B72" s="51"/>
      <c r="C72" s="51"/>
      <c r="D72" s="46"/>
      <c r="E72" s="46"/>
      <c r="F72" s="46"/>
      <c r="G72" s="46"/>
      <c r="H72" s="46"/>
      <c r="I72" s="172"/>
      <c r="J72" s="54"/>
      <c r="K72" s="55"/>
      <c r="L72" s="51"/>
      <c r="M72" s="53"/>
      <c r="N72" s="50"/>
      <c r="O72" s="51"/>
      <c r="P72" s="174"/>
      <c r="Q72" s="54"/>
      <c r="R72" s="52"/>
      <c r="S72" s="3"/>
      <c r="T72" s="3"/>
      <c r="U72" s="53"/>
      <c r="V72" s="52"/>
      <c r="W72" s="3"/>
      <c r="X72" s="3"/>
      <c r="Y72" s="53"/>
      <c r="Z72" s="52"/>
      <c r="AA72" s="3"/>
      <c r="AB72" s="3"/>
      <c r="AC72" s="53"/>
      <c r="AD72" s="53"/>
      <c r="AE72" s="52"/>
      <c r="AF72" s="3"/>
      <c r="AG72" s="3"/>
      <c r="AH72" s="53"/>
      <c r="AI72" s="52"/>
      <c r="AJ72" s="3"/>
      <c r="AK72" s="174"/>
      <c r="AL72" s="53"/>
      <c r="AM72" s="52"/>
      <c r="AN72" s="3"/>
      <c r="AO72" s="3"/>
      <c r="AP72" s="53"/>
      <c r="AQ72" s="52"/>
      <c r="AR72" s="55"/>
      <c r="AS72" s="52"/>
      <c r="AT72" s="50"/>
      <c r="AU72" s="50"/>
      <c r="AV72" s="50"/>
      <c r="AW72" s="3"/>
      <c r="AX72" s="53"/>
      <c r="AY72" s="52"/>
      <c r="AZ72" s="53"/>
      <c r="BA72" s="54"/>
      <c r="BB72" s="53"/>
      <c r="BC72" s="51"/>
      <c r="BD72" s="3"/>
      <c r="BE72" s="3"/>
      <c r="BF72" s="3"/>
      <c r="BG72" s="3"/>
    </row>
    <row r="73" spans="1:59" s="26" customFormat="1" x14ac:dyDescent="0.25">
      <c r="A73" s="66"/>
      <c r="B73" s="51"/>
      <c r="C73" s="51"/>
      <c r="D73" s="46"/>
      <c r="E73" s="46"/>
      <c r="F73" s="46"/>
      <c r="G73" s="46"/>
      <c r="H73" s="46"/>
      <c r="I73" s="172"/>
      <c r="J73" s="54"/>
      <c r="K73" s="55"/>
      <c r="L73" s="51"/>
      <c r="M73" s="53"/>
      <c r="N73" s="50"/>
      <c r="O73" s="51"/>
      <c r="P73" s="174"/>
      <c r="Q73" s="54"/>
      <c r="R73" s="52"/>
      <c r="S73" s="3"/>
      <c r="T73" s="3"/>
      <c r="U73" s="53"/>
      <c r="V73" s="52"/>
      <c r="W73" s="3"/>
      <c r="X73" s="3"/>
      <c r="Y73" s="53"/>
      <c r="Z73" s="52"/>
      <c r="AA73" s="3"/>
      <c r="AB73" s="3"/>
      <c r="AC73" s="53"/>
      <c r="AD73" s="53"/>
      <c r="AE73" s="52"/>
      <c r="AF73" s="3"/>
      <c r="AG73" s="3"/>
      <c r="AH73" s="53"/>
      <c r="AI73" s="52"/>
      <c r="AJ73" s="3"/>
      <c r="AK73" s="174"/>
      <c r="AL73" s="53"/>
      <c r="AM73" s="52"/>
      <c r="AN73" s="3"/>
      <c r="AO73" s="3"/>
      <c r="AP73" s="53"/>
      <c r="AQ73" s="52"/>
      <c r="AR73" s="55"/>
      <c r="AS73" s="52"/>
      <c r="AT73" s="50"/>
      <c r="AU73" s="50"/>
      <c r="AV73" s="50"/>
      <c r="AW73" s="3"/>
      <c r="AX73" s="53"/>
      <c r="AY73" s="52"/>
      <c r="AZ73" s="53"/>
      <c r="BA73" s="54"/>
      <c r="BB73" s="53"/>
      <c r="BC73" s="51"/>
      <c r="BD73" s="3"/>
      <c r="BE73" s="3"/>
      <c r="BF73" s="3"/>
      <c r="BG73" s="3"/>
    </row>
    <row r="74" spans="1:59" s="26" customFormat="1" x14ac:dyDescent="0.25">
      <c r="A74" s="66"/>
      <c r="B74" s="51"/>
      <c r="C74" s="51"/>
      <c r="D74" s="46"/>
      <c r="E74" s="46"/>
      <c r="F74" s="46"/>
      <c r="G74" s="46"/>
      <c r="H74" s="46"/>
      <c r="I74" s="172"/>
      <c r="J74" s="54"/>
      <c r="K74" s="55"/>
      <c r="L74" s="51"/>
      <c r="M74" s="53"/>
      <c r="N74" s="50"/>
      <c r="O74" s="51"/>
      <c r="P74" s="174"/>
      <c r="Q74" s="54"/>
      <c r="R74" s="52"/>
      <c r="S74" s="3"/>
      <c r="T74" s="3"/>
      <c r="U74" s="53"/>
      <c r="V74" s="52"/>
      <c r="W74" s="3"/>
      <c r="X74" s="3"/>
      <c r="Y74" s="53"/>
      <c r="Z74" s="52"/>
      <c r="AA74" s="3"/>
      <c r="AB74" s="3"/>
      <c r="AC74" s="53"/>
      <c r="AD74" s="53"/>
      <c r="AE74" s="52"/>
      <c r="AF74" s="3"/>
      <c r="AG74" s="3"/>
      <c r="AH74" s="53"/>
      <c r="AI74" s="52"/>
      <c r="AJ74" s="3"/>
      <c r="AK74" s="174"/>
      <c r="AL74" s="53"/>
      <c r="AM74" s="52"/>
      <c r="AN74" s="3"/>
      <c r="AO74" s="3"/>
      <c r="AP74" s="53"/>
      <c r="AQ74" s="52"/>
      <c r="AR74" s="55"/>
      <c r="AS74" s="52"/>
      <c r="AT74" s="50"/>
      <c r="AU74" s="50"/>
      <c r="AV74" s="50"/>
      <c r="AW74" s="3"/>
      <c r="AX74" s="53"/>
      <c r="AY74" s="52"/>
      <c r="AZ74" s="53"/>
      <c r="BA74" s="54"/>
      <c r="BB74" s="53"/>
      <c r="BC74" s="51"/>
      <c r="BD74" s="3"/>
      <c r="BE74" s="3"/>
      <c r="BF74" s="3"/>
      <c r="BG74" s="3"/>
    </row>
    <row r="75" spans="1:59" s="26" customFormat="1" x14ac:dyDescent="0.25">
      <c r="A75" s="66"/>
      <c r="B75" s="51"/>
      <c r="C75" s="51"/>
      <c r="D75" s="46"/>
      <c r="E75" s="46"/>
      <c r="F75" s="46"/>
      <c r="G75" s="46"/>
      <c r="H75" s="46"/>
      <c r="I75" s="172"/>
      <c r="J75" s="54"/>
      <c r="K75" s="55"/>
      <c r="L75" s="51"/>
      <c r="M75" s="53"/>
      <c r="N75" s="50"/>
      <c r="O75" s="51"/>
      <c r="P75" s="174"/>
      <c r="Q75" s="54"/>
      <c r="R75" s="52"/>
      <c r="S75" s="3"/>
      <c r="T75" s="3"/>
      <c r="U75" s="53"/>
      <c r="V75" s="52"/>
      <c r="W75" s="3"/>
      <c r="X75" s="3"/>
      <c r="Y75" s="53"/>
      <c r="Z75" s="52"/>
      <c r="AA75" s="3"/>
      <c r="AB75" s="3"/>
      <c r="AC75" s="53"/>
      <c r="AD75" s="53"/>
      <c r="AE75" s="52"/>
      <c r="AF75" s="3"/>
      <c r="AG75" s="3"/>
      <c r="AH75" s="53"/>
      <c r="AI75" s="52"/>
      <c r="AJ75" s="3"/>
      <c r="AK75" s="174"/>
      <c r="AL75" s="53"/>
      <c r="AM75" s="52"/>
      <c r="AN75" s="3"/>
      <c r="AO75" s="3"/>
      <c r="AP75" s="53"/>
      <c r="AQ75" s="52"/>
      <c r="AR75" s="55"/>
      <c r="AS75" s="52"/>
      <c r="AT75" s="50"/>
      <c r="AU75" s="50"/>
      <c r="AV75" s="50"/>
      <c r="AW75" s="3"/>
      <c r="AX75" s="53"/>
      <c r="AY75" s="52"/>
      <c r="AZ75" s="53"/>
      <c r="BA75" s="54"/>
      <c r="BB75" s="53"/>
      <c r="BC75" s="51"/>
      <c r="BD75" s="3"/>
      <c r="BE75" s="3"/>
      <c r="BF75" s="3"/>
      <c r="BG75" s="3"/>
    </row>
    <row r="76" spans="1:59" s="26" customFormat="1" x14ac:dyDescent="0.25">
      <c r="A76" s="66"/>
      <c r="B76" s="51"/>
      <c r="C76" s="51"/>
      <c r="D76" s="46"/>
      <c r="E76" s="46"/>
      <c r="F76" s="46"/>
      <c r="G76" s="46"/>
      <c r="H76" s="46"/>
      <c r="I76" s="172"/>
      <c r="J76" s="54"/>
      <c r="K76" s="55"/>
      <c r="L76" s="51"/>
      <c r="M76" s="53"/>
      <c r="N76" s="50"/>
      <c r="O76" s="51"/>
      <c r="P76" s="174"/>
      <c r="Q76" s="54"/>
      <c r="R76" s="52"/>
      <c r="S76" s="3"/>
      <c r="T76" s="3"/>
      <c r="U76" s="53"/>
      <c r="V76" s="52"/>
      <c r="W76" s="3"/>
      <c r="X76" s="3"/>
      <c r="Y76" s="53"/>
      <c r="Z76" s="52"/>
      <c r="AA76" s="3"/>
      <c r="AB76" s="3"/>
      <c r="AC76" s="53"/>
      <c r="AD76" s="53"/>
      <c r="AE76" s="52"/>
      <c r="AF76" s="3"/>
      <c r="AG76" s="3"/>
      <c r="AH76" s="53"/>
      <c r="AI76" s="52"/>
      <c r="AJ76" s="3"/>
      <c r="AK76" s="174"/>
      <c r="AL76" s="53"/>
      <c r="AM76" s="52"/>
      <c r="AN76" s="3"/>
      <c r="AO76" s="3"/>
      <c r="AP76" s="53"/>
      <c r="AQ76" s="52"/>
      <c r="AR76" s="55"/>
      <c r="AS76" s="52"/>
      <c r="AT76" s="50"/>
      <c r="AU76" s="50"/>
      <c r="AV76" s="50"/>
      <c r="AW76" s="3"/>
      <c r="AX76" s="53"/>
      <c r="AY76" s="52"/>
      <c r="AZ76" s="53"/>
      <c r="BA76" s="54"/>
      <c r="BB76" s="53"/>
      <c r="BC76" s="51"/>
      <c r="BD76" s="3"/>
      <c r="BE76" s="3"/>
      <c r="BF76" s="3"/>
      <c r="BG76" s="3"/>
    </row>
    <row r="77" spans="1:59" s="26" customFormat="1" ht="15.75" thickBot="1" x14ac:dyDescent="0.3">
      <c r="A77" s="67"/>
      <c r="B77" s="65"/>
      <c r="C77" s="65"/>
      <c r="D77" s="61"/>
      <c r="E77" s="61"/>
      <c r="F77" s="61"/>
      <c r="G77" s="61"/>
      <c r="H77" s="61"/>
      <c r="I77" s="233"/>
      <c r="J77" s="59"/>
      <c r="K77" s="226"/>
      <c r="L77" s="65"/>
      <c r="M77" s="58"/>
      <c r="N77" s="176"/>
      <c r="O77" s="65"/>
      <c r="P77" s="175"/>
      <c r="Q77" s="59"/>
      <c r="R77" s="56"/>
      <c r="S77" s="57"/>
      <c r="T77" s="57"/>
      <c r="U77" s="58"/>
      <c r="V77" s="56"/>
      <c r="W77" s="57"/>
      <c r="X77" s="57"/>
      <c r="Y77" s="58"/>
      <c r="Z77" s="56"/>
      <c r="AA77" s="57"/>
      <c r="AB77" s="57"/>
      <c r="AC77" s="58"/>
      <c r="AD77" s="58"/>
      <c r="AE77" s="56"/>
      <c r="AF77" s="57"/>
      <c r="AG77" s="57"/>
      <c r="AH77" s="58"/>
      <c r="AI77" s="56"/>
      <c r="AJ77" s="57"/>
      <c r="AK77" s="175"/>
      <c r="AL77" s="58"/>
      <c r="AM77" s="56"/>
      <c r="AN77" s="57"/>
      <c r="AO77" s="57"/>
      <c r="AP77" s="58"/>
      <c r="AQ77" s="56"/>
      <c r="AR77" s="226"/>
      <c r="AS77" s="56"/>
      <c r="AT77" s="176"/>
      <c r="AU77" s="176"/>
      <c r="AV77" s="176"/>
      <c r="AW77" s="57"/>
      <c r="AX77" s="58"/>
      <c r="AY77" s="56"/>
      <c r="AZ77" s="58"/>
      <c r="BA77" s="59"/>
      <c r="BB77" s="58"/>
      <c r="BC77" s="51"/>
      <c r="BD77" s="3"/>
      <c r="BE77" s="3"/>
      <c r="BF77" s="3"/>
      <c r="BG77" s="3"/>
    </row>
  </sheetData>
  <mergeCells count="16">
    <mergeCell ref="Q27:Q31"/>
    <mergeCell ref="L1:M1"/>
    <mergeCell ref="AS1:AX1"/>
    <mergeCell ref="B1:I1"/>
    <mergeCell ref="AI1:AL1"/>
    <mergeCell ref="Z1:AC1"/>
    <mergeCell ref="J1:K1"/>
    <mergeCell ref="N1:Q1"/>
    <mergeCell ref="AD1:AH1"/>
    <mergeCell ref="BA1:BB1"/>
    <mergeCell ref="N20:Q20"/>
    <mergeCell ref="AY1:AZ1"/>
    <mergeCell ref="R1:U1"/>
    <mergeCell ref="AM1:AP1"/>
    <mergeCell ref="V1:Y1"/>
    <mergeCell ref="AQ1:AR1"/>
  </mergeCells>
  <hyperlinks>
    <hyperlink ref="Q27:Q31" r:id="rId1" display="\\filestore.soton.ac.uk\users\aat1f15\mydocuments\Zurich Instruments\LabOne\WebServer"/>
    <hyperlink ref="BC27" r:id="rId2"/>
    <hyperlink ref="BC28" r:id="rId3"/>
    <hyperlink ref="BC29" r:id="rId4"/>
    <hyperlink ref="BC30" r:id="rId5"/>
    <hyperlink ref="BC31" r:id="rId6"/>
    <hyperlink ref="Q32" r:id="rId7"/>
    <hyperlink ref="BC32" r:id="rId8"/>
    <hyperlink ref="BC33" r:id="rId9"/>
    <hyperlink ref="Q33" r:id="rId10"/>
    <hyperlink ref="Q34" r:id="rId11"/>
    <hyperlink ref="BC34" r:id="rId12"/>
  </hyperlinks>
  <pageMargins left="0.7" right="0.7" top="0.75" bottom="0.75" header="0.3" footer="0.3"/>
  <pageSetup paperSize="9" orientation="portrait" horizontalDpi="1200" verticalDpi="1200" r:id="rId13"/>
  <legacyDrawing r:id="rId1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66"/>
  <sheetViews>
    <sheetView workbookViewId="0">
      <pane xSplit="2" ySplit="2" topLeftCell="AE3" activePane="bottomRight" state="frozen"/>
      <selection pane="topRight" activeCell="C1" sqref="C1"/>
      <selection pane="bottomLeft" activeCell="A3" sqref="A3"/>
      <selection pane="bottomRight" activeCell="AH40" sqref="AH40"/>
    </sheetView>
  </sheetViews>
  <sheetFormatPr defaultRowHeight="15" x14ac:dyDescent="0.25"/>
  <cols>
    <col min="1" max="1" width="3.7109375" style="22" bestFit="1" customWidth="1"/>
    <col min="2" max="2" width="44.42578125" style="68" customWidth="1"/>
    <col min="3" max="7" width="3.7109375" style="22" customWidth="1"/>
    <col min="8" max="26" width="3.7109375" style="192" customWidth="1"/>
    <col min="27" max="27" width="3.85546875" style="192" customWidth="1"/>
    <col min="28" max="56" width="3.7109375" style="192" customWidth="1"/>
  </cols>
  <sheetData>
    <row r="1" spans="1:56" x14ac:dyDescent="0.25">
      <c r="C1" s="63" t="s">
        <v>155</v>
      </c>
      <c r="H1" s="190"/>
      <c r="I1" s="191" t="s">
        <v>291</v>
      </c>
      <c r="L1" s="193" t="s">
        <v>163</v>
      </c>
      <c r="M1" s="194" t="s">
        <v>292</v>
      </c>
    </row>
    <row r="2" spans="1:56" s="27" customFormat="1" ht="26.25" x14ac:dyDescent="0.25">
      <c r="A2" s="69" t="s">
        <v>154</v>
      </c>
      <c r="B2" s="70" t="s">
        <v>153</v>
      </c>
      <c r="C2" s="71" t="str">
        <f>INDEX('Run Log'!$A:$A,ROW('Run Log'!$A$3)+COLUMN('Test Proc'!C2)-COLUMN('Test Proc'!$C$2))</f>
        <v>A</v>
      </c>
      <c r="D2" s="71" t="str">
        <f>INDEX('Run Log'!$A:$A,ROW('Run Log'!$A$3)+COLUMN('Test Proc'!D2)-COLUMN('Test Proc'!$C$2))</f>
        <v>B</v>
      </c>
      <c r="E2" s="71" t="str">
        <f>INDEX('Run Log'!$A:$A,ROW('Run Log'!$A$3)+COLUMN('Test Proc'!E2)-COLUMN('Test Proc'!$C$2))</f>
        <v>C</v>
      </c>
      <c r="F2" s="71" t="str">
        <f>INDEX('Run Log'!$A:$A,ROW('Run Log'!$A$3)+COLUMN('Test Proc'!F2)-COLUMN('Test Proc'!$C$2))</f>
        <v>D</v>
      </c>
      <c r="G2" s="71" t="str">
        <f>INDEX('Run Log'!$A:$A,ROW('Run Log'!$A$3)+COLUMN('Test Proc'!G2)-COLUMN('Test Proc'!$C$2))</f>
        <v>E</v>
      </c>
      <c r="H2" s="193" t="str">
        <f>INDEX('Run Log'!$A:$A,ROW('Run Log'!$A$3)+COLUMN('Test Proc'!H2)-COLUMN('Test Proc'!$C$2))</f>
        <v>F</v>
      </c>
      <c r="I2" s="193" t="str">
        <f>INDEX('Run Log'!$A:$A,ROW('Run Log'!$A$3)+COLUMN('Test Proc'!I2)-COLUMN('Test Proc'!$C$2))</f>
        <v>G</v>
      </c>
      <c r="J2" s="193" t="str">
        <f>INDEX('Run Log'!$A:$A,ROW('Run Log'!$A$3)+COLUMN('Test Proc'!J2)-COLUMN('Test Proc'!$C$2))</f>
        <v>H</v>
      </c>
      <c r="K2" s="193" t="str">
        <f>INDEX('Run Log'!$A:$A,ROW('Run Log'!$A$3)+COLUMN('Test Proc'!K2)-COLUMN('Test Proc'!$C$2))</f>
        <v>I</v>
      </c>
      <c r="L2" s="193" t="str">
        <f>INDEX('Run Log'!$A:$A,ROW('Run Log'!$A$3)+COLUMN('Test Proc'!L2)-COLUMN('Test Proc'!$C$2))</f>
        <v>J</v>
      </c>
      <c r="M2" s="193" t="str">
        <f>INDEX('Run Log'!$A:$A,ROW('Run Log'!$A$3)+COLUMN('Test Proc'!M2)-COLUMN('Test Proc'!$C$2))</f>
        <v>K</v>
      </c>
      <c r="N2" s="193" t="str">
        <f>INDEX('Run Log'!$A:$A,ROW('Run Log'!$A$3)+COLUMN('Test Proc'!N2)-COLUMN('Test Proc'!$C$2))</f>
        <v>L</v>
      </c>
      <c r="O2" s="193" t="str">
        <f>INDEX('Run Log'!$A:$A,ROW('Run Log'!$A$3)+COLUMN('Test Proc'!O2)-COLUMN('Test Proc'!$C$2))</f>
        <v>M</v>
      </c>
      <c r="P2" s="193" t="str">
        <f>INDEX('Run Log'!$A:$A,ROW('Run Log'!$A$3)+COLUMN('Test Proc'!P2)-COLUMN('Test Proc'!$C$2))</f>
        <v>N</v>
      </c>
      <c r="Q2" s="193" t="str">
        <f>INDEX('Run Log'!$A:$A,ROW('Run Log'!$A$3)+COLUMN('Test Proc'!Q2)-COLUMN('Test Proc'!$C$2))</f>
        <v>O</v>
      </c>
      <c r="R2" s="193" t="str">
        <f>INDEX('Run Log'!$A:$A,ROW('Run Log'!$A$3)+COLUMN('Test Proc'!R2)-COLUMN('Test Proc'!$C$2))</f>
        <v>P</v>
      </c>
      <c r="S2" s="193" t="str">
        <f>INDEX('Run Log'!$A:$A,ROW('Run Log'!$A$3)+COLUMN('Test Proc'!S2)-COLUMN('Test Proc'!$C$2))</f>
        <v>Q</v>
      </c>
      <c r="T2" s="193" t="str">
        <f>INDEX('Run Log'!$A:$A,ROW('Run Log'!$A$3)+COLUMN('Test Proc'!T2)-COLUMN('Test Proc'!$C$2))</f>
        <v>R</v>
      </c>
      <c r="U2" s="193" t="str">
        <f>INDEX('Run Log'!$A:$A,ROW('Run Log'!$A$3)+COLUMN('Test Proc'!U2)-COLUMN('Test Proc'!$C$2))</f>
        <v>S</v>
      </c>
      <c r="V2" s="193" t="str">
        <f>INDEX('Run Log'!$A:$A,ROW('Run Log'!$A$3)+COLUMN('Test Proc'!V2)-COLUMN('Test Proc'!$C$2))</f>
        <v>T</v>
      </c>
      <c r="W2" s="193" t="str">
        <f>INDEX('Run Log'!$A:$A,ROW('Run Log'!$A$3)+COLUMN('Test Proc'!W2)-COLUMN('Test Proc'!$C$2))</f>
        <v>U</v>
      </c>
      <c r="X2" s="193" t="str">
        <f>INDEX('Run Log'!$A:$A,ROW('Run Log'!$A$3)+COLUMN('Test Proc'!X2)-COLUMN('Test Proc'!$C$2))</f>
        <v>V</v>
      </c>
      <c r="Y2" s="193" t="str">
        <f>INDEX('Run Log'!$A:$A,ROW('Run Log'!$A$3)+COLUMN('Test Proc'!Y2)-COLUMN('Test Proc'!$C$2))</f>
        <v>W</v>
      </c>
      <c r="Z2" s="193" t="str">
        <f>INDEX('Run Log'!$A:$A,ROW('Run Log'!$A$3)+COLUMN('Test Proc'!Z2)-COLUMN('Test Proc'!$C$2))</f>
        <v>X</v>
      </c>
      <c r="AA2" s="193" t="str">
        <f>INDEX('Run Log'!$A:$A,ROW('Run Log'!$A$3)+COLUMN('Test Proc'!AA2)-COLUMN('Test Proc'!$C$2))</f>
        <v>Y</v>
      </c>
      <c r="AB2" s="193" t="str">
        <f>INDEX('Run Log'!$A:$A,ROW('Run Log'!$A$3)+COLUMN('Test Proc'!AB2)-COLUMN('Test Proc'!$C$2))</f>
        <v>Z</v>
      </c>
      <c r="AC2" s="193" t="str">
        <f>INDEX('Run Log'!$A:$A,ROW('Run Log'!$A$3)+COLUMN('Test Proc'!AC2)-COLUMN('Test Proc'!$C$2))</f>
        <v>AA</v>
      </c>
      <c r="AD2" s="193" t="str">
        <f>INDEX('Run Log'!$A:$A,ROW('Run Log'!$A$3)+COLUMN('Test Proc'!AD2)-COLUMN('Test Proc'!$C$2))</f>
        <v>AB</v>
      </c>
      <c r="AE2" s="193" t="str">
        <f>INDEX('Run Log'!$A:$A,ROW('Run Log'!$A$3)+COLUMN('Test Proc'!AE2)-COLUMN('Test Proc'!$C$2))</f>
        <v>AC</v>
      </c>
      <c r="AF2" s="193" t="str">
        <f>INDEX('Run Log'!$A:$A,ROW('Run Log'!$A$3)+COLUMN('Test Proc'!AF2)-COLUMN('Test Proc'!$C$2))</f>
        <v>AD</v>
      </c>
      <c r="AG2" s="193" t="str">
        <f>INDEX('Run Log'!$A:$A,ROW('Run Log'!$A$3)+COLUMN('Test Proc'!AG2)-COLUMN('Test Proc'!$C$2))</f>
        <v>AE</v>
      </c>
      <c r="AH2" s="193" t="str">
        <f>INDEX('Run Log'!$A:$A,ROW('Run Log'!$A$3)+COLUMN('Test Proc'!AH2)-COLUMN('Test Proc'!$C$2))</f>
        <v>AF</v>
      </c>
      <c r="AI2" s="193" t="str">
        <f>INDEX('Run Log'!$A:$A,ROW('Run Log'!$A$3)+COLUMN('Test Proc'!AI2)-COLUMN('Test Proc'!$C$2))</f>
        <v>AG</v>
      </c>
      <c r="AJ2" s="193" t="str">
        <f>INDEX('Run Log'!$A:$A,ROW('Run Log'!$A$3)+COLUMN('Test Proc'!AJ2)-COLUMN('Test Proc'!$C$2))</f>
        <v>AH</v>
      </c>
      <c r="AK2" s="193" t="str">
        <f>INDEX('Run Log'!$A:$A,ROW('Run Log'!$A$3)+COLUMN('Test Proc'!AK2)-COLUMN('Test Proc'!$C$2))</f>
        <v>AI</v>
      </c>
      <c r="AL2" s="193" t="str">
        <f>INDEX('Run Log'!$A:$A,ROW('Run Log'!$A$3)+COLUMN('Test Proc'!AL2)-COLUMN('Test Proc'!$C$2))</f>
        <v>AJ</v>
      </c>
      <c r="AM2" s="193" t="str">
        <f>INDEX('Run Log'!$A:$A,ROW('Run Log'!$A$3)+COLUMN('Test Proc'!AM2)-COLUMN('Test Proc'!$C$2))</f>
        <v>AK</v>
      </c>
      <c r="AN2" s="193" t="str">
        <f>INDEX('Run Log'!$A:$A,ROW('Run Log'!$A$3)+COLUMN('Test Proc'!AN2)-COLUMN('Test Proc'!$C$2))</f>
        <v>AL</v>
      </c>
      <c r="AO2" s="193" t="str">
        <f>INDEX('Run Log'!$A:$A,ROW('Run Log'!$A$3)+COLUMN('Test Proc'!AO2)-COLUMN('Test Proc'!$C$2))</f>
        <v>AM</v>
      </c>
      <c r="AP2" s="193" t="str">
        <f>INDEX('Run Log'!$A:$A,ROW('Run Log'!$A$3)+COLUMN('Test Proc'!AP2)-COLUMN('Test Proc'!$C$2))</f>
        <v>AN</v>
      </c>
      <c r="AQ2" s="193" t="str">
        <f>INDEX('Run Log'!$A:$A,ROW('Run Log'!$A$3)+COLUMN('Test Proc'!AQ2)-COLUMN('Test Proc'!$C$2))</f>
        <v>AO</v>
      </c>
      <c r="AR2" s="193" t="str">
        <f>INDEX('Run Log'!$A:$A,ROW('Run Log'!$A$3)+COLUMN('Test Proc'!AR2)-COLUMN('Test Proc'!$C$2))</f>
        <v>AP</v>
      </c>
      <c r="AS2" s="193" t="str">
        <f>INDEX('Run Log'!$A:$A,ROW('Run Log'!$A$3)+COLUMN('Test Proc'!AS2)-COLUMN('Test Proc'!$C$2))</f>
        <v>AQ</v>
      </c>
      <c r="AT2" s="193" t="str">
        <f>INDEX('Run Log'!$A:$A,ROW('Run Log'!$A$3)+COLUMN('Test Proc'!AT2)-COLUMN('Test Proc'!$C$2))</f>
        <v>AR</v>
      </c>
      <c r="AU2" s="193" t="str">
        <f>INDEX('Run Log'!$A:$A,ROW('Run Log'!$A$3)+COLUMN('Test Proc'!AU2)-COLUMN('Test Proc'!$C$2))</f>
        <v>AS</v>
      </c>
      <c r="AV2" s="193" t="str">
        <f>INDEX('Run Log'!$A:$A,ROW('Run Log'!$A$3)+COLUMN('Test Proc'!AV2)-COLUMN('Test Proc'!$C$2))</f>
        <v>AT</v>
      </c>
      <c r="AW2" s="193" t="str">
        <f>INDEX('Run Log'!$A:$A,ROW('Run Log'!$A$3)+COLUMN('Test Proc'!AW2)-COLUMN('Test Proc'!$C$2))</f>
        <v>AU</v>
      </c>
      <c r="AX2" s="193" t="str">
        <f>INDEX('Run Log'!$A:$A,ROW('Run Log'!$A$3)+COLUMN('Test Proc'!AX2)-COLUMN('Test Proc'!$C$2))</f>
        <v>AV</v>
      </c>
      <c r="AY2" s="193" t="str">
        <f>INDEX('Run Log'!$A:$A,ROW('Run Log'!$A$3)+COLUMN('Test Proc'!AY2)-COLUMN('Test Proc'!$C$2))</f>
        <v>AW</v>
      </c>
      <c r="AZ2" s="193" t="str">
        <f>INDEX('Run Log'!$A:$A,ROW('Run Log'!$A$3)+COLUMN('Test Proc'!AZ2)-COLUMN('Test Proc'!$C$2))</f>
        <v>AX</v>
      </c>
      <c r="BA2" s="193" t="str">
        <f>INDEX('Run Log'!$A:$A,ROW('Run Log'!$A$3)+COLUMN('Test Proc'!BA2)-COLUMN('Test Proc'!$C$2))</f>
        <v>AY</v>
      </c>
      <c r="BB2" s="193" t="str">
        <f>INDEX('Run Log'!$A:$A,ROW('Run Log'!$A$3)+COLUMN('Test Proc'!BB2)-COLUMN('Test Proc'!$C$2))</f>
        <v>AZ</v>
      </c>
      <c r="BC2" s="193" t="str">
        <f>INDEX('Run Log'!$A:$A,ROW('Run Log'!$A$3)+COLUMN('Test Proc'!BC2)-COLUMN('Test Proc'!$C$2))</f>
        <v>BA</v>
      </c>
      <c r="BD2" s="193" t="str">
        <f>INDEX('Run Log'!$A:$A,ROW('Run Log'!$A$3)+COLUMN('Test Proc'!BD2)-COLUMN('Test Proc'!$C$2))</f>
        <v>BB</v>
      </c>
    </row>
    <row r="3" spans="1:56" s="27" customFormat="1" hidden="1" x14ac:dyDescent="0.25">
      <c r="A3" s="72">
        <v>0</v>
      </c>
      <c r="B3" s="70" t="s">
        <v>301</v>
      </c>
      <c r="C3" s="71" t="s">
        <v>163</v>
      </c>
      <c r="D3" s="71" t="s">
        <v>163</v>
      </c>
      <c r="E3" s="71" t="s">
        <v>163</v>
      </c>
      <c r="F3" s="71" t="s">
        <v>163</v>
      </c>
      <c r="G3" s="71" t="s">
        <v>163</v>
      </c>
      <c r="H3" s="193" t="s">
        <v>163</v>
      </c>
      <c r="I3" s="193" t="s">
        <v>163</v>
      </c>
      <c r="J3" s="193" t="s">
        <v>163</v>
      </c>
      <c r="K3" s="193" t="s">
        <v>163</v>
      </c>
      <c r="L3" s="193" t="s">
        <v>163</v>
      </c>
      <c r="M3" s="193" t="s">
        <v>163</v>
      </c>
      <c r="N3" s="193" t="s">
        <v>163</v>
      </c>
      <c r="O3" s="193" t="s">
        <v>163</v>
      </c>
      <c r="P3" s="193" t="s">
        <v>163</v>
      </c>
      <c r="Q3" s="239" t="s">
        <v>163</v>
      </c>
      <c r="R3" s="239" t="s">
        <v>163</v>
      </c>
      <c r="S3" s="239" t="s">
        <v>163</v>
      </c>
      <c r="T3" s="239" t="s">
        <v>163</v>
      </c>
      <c r="U3" s="239" t="s">
        <v>163</v>
      </c>
      <c r="V3" s="193" t="s">
        <v>163</v>
      </c>
      <c r="W3" s="193" t="s">
        <v>163</v>
      </c>
      <c r="X3" s="193" t="s">
        <v>163</v>
      </c>
      <c r="Y3" s="193" t="s">
        <v>163</v>
      </c>
      <c r="Z3" s="239" t="s">
        <v>163</v>
      </c>
      <c r="AA3" s="177"/>
      <c r="AB3" s="177"/>
      <c r="AC3" s="177"/>
      <c r="AD3" s="177"/>
      <c r="AE3" s="177"/>
      <c r="AF3" s="177"/>
      <c r="AG3" s="177"/>
      <c r="AH3" s="177"/>
      <c r="AI3" s="177"/>
      <c r="AJ3" s="177"/>
      <c r="AK3" s="177"/>
      <c r="AL3" s="177"/>
      <c r="AM3" s="177"/>
      <c r="AN3" s="177"/>
      <c r="AO3" s="193"/>
      <c r="AP3" s="193"/>
      <c r="AQ3" s="193"/>
      <c r="AR3" s="193"/>
      <c r="AS3" s="193"/>
      <c r="AT3" s="193"/>
      <c r="AU3" s="193"/>
      <c r="AV3" s="193"/>
      <c r="AW3" s="193"/>
      <c r="AX3" s="193"/>
      <c r="AY3" s="193"/>
      <c r="AZ3" s="193"/>
      <c r="BA3" s="193"/>
      <c r="BB3" s="193"/>
      <c r="BC3" s="193"/>
      <c r="BD3" s="193"/>
    </row>
    <row r="4" spans="1:56" x14ac:dyDescent="0.25">
      <c r="A4" s="72">
        <f>A3+1</f>
        <v>1</v>
      </c>
      <c r="B4" s="74" t="s">
        <v>168</v>
      </c>
      <c r="C4" s="171" t="s">
        <v>163</v>
      </c>
      <c r="D4" s="171" t="s">
        <v>163</v>
      </c>
      <c r="E4" s="171" t="s">
        <v>163</v>
      </c>
      <c r="F4" s="171" t="s">
        <v>163</v>
      </c>
      <c r="G4" s="171" t="s">
        <v>163</v>
      </c>
      <c r="H4" s="195" t="s">
        <v>163</v>
      </c>
      <c r="I4" s="195" t="s">
        <v>163</v>
      </c>
      <c r="J4" s="195" t="s">
        <v>163</v>
      </c>
      <c r="K4" s="195" t="s">
        <v>163</v>
      </c>
      <c r="L4" s="98" t="s">
        <v>163</v>
      </c>
      <c r="M4" s="98" t="s">
        <v>163</v>
      </c>
      <c r="N4" s="98" t="s">
        <v>163</v>
      </c>
      <c r="O4" s="98" t="s">
        <v>163</v>
      </c>
      <c r="P4" s="98" t="s">
        <v>163</v>
      </c>
      <c r="Q4" s="98" t="s">
        <v>163</v>
      </c>
      <c r="R4" s="98" t="s">
        <v>163</v>
      </c>
      <c r="S4" s="177"/>
      <c r="T4" s="98" t="s">
        <v>163</v>
      </c>
      <c r="U4" s="98" t="s">
        <v>163</v>
      </c>
      <c r="V4" s="98" t="s">
        <v>163</v>
      </c>
      <c r="W4" s="98" t="s">
        <v>163</v>
      </c>
      <c r="X4" s="98" t="s">
        <v>163</v>
      </c>
      <c r="Y4" s="98" t="s">
        <v>163</v>
      </c>
      <c r="Z4" s="177"/>
      <c r="AA4" s="177"/>
      <c r="AB4" s="177"/>
      <c r="AC4" s="177"/>
      <c r="AD4" s="177"/>
      <c r="AE4" s="177"/>
      <c r="AF4" s="177"/>
      <c r="AG4" s="177"/>
      <c r="AH4" s="177"/>
      <c r="AI4" s="98"/>
      <c r="AJ4" s="98"/>
      <c r="AK4" s="98"/>
      <c r="AL4" s="98"/>
      <c r="AM4" s="98"/>
      <c r="AN4" s="98"/>
      <c r="AO4" s="98"/>
      <c r="AP4" s="98"/>
      <c r="AQ4" s="98"/>
      <c r="AR4" s="98"/>
      <c r="AS4" s="98"/>
      <c r="AT4" s="98"/>
      <c r="AU4" s="98"/>
      <c r="AV4" s="98"/>
      <c r="AW4" s="98"/>
      <c r="AX4" s="98"/>
      <c r="AY4" s="98"/>
      <c r="AZ4" s="98"/>
      <c r="BA4" s="98"/>
      <c r="BB4" s="98"/>
      <c r="BC4" s="98"/>
      <c r="BD4" s="98"/>
    </row>
    <row r="5" spans="1:56" ht="30" x14ac:dyDescent="0.25">
      <c r="A5" s="72">
        <f t="shared" ref="A5:A62" si="0">A4+1</f>
        <v>2</v>
      </c>
      <c r="B5" s="74" t="s">
        <v>449</v>
      </c>
      <c r="C5" s="177"/>
      <c r="D5" s="177"/>
      <c r="E5" s="177"/>
      <c r="F5" s="177"/>
      <c r="G5" s="177"/>
      <c r="H5" s="177"/>
      <c r="I5" s="177"/>
      <c r="J5" s="177"/>
      <c r="K5" s="177"/>
      <c r="L5" s="177"/>
      <c r="M5" s="177"/>
      <c r="N5" s="177"/>
      <c r="O5" s="177"/>
      <c r="P5" s="177"/>
      <c r="Q5" s="177"/>
      <c r="R5" s="177"/>
      <c r="S5" s="177"/>
      <c r="T5" s="98" t="s">
        <v>163</v>
      </c>
      <c r="U5" s="98" t="s">
        <v>163</v>
      </c>
      <c r="V5" s="98" t="s">
        <v>163</v>
      </c>
      <c r="W5" s="98" t="s">
        <v>163</v>
      </c>
      <c r="X5" s="98" t="s">
        <v>163</v>
      </c>
      <c r="Y5" s="98" t="s">
        <v>163</v>
      </c>
      <c r="Z5" s="177"/>
      <c r="AA5" s="177"/>
      <c r="AB5" s="177"/>
      <c r="AC5" s="177"/>
      <c r="AD5" s="177"/>
      <c r="AE5" s="177"/>
      <c r="AF5" s="177"/>
      <c r="AG5" s="177"/>
      <c r="AH5" s="177"/>
      <c r="AI5" s="98"/>
      <c r="AJ5" s="98"/>
      <c r="AK5" s="98"/>
      <c r="AL5" s="98"/>
      <c r="AM5" s="98"/>
      <c r="AN5" s="98"/>
      <c r="AO5" s="98"/>
      <c r="AP5" s="98"/>
      <c r="AQ5" s="98"/>
      <c r="AR5" s="98"/>
      <c r="AS5" s="98"/>
      <c r="AT5" s="98"/>
      <c r="AU5" s="98"/>
      <c r="AV5" s="98"/>
      <c r="AW5" s="98"/>
      <c r="AX5" s="98"/>
      <c r="AY5" s="98"/>
      <c r="AZ5" s="98"/>
      <c r="BA5" s="98"/>
      <c r="BB5" s="98"/>
      <c r="BC5" s="98"/>
      <c r="BD5" s="98"/>
    </row>
    <row r="6" spans="1:56" ht="30" x14ac:dyDescent="0.25">
      <c r="A6" s="72">
        <f t="shared" si="0"/>
        <v>3</v>
      </c>
      <c r="B6" s="74" t="s">
        <v>169</v>
      </c>
      <c r="C6" s="171" t="s">
        <v>163</v>
      </c>
      <c r="D6" s="171" t="s">
        <v>163</v>
      </c>
      <c r="E6" s="171" t="s">
        <v>163</v>
      </c>
      <c r="F6" s="171" t="s">
        <v>163</v>
      </c>
      <c r="G6" s="171" t="s">
        <v>163</v>
      </c>
      <c r="H6" s="195" t="s">
        <v>163</v>
      </c>
      <c r="I6" s="195" t="s">
        <v>163</v>
      </c>
      <c r="J6" s="195" t="s">
        <v>163</v>
      </c>
      <c r="K6" s="195" t="s">
        <v>163</v>
      </c>
      <c r="L6" s="98" t="s">
        <v>163</v>
      </c>
      <c r="M6" s="98" t="s">
        <v>163</v>
      </c>
      <c r="N6" s="98" t="s">
        <v>163</v>
      </c>
      <c r="O6" s="98" t="s">
        <v>163</v>
      </c>
      <c r="P6" s="98" t="s">
        <v>163</v>
      </c>
      <c r="Q6" s="98" t="s">
        <v>163</v>
      </c>
      <c r="R6" s="98" t="s">
        <v>163</v>
      </c>
      <c r="S6" s="177"/>
      <c r="T6" s="98" t="s">
        <v>163</v>
      </c>
      <c r="U6" s="98" t="s">
        <v>163</v>
      </c>
      <c r="V6" s="98" t="s">
        <v>163</v>
      </c>
      <c r="W6" s="98" t="s">
        <v>163</v>
      </c>
      <c r="X6" s="98" t="s">
        <v>163</v>
      </c>
      <c r="Y6" s="98" t="s">
        <v>163</v>
      </c>
      <c r="Z6" s="177"/>
      <c r="AA6" s="177"/>
      <c r="AB6" s="177"/>
      <c r="AC6" s="177"/>
      <c r="AD6" s="177"/>
      <c r="AE6" s="177"/>
      <c r="AF6" s="177"/>
      <c r="AG6" s="177"/>
      <c r="AH6" s="177"/>
      <c r="AI6" s="98"/>
      <c r="AJ6" s="98"/>
      <c r="AK6" s="98"/>
      <c r="AL6" s="98"/>
      <c r="AM6" s="98"/>
      <c r="AN6" s="98"/>
      <c r="AO6" s="98"/>
      <c r="AP6" s="98"/>
      <c r="AQ6" s="98"/>
      <c r="AR6" s="98"/>
      <c r="AS6" s="98"/>
      <c r="AT6" s="98"/>
      <c r="AU6" s="98"/>
      <c r="AV6" s="98"/>
      <c r="AW6" s="98"/>
      <c r="AX6" s="98"/>
      <c r="AY6" s="98"/>
      <c r="AZ6" s="98"/>
      <c r="BA6" s="98"/>
      <c r="BB6" s="98"/>
      <c r="BC6" s="98"/>
      <c r="BD6" s="98"/>
    </row>
    <row r="7" spans="1:56" hidden="1" x14ac:dyDescent="0.25">
      <c r="A7" s="72">
        <f t="shared" si="0"/>
        <v>4</v>
      </c>
      <c r="B7" s="75" t="s">
        <v>273</v>
      </c>
      <c r="C7" s="171" t="s">
        <v>163</v>
      </c>
      <c r="D7" s="171" t="s">
        <v>163</v>
      </c>
      <c r="E7" s="171" t="s">
        <v>163</v>
      </c>
      <c r="F7" s="171" t="s">
        <v>163</v>
      </c>
      <c r="G7" s="171" t="s">
        <v>163</v>
      </c>
      <c r="H7" s="195" t="s">
        <v>163</v>
      </c>
      <c r="I7" s="195" t="s">
        <v>163</v>
      </c>
      <c r="J7" s="195" t="s">
        <v>163</v>
      </c>
      <c r="K7" s="195" t="s">
        <v>163</v>
      </c>
      <c r="L7" s="98" t="s">
        <v>163</v>
      </c>
      <c r="M7" s="98" t="s">
        <v>163</v>
      </c>
      <c r="N7" s="224" t="s">
        <v>163</v>
      </c>
      <c r="O7" s="224" t="s">
        <v>163</v>
      </c>
      <c r="P7" s="224" t="s">
        <v>163</v>
      </c>
      <c r="Q7" s="98" t="s">
        <v>163</v>
      </c>
      <c r="R7" s="98" t="s">
        <v>163</v>
      </c>
      <c r="S7" s="177"/>
      <c r="T7" s="98" t="s">
        <v>163</v>
      </c>
      <c r="U7" s="98" t="s">
        <v>163</v>
      </c>
      <c r="V7" s="98" t="s">
        <v>163</v>
      </c>
      <c r="W7" s="98" t="s">
        <v>163</v>
      </c>
      <c r="X7" s="98" t="s">
        <v>163</v>
      </c>
      <c r="Y7" s="98" t="s">
        <v>163</v>
      </c>
      <c r="Z7" s="177"/>
      <c r="AA7" s="177"/>
      <c r="AB7" s="177"/>
      <c r="AC7" s="177"/>
      <c r="AD7" s="177"/>
      <c r="AE7" s="177"/>
      <c r="AF7" s="177"/>
      <c r="AG7" s="177"/>
      <c r="AH7" s="177"/>
      <c r="AI7" s="177"/>
      <c r="AJ7" s="177"/>
      <c r="AK7" s="177"/>
      <c r="AL7" s="177"/>
      <c r="AM7" s="177"/>
      <c r="AN7" s="177"/>
      <c r="AO7" s="98"/>
      <c r="AP7" s="98"/>
      <c r="AQ7" s="98"/>
      <c r="AR7" s="98"/>
      <c r="AS7" s="98"/>
      <c r="AT7" s="98"/>
      <c r="AU7" s="98"/>
      <c r="AV7" s="98"/>
      <c r="AW7" s="98"/>
      <c r="AX7" s="98"/>
      <c r="AY7" s="98"/>
      <c r="AZ7" s="98"/>
      <c r="BA7" s="98"/>
      <c r="BB7" s="98"/>
      <c r="BC7" s="98"/>
      <c r="BD7" s="98"/>
    </row>
    <row r="8" spans="1:56" x14ac:dyDescent="0.25">
      <c r="A8" s="72">
        <f t="shared" si="0"/>
        <v>5</v>
      </c>
      <c r="B8" s="73" t="s">
        <v>170</v>
      </c>
      <c r="C8" s="171" t="s">
        <v>163</v>
      </c>
      <c r="D8" s="171" t="s">
        <v>163</v>
      </c>
      <c r="E8" s="171" t="s">
        <v>163</v>
      </c>
      <c r="F8" s="171" t="s">
        <v>163</v>
      </c>
      <c r="G8" s="171" t="s">
        <v>163</v>
      </c>
      <c r="H8" s="195" t="s">
        <v>163</v>
      </c>
      <c r="I8" s="195" t="s">
        <v>163</v>
      </c>
      <c r="J8" s="195" t="s">
        <v>163</v>
      </c>
      <c r="K8" s="195" t="s">
        <v>163</v>
      </c>
      <c r="L8" s="98" t="s">
        <v>163</v>
      </c>
      <c r="M8" s="98" t="s">
        <v>163</v>
      </c>
      <c r="N8" s="98" t="s">
        <v>163</v>
      </c>
      <c r="O8" s="98" t="s">
        <v>163</v>
      </c>
      <c r="P8" s="98" t="s">
        <v>163</v>
      </c>
      <c r="Q8" s="98" t="s">
        <v>163</v>
      </c>
      <c r="R8" s="98" t="s">
        <v>163</v>
      </c>
      <c r="S8" s="98" t="s">
        <v>163</v>
      </c>
      <c r="T8" s="98" t="s">
        <v>163</v>
      </c>
      <c r="U8" s="98" t="s">
        <v>163</v>
      </c>
      <c r="V8" s="98" t="s">
        <v>163</v>
      </c>
      <c r="W8" s="98" t="s">
        <v>163</v>
      </c>
      <c r="X8" s="98" t="s">
        <v>163</v>
      </c>
      <c r="Y8" s="98" t="s">
        <v>163</v>
      </c>
      <c r="Z8" s="98" t="s">
        <v>163</v>
      </c>
      <c r="AA8" s="98" t="s">
        <v>163</v>
      </c>
      <c r="AB8" s="98" t="s">
        <v>163</v>
      </c>
      <c r="AC8" s="98" t="s">
        <v>163</v>
      </c>
      <c r="AD8" s="98" t="s">
        <v>163</v>
      </c>
      <c r="AE8" s="98" t="s">
        <v>163</v>
      </c>
      <c r="AF8" s="98" t="s">
        <v>163</v>
      </c>
      <c r="AG8" s="98" t="s">
        <v>163</v>
      </c>
      <c r="AH8" s="98" t="s">
        <v>163</v>
      </c>
      <c r="AI8" s="98"/>
      <c r="AJ8" s="98"/>
      <c r="AK8" s="98"/>
      <c r="AL8" s="98"/>
      <c r="AM8" s="98"/>
      <c r="AN8" s="98"/>
      <c r="AO8" s="98"/>
      <c r="AP8" s="98"/>
      <c r="AQ8" s="98"/>
      <c r="AR8" s="98"/>
      <c r="AS8" s="98"/>
      <c r="AT8" s="98"/>
      <c r="AU8" s="98"/>
      <c r="AV8" s="98"/>
      <c r="AW8" s="98"/>
      <c r="AX8" s="98"/>
      <c r="AY8" s="98"/>
      <c r="AZ8" s="98"/>
      <c r="BA8" s="98"/>
      <c r="BB8" s="98"/>
      <c r="BC8" s="98"/>
      <c r="BD8" s="98"/>
    </row>
    <row r="9" spans="1:56" ht="90" x14ac:dyDescent="0.25">
      <c r="A9" s="72">
        <f t="shared" si="0"/>
        <v>6</v>
      </c>
      <c r="B9" s="76" t="s">
        <v>587</v>
      </c>
      <c r="C9" s="171" t="s">
        <v>163</v>
      </c>
      <c r="D9" s="171" t="s">
        <v>163</v>
      </c>
      <c r="E9" s="171" t="s">
        <v>163</v>
      </c>
      <c r="F9" s="171" t="s">
        <v>163</v>
      </c>
      <c r="G9" s="171" t="s">
        <v>163</v>
      </c>
      <c r="H9" s="195" t="s">
        <v>163</v>
      </c>
      <c r="I9" s="195" t="s">
        <v>163</v>
      </c>
      <c r="J9" s="195" t="s">
        <v>163</v>
      </c>
      <c r="K9" s="195" t="s">
        <v>163</v>
      </c>
      <c r="L9" s="98" t="s">
        <v>163</v>
      </c>
      <c r="M9" s="98" t="s">
        <v>163</v>
      </c>
      <c r="N9" s="98" t="s">
        <v>163</v>
      </c>
      <c r="O9" s="98" t="s">
        <v>163</v>
      </c>
      <c r="P9" s="98" t="s">
        <v>163</v>
      </c>
      <c r="Q9" s="98" t="s">
        <v>163</v>
      </c>
      <c r="R9" s="98" t="s">
        <v>163</v>
      </c>
      <c r="S9" s="98" t="s">
        <v>163</v>
      </c>
      <c r="T9" s="98" t="s">
        <v>163</v>
      </c>
      <c r="U9" s="98" t="s">
        <v>163</v>
      </c>
      <c r="V9" s="98" t="s">
        <v>163</v>
      </c>
      <c r="W9" s="98" t="s">
        <v>163</v>
      </c>
      <c r="X9" s="98" t="s">
        <v>163</v>
      </c>
      <c r="Y9" s="98" t="s">
        <v>163</v>
      </c>
      <c r="Z9" s="98" t="s">
        <v>163</v>
      </c>
      <c r="AA9" s="98" t="s">
        <v>163</v>
      </c>
      <c r="AB9" s="98" t="s">
        <v>163</v>
      </c>
      <c r="AC9" s="98" t="s">
        <v>163</v>
      </c>
      <c r="AD9" s="98" t="s">
        <v>163</v>
      </c>
      <c r="AE9" s="98" t="s">
        <v>163</v>
      </c>
      <c r="AF9" s="98" t="s">
        <v>163</v>
      </c>
      <c r="AG9" s="98" t="s">
        <v>163</v>
      </c>
      <c r="AH9" s="98" t="s">
        <v>163</v>
      </c>
      <c r="AI9" s="98"/>
      <c r="AJ9" s="98"/>
      <c r="AK9" s="98"/>
      <c r="AL9" s="98"/>
      <c r="AM9" s="98"/>
      <c r="AN9" s="98"/>
      <c r="AO9" s="98"/>
      <c r="AP9" s="98"/>
      <c r="AQ9" s="98"/>
      <c r="AR9" s="98"/>
      <c r="AS9" s="98"/>
      <c r="AT9" s="98"/>
      <c r="AU9" s="98"/>
      <c r="AV9" s="98"/>
      <c r="AW9" s="98"/>
      <c r="AX9" s="98"/>
      <c r="AY9" s="98"/>
      <c r="AZ9" s="98"/>
      <c r="BA9" s="98"/>
      <c r="BB9" s="98"/>
      <c r="BC9" s="98"/>
      <c r="BD9" s="98"/>
    </row>
    <row r="10" spans="1:56" hidden="1" x14ac:dyDescent="0.25">
      <c r="A10" s="72">
        <f t="shared" si="0"/>
        <v>7</v>
      </c>
      <c r="B10" s="77" t="s">
        <v>191</v>
      </c>
      <c r="C10" s="171" t="s">
        <v>163</v>
      </c>
      <c r="D10" s="171" t="s">
        <v>163</v>
      </c>
      <c r="E10" s="171" t="s">
        <v>163</v>
      </c>
      <c r="F10" s="177"/>
      <c r="G10" s="171" t="s">
        <v>163</v>
      </c>
      <c r="H10" s="195" t="s">
        <v>163</v>
      </c>
      <c r="I10" s="177"/>
      <c r="J10" s="195" t="s">
        <v>163</v>
      </c>
      <c r="K10" s="195" t="s">
        <v>163</v>
      </c>
      <c r="L10" s="98" t="s">
        <v>163</v>
      </c>
      <c r="M10" s="98" t="s">
        <v>163</v>
      </c>
      <c r="N10" s="98" t="s">
        <v>163</v>
      </c>
      <c r="O10" s="98" t="s">
        <v>163</v>
      </c>
      <c r="P10" s="98" t="s">
        <v>163</v>
      </c>
      <c r="Q10" s="177"/>
      <c r="R10" s="177"/>
      <c r="S10" s="177"/>
      <c r="T10" s="98" t="s">
        <v>163</v>
      </c>
      <c r="U10" s="177"/>
      <c r="V10" s="98" t="s">
        <v>163</v>
      </c>
      <c r="W10" s="98" t="s">
        <v>163</v>
      </c>
      <c r="X10" s="98" t="s">
        <v>163</v>
      </c>
      <c r="Y10" s="98" t="s">
        <v>163</v>
      </c>
      <c r="Z10" s="98" t="s">
        <v>163</v>
      </c>
      <c r="AA10" s="177"/>
      <c r="AB10" s="177"/>
      <c r="AC10" s="177"/>
      <c r="AD10" s="177"/>
      <c r="AE10" s="177"/>
      <c r="AF10" s="177"/>
      <c r="AG10" s="177"/>
      <c r="AH10" s="177"/>
      <c r="AI10" s="177"/>
      <c r="AJ10" s="177"/>
      <c r="AK10" s="177"/>
      <c r="AL10" s="177"/>
      <c r="AM10" s="177"/>
      <c r="AN10" s="177"/>
      <c r="AO10" s="98"/>
      <c r="AP10" s="98"/>
      <c r="AQ10" s="98"/>
      <c r="AR10" s="98"/>
      <c r="AS10" s="98"/>
      <c r="AT10" s="98"/>
      <c r="AU10" s="98"/>
      <c r="AV10" s="98"/>
      <c r="AW10" s="98"/>
      <c r="AX10" s="98"/>
      <c r="AY10" s="98"/>
      <c r="AZ10" s="98"/>
      <c r="BA10" s="98"/>
      <c r="BB10" s="98"/>
      <c r="BC10" s="98"/>
      <c r="BD10" s="98"/>
    </row>
    <row r="11" spans="1:56" hidden="1" x14ac:dyDescent="0.25">
      <c r="A11" s="72">
        <f t="shared" si="0"/>
        <v>8</v>
      </c>
      <c r="B11" s="77" t="s">
        <v>290</v>
      </c>
      <c r="C11" s="171" t="s">
        <v>163</v>
      </c>
      <c r="D11" s="171" t="s">
        <v>163</v>
      </c>
      <c r="E11" s="171" t="s">
        <v>163</v>
      </c>
      <c r="F11" s="177"/>
      <c r="G11" s="171" t="s">
        <v>163</v>
      </c>
      <c r="H11" s="195" t="s">
        <v>163</v>
      </c>
      <c r="I11" s="177"/>
      <c r="J11" s="195" t="s">
        <v>163</v>
      </c>
      <c r="K11" s="195" t="s">
        <v>163</v>
      </c>
      <c r="L11" s="98" t="s">
        <v>163</v>
      </c>
      <c r="M11" s="98" t="s">
        <v>163</v>
      </c>
      <c r="N11" s="98" t="s">
        <v>163</v>
      </c>
      <c r="O11" s="98" t="s">
        <v>163</v>
      </c>
      <c r="P11" s="98" t="s">
        <v>163</v>
      </c>
      <c r="Q11" s="177"/>
      <c r="R11" s="177"/>
      <c r="S11" s="177"/>
      <c r="T11" s="98" t="s">
        <v>163</v>
      </c>
      <c r="U11" s="177"/>
      <c r="V11" s="98" t="s">
        <v>163</v>
      </c>
      <c r="W11" s="98" t="s">
        <v>163</v>
      </c>
      <c r="X11" s="98" t="s">
        <v>163</v>
      </c>
      <c r="Y11" s="98" t="s">
        <v>163</v>
      </c>
      <c r="Z11" s="98" t="s">
        <v>163</v>
      </c>
      <c r="AA11" s="177"/>
      <c r="AB11" s="177"/>
      <c r="AC11" s="177"/>
      <c r="AD11" s="177"/>
      <c r="AE11" s="177"/>
      <c r="AF11" s="177"/>
      <c r="AG11" s="177"/>
      <c r="AH11" s="177"/>
      <c r="AI11" s="177"/>
      <c r="AJ11" s="177"/>
      <c r="AK11" s="177"/>
      <c r="AL11" s="177"/>
      <c r="AM11" s="177"/>
      <c r="AN11" s="177"/>
      <c r="AO11" s="98"/>
      <c r="AP11" s="98"/>
      <c r="AQ11" s="98"/>
      <c r="AR11" s="98"/>
      <c r="AS11" s="98"/>
      <c r="AT11" s="98"/>
      <c r="AU11" s="98"/>
      <c r="AV11" s="98"/>
      <c r="AW11" s="98"/>
      <c r="AX11" s="98"/>
      <c r="AY11" s="98"/>
      <c r="AZ11" s="98"/>
      <c r="BA11" s="98"/>
      <c r="BB11" s="98"/>
      <c r="BC11" s="98"/>
      <c r="BD11" s="98"/>
    </row>
    <row r="12" spans="1:56" hidden="1" x14ac:dyDescent="0.25">
      <c r="A12" s="72">
        <f t="shared" si="0"/>
        <v>9</v>
      </c>
      <c r="B12" s="77" t="s">
        <v>192</v>
      </c>
      <c r="C12" s="171" t="s">
        <v>163</v>
      </c>
      <c r="D12" s="171" t="s">
        <v>163</v>
      </c>
      <c r="E12" s="171" t="s">
        <v>163</v>
      </c>
      <c r="F12" s="177"/>
      <c r="G12" s="171" t="s">
        <v>163</v>
      </c>
      <c r="H12" s="195" t="s">
        <v>163</v>
      </c>
      <c r="I12" s="195" t="s">
        <v>163</v>
      </c>
      <c r="J12" s="195" t="s">
        <v>163</v>
      </c>
      <c r="K12" s="195" t="s">
        <v>163</v>
      </c>
      <c r="L12" s="98" t="s">
        <v>163</v>
      </c>
      <c r="M12" s="98" t="s">
        <v>163</v>
      </c>
      <c r="N12" s="98" t="s">
        <v>163</v>
      </c>
      <c r="O12" s="98" t="s">
        <v>163</v>
      </c>
      <c r="P12" s="98" t="s">
        <v>163</v>
      </c>
      <c r="Q12" s="177"/>
      <c r="R12" s="177"/>
      <c r="S12" s="177"/>
      <c r="T12" s="98" t="s">
        <v>163</v>
      </c>
      <c r="U12" s="177"/>
      <c r="V12" s="98" t="s">
        <v>163</v>
      </c>
      <c r="W12" s="98" t="s">
        <v>163</v>
      </c>
      <c r="X12" s="98" t="s">
        <v>163</v>
      </c>
      <c r="Y12" s="98" t="s">
        <v>163</v>
      </c>
      <c r="Z12" s="98" t="s">
        <v>163</v>
      </c>
      <c r="AA12" s="177"/>
      <c r="AB12" s="177"/>
      <c r="AC12" s="177"/>
      <c r="AD12" s="177"/>
      <c r="AE12" s="177"/>
      <c r="AF12" s="177"/>
      <c r="AG12" s="177"/>
      <c r="AH12" s="177"/>
      <c r="AI12" s="177"/>
      <c r="AJ12" s="177"/>
      <c r="AK12" s="177"/>
      <c r="AL12" s="177"/>
      <c r="AM12" s="177"/>
      <c r="AN12" s="177"/>
      <c r="AO12" s="98"/>
      <c r="AP12" s="98"/>
      <c r="AQ12" s="98"/>
      <c r="AR12" s="98"/>
      <c r="AS12" s="98"/>
      <c r="AT12" s="98"/>
      <c r="AU12" s="98"/>
      <c r="AV12" s="98"/>
      <c r="AW12" s="98"/>
      <c r="AX12" s="98"/>
      <c r="AY12" s="98"/>
      <c r="AZ12" s="98"/>
      <c r="BA12" s="98"/>
      <c r="BB12" s="98"/>
      <c r="BC12" s="98"/>
      <c r="BD12" s="98"/>
    </row>
    <row r="13" spans="1:56" hidden="1" x14ac:dyDescent="0.25">
      <c r="A13" s="72">
        <f>A16+1</f>
        <v>11</v>
      </c>
      <c r="B13" s="78" t="s">
        <v>381</v>
      </c>
      <c r="C13" s="177"/>
      <c r="D13" s="177"/>
      <c r="E13" s="177"/>
      <c r="F13" s="177"/>
      <c r="G13" s="177"/>
      <c r="H13" s="177"/>
      <c r="I13" s="177"/>
      <c r="J13" s="195" t="s">
        <v>163</v>
      </c>
      <c r="K13" s="195" t="s">
        <v>163</v>
      </c>
      <c r="L13" s="177"/>
      <c r="M13" s="177"/>
      <c r="N13" s="177"/>
      <c r="O13" s="177"/>
      <c r="P13" s="177"/>
      <c r="Q13" s="177"/>
      <c r="R13" s="177"/>
      <c r="S13" s="177"/>
      <c r="T13" s="224" t="s">
        <v>163</v>
      </c>
      <c r="U13" s="177"/>
      <c r="V13" s="177"/>
      <c r="W13" s="177"/>
      <c r="X13" s="177"/>
      <c r="Y13" s="98" t="s">
        <v>163</v>
      </c>
      <c r="Z13" s="98" t="s">
        <v>163</v>
      </c>
      <c r="AA13" s="177"/>
      <c r="AB13" s="177"/>
      <c r="AC13" s="177"/>
      <c r="AD13" s="177"/>
      <c r="AE13" s="177"/>
      <c r="AF13" s="177"/>
      <c r="AG13" s="177"/>
      <c r="AH13" s="177"/>
      <c r="AI13" s="177"/>
      <c r="AJ13" s="177"/>
      <c r="AK13" s="177"/>
      <c r="AL13" s="177"/>
      <c r="AM13" s="177"/>
      <c r="AN13" s="177"/>
      <c r="AO13" s="98"/>
      <c r="AP13" s="98"/>
      <c r="AQ13" s="98"/>
      <c r="AR13" s="98"/>
      <c r="AS13" s="98"/>
      <c r="AT13" s="98"/>
      <c r="AU13" s="98"/>
      <c r="AV13" s="98"/>
      <c r="AW13" s="98"/>
      <c r="AX13" s="98"/>
      <c r="AY13" s="98"/>
      <c r="AZ13" s="98"/>
      <c r="BA13" s="98"/>
      <c r="BB13" s="98"/>
      <c r="BC13" s="98"/>
      <c r="BD13" s="98"/>
    </row>
    <row r="14" spans="1:56" hidden="1" x14ac:dyDescent="0.25">
      <c r="A14" s="72">
        <f t="shared" si="0"/>
        <v>12</v>
      </c>
      <c r="B14" s="78" t="s">
        <v>174</v>
      </c>
      <c r="C14" s="177"/>
      <c r="D14" s="177"/>
      <c r="E14" s="177"/>
      <c r="F14" s="177"/>
      <c r="G14" s="177"/>
      <c r="H14" s="177"/>
      <c r="I14" s="177"/>
      <c r="J14" s="195" t="s">
        <v>163</v>
      </c>
      <c r="K14" s="177"/>
      <c r="L14" s="177"/>
      <c r="M14" s="177"/>
      <c r="N14" s="177"/>
      <c r="O14" s="177"/>
      <c r="P14" s="177"/>
      <c r="Q14" s="177"/>
      <c r="R14" s="177"/>
      <c r="S14" s="177"/>
      <c r="T14" s="177"/>
      <c r="U14" s="177"/>
      <c r="V14" s="177"/>
      <c r="W14" s="177"/>
      <c r="X14" s="177"/>
      <c r="Y14" s="98" t="s">
        <v>163</v>
      </c>
      <c r="Z14" s="98" t="s">
        <v>163</v>
      </c>
      <c r="AA14" s="177"/>
      <c r="AB14" s="177"/>
      <c r="AC14" s="177"/>
      <c r="AD14" s="177"/>
      <c r="AE14" s="177"/>
      <c r="AF14" s="177"/>
      <c r="AG14" s="177"/>
      <c r="AH14" s="177"/>
      <c r="AI14" s="177"/>
      <c r="AJ14" s="177"/>
      <c r="AK14" s="177"/>
      <c r="AL14" s="177"/>
      <c r="AM14" s="177"/>
      <c r="AN14" s="177"/>
      <c r="AO14" s="98"/>
      <c r="AP14" s="98"/>
      <c r="AQ14" s="98"/>
      <c r="AR14" s="98"/>
      <c r="AS14" s="98"/>
      <c r="AT14" s="98"/>
      <c r="AU14" s="98"/>
      <c r="AV14" s="98"/>
      <c r="AW14" s="98"/>
      <c r="AX14" s="98"/>
      <c r="AY14" s="98"/>
      <c r="AZ14" s="98"/>
      <c r="BA14" s="98"/>
      <c r="BB14" s="98"/>
      <c r="BC14" s="98"/>
      <c r="BD14" s="98"/>
    </row>
    <row r="15" spans="1:56" ht="30" hidden="1" x14ac:dyDescent="0.25">
      <c r="A15" s="72">
        <f t="shared" si="0"/>
        <v>13</v>
      </c>
      <c r="B15" s="78" t="s">
        <v>382</v>
      </c>
      <c r="C15" s="177"/>
      <c r="D15" s="177"/>
      <c r="E15" s="177"/>
      <c r="F15" s="177"/>
      <c r="G15" s="177"/>
      <c r="H15" s="177"/>
      <c r="I15" s="177"/>
      <c r="J15" s="195" t="s">
        <v>163</v>
      </c>
      <c r="K15" s="177"/>
      <c r="L15" s="177"/>
      <c r="M15" s="177"/>
      <c r="N15" s="177"/>
      <c r="O15" s="177"/>
      <c r="P15" s="177"/>
      <c r="Q15" s="177"/>
      <c r="R15" s="177"/>
      <c r="S15" s="177"/>
      <c r="T15" s="177"/>
      <c r="U15" s="177"/>
      <c r="V15" s="177"/>
      <c r="W15" s="177"/>
      <c r="X15" s="177"/>
      <c r="Y15" s="98" t="s">
        <v>163</v>
      </c>
      <c r="Z15" s="98" t="s">
        <v>163</v>
      </c>
      <c r="AA15" s="177"/>
      <c r="AB15" s="177"/>
      <c r="AC15" s="177"/>
      <c r="AD15" s="177"/>
      <c r="AE15" s="177"/>
      <c r="AF15" s="177"/>
      <c r="AG15" s="177"/>
      <c r="AH15" s="177"/>
      <c r="AI15" s="177"/>
      <c r="AJ15" s="177"/>
      <c r="AK15" s="177"/>
      <c r="AL15" s="177"/>
      <c r="AM15" s="177"/>
      <c r="AN15" s="177"/>
      <c r="AO15" s="98"/>
      <c r="AP15" s="98"/>
      <c r="AQ15" s="98"/>
      <c r="AR15" s="98"/>
      <c r="AS15" s="98"/>
      <c r="AT15" s="98"/>
      <c r="AU15" s="98"/>
      <c r="AV15" s="98"/>
      <c r="AW15" s="98"/>
      <c r="AX15" s="98"/>
      <c r="AY15" s="98"/>
      <c r="AZ15" s="98"/>
      <c r="BA15" s="98"/>
      <c r="BB15" s="98"/>
      <c r="BC15" s="98"/>
      <c r="BD15" s="98"/>
    </row>
    <row r="16" spans="1:56" hidden="1" x14ac:dyDescent="0.25">
      <c r="A16" s="72">
        <f>A12+1</f>
        <v>10</v>
      </c>
      <c r="B16" s="87" t="s">
        <v>193</v>
      </c>
      <c r="C16" s="171" t="s">
        <v>163</v>
      </c>
      <c r="D16" s="171" t="s">
        <v>163</v>
      </c>
      <c r="E16" s="171" t="s">
        <v>163</v>
      </c>
      <c r="F16" s="177"/>
      <c r="G16" s="171" t="s">
        <v>163</v>
      </c>
      <c r="H16" s="195" t="s">
        <v>163</v>
      </c>
      <c r="I16" s="195" t="s">
        <v>163</v>
      </c>
      <c r="J16" s="195" t="s">
        <v>163</v>
      </c>
      <c r="K16" s="195" t="s">
        <v>163</v>
      </c>
      <c r="L16" s="98" t="s">
        <v>163</v>
      </c>
      <c r="M16" s="98" t="s">
        <v>163</v>
      </c>
      <c r="N16" s="98" t="s">
        <v>163</v>
      </c>
      <c r="O16" s="98" t="s">
        <v>163</v>
      </c>
      <c r="P16" s="98" t="s">
        <v>163</v>
      </c>
      <c r="Q16" s="177"/>
      <c r="R16" s="177"/>
      <c r="S16" s="177"/>
      <c r="T16" s="98" t="s">
        <v>163</v>
      </c>
      <c r="U16" s="177"/>
      <c r="V16" s="98" t="s">
        <v>163</v>
      </c>
      <c r="W16" s="98" t="s">
        <v>163</v>
      </c>
      <c r="X16" s="98" t="s">
        <v>163</v>
      </c>
      <c r="Y16" s="98" t="s">
        <v>163</v>
      </c>
      <c r="Z16" s="98" t="s">
        <v>163</v>
      </c>
      <c r="AA16" s="177"/>
      <c r="AB16" s="177"/>
      <c r="AC16" s="177"/>
      <c r="AD16" s="177"/>
      <c r="AE16" s="177"/>
      <c r="AF16" s="177"/>
      <c r="AG16" s="177"/>
      <c r="AH16" s="177"/>
      <c r="AI16" s="177"/>
      <c r="AJ16" s="177"/>
      <c r="AK16" s="177"/>
      <c r="AL16" s="177"/>
      <c r="AM16" s="177"/>
      <c r="AN16" s="177"/>
      <c r="AO16" s="98"/>
      <c r="AP16" s="98"/>
      <c r="AQ16" s="98"/>
      <c r="AR16" s="98"/>
      <c r="AS16" s="98"/>
      <c r="AT16" s="98"/>
      <c r="AU16" s="98"/>
      <c r="AV16" s="98"/>
      <c r="AW16" s="98"/>
      <c r="AX16" s="98"/>
      <c r="AY16" s="98"/>
      <c r="AZ16" s="98"/>
      <c r="BA16" s="98"/>
      <c r="BB16" s="98"/>
      <c r="BC16" s="98"/>
      <c r="BD16" s="98"/>
    </row>
    <row r="17" spans="1:56" hidden="1" x14ac:dyDescent="0.25">
      <c r="A17" s="72">
        <f>A15+1</f>
        <v>14</v>
      </c>
      <c r="B17" s="77" t="s">
        <v>194</v>
      </c>
      <c r="C17" s="171" t="s">
        <v>163</v>
      </c>
      <c r="D17" s="171" t="s">
        <v>163</v>
      </c>
      <c r="E17" s="171" t="s">
        <v>163</v>
      </c>
      <c r="F17" s="177"/>
      <c r="G17" s="171" t="s">
        <v>163</v>
      </c>
      <c r="H17" s="195" t="s">
        <v>163</v>
      </c>
      <c r="I17" s="195" t="s">
        <v>163</v>
      </c>
      <c r="J17" s="195" t="s">
        <v>163</v>
      </c>
      <c r="K17" s="195" t="s">
        <v>163</v>
      </c>
      <c r="L17" s="98" t="s">
        <v>163</v>
      </c>
      <c r="M17" s="98" t="s">
        <v>163</v>
      </c>
      <c r="N17" s="98" t="s">
        <v>163</v>
      </c>
      <c r="O17" s="98" t="s">
        <v>163</v>
      </c>
      <c r="P17" s="98" t="s">
        <v>163</v>
      </c>
      <c r="Q17" s="177"/>
      <c r="R17" s="177"/>
      <c r="S17" s="177"/>
      <c r="T17" s="98" t="s">
        <v>163</v>
      </c>
      <c r="U17" s="177"/>
      <c r="V17" s="98" t="s">
        <v>163</v>
      </c>
      <c r="W17" s="98" t="s">
        <v>163</v>
      </c>
      <c r="X17" s="98" t="s">
        <v>163</v>
      </c>
      <c r="Y17" s="98" t="s">
        <v>163</v>
      </c>
      <c r="Z17" s="98" t="s">
        <v>163</v>
      </c>
      <c r="AA17" s="177"/>
      <c r="AB17" s="177"/>
      <c r="AC17" s="177"/>
      <c r="AD17" s="177"/>
      <c r="AE17" s="177"/>
      <c r="AF17" s="177"/>
      <c r="AG17" s="177"/>
      <c r="AH17" s="177"/>
      <c r="AI17" s="177"/>
      <c r="AJ17" s="177"/>
      <c r="AK17" s="177"/>
      <c r="AL17" s="177"/>
      <c r="AM17" s="177"/>
      <c r="AN17" s="177"/>
      <c r="AO17" s="98"/>
      <c r="AP17" s="98"/>
      <c r="AQ17" s="98"/>
      <c r="AR17" s="98"/>
      <c r="AS17" s="98"/>
      <c r="AT17" s="98"/>
      <c r="AU17" s="98"/>
      <c r="AV17" s="98"/>
      <c r="AW17" s="98"/>
      <c r="AX17" s="98"/>
      <c r="AY17" s="98"/>
      <c r="AZ17" s="98"/>
      <c r="BA17" s="98"/>
      <c r="BB17" s="98"/>
      <c r="BC17" s="98"/>
      <c r="BD17" s="98"/>
    </row>
    <row r="18" spans="1:56" x14ac:dyDescent="0.25">
      <c r="A18" s="72">
        <f t="shared" si="0"/>
        <v>15</v>
      </c>
      <c r="B18" s="74" t="s">
        <v>407</v>
      </c>
      <c r="C18" s="177"/>
      <c r="D18" s="177"/>
      <c r="E18" s="177"/>
      <c r="F18" s="177"/>
      <c r="G18" s="177"/>
      <c r="H18" s="177"/>
      <c r="I18" s="177"/>
      <c r="J18" s="177"/>
      <c r="K18" s="177"/>
      <c r="L18" s="177"/>
      <c r="M18" s="177"/>
      <c r="N18" s="177"/>
      <c r="O18" s="177"/>
      <c r="P18" s="98" t="s">
        <v>163</v>
      </c>
      <c r="Q18" s="98" t="s">
        <v>163</v>
      </c>
      <c r="R18" s="98" t="s">
        <v>163</v>
      </c>
      <c r="S18" s="98" t="s">
        <v>163</v>
      </c>
      <c r="T18" s="98" t="s">
        <v>163</v>
      </c>
      <c r="U18" s="98" t="s">
        <v>163</v>
      </c>
      <c r="V18" s="98" t="s">
        <v>163</v>
      </c>
      <c r="W18" s="98" t="s">
        <v>163</v>
      </c>
      <c r="X18" s="98" t="s">
        <v>163</v>
      </c>
      <c r="Y18" s="98" t="s">
        <v>163</v>
      </c>
      <c r="Z18" s="98" t="s">
        <v>163</v>
      </c>
      <c r="AA18" s="98" t="s">
        <v>163</v>
      </c>
      <c r="AB18" s="98" t="s">
        <v>163</v>
      </c>
      <c r="AC18" s="98" t="s">
        <v>163</v>
      </c>
      <c r="AD18" s="98" t="s">
        <v>163</v>
      </c>
      <c r="AE18" s="98" t="s">
        <v>163</v>
      </c>
      <c r="AF18" s="98" t="s">
        <v>163</v>
      </c>
      <c r="AG18" s="98" t="s">
        <v>163</v>
      </c>
      <c r="AH18" s="98" t="s">
        <v>163</v>
      </c>
      <c r="AI18" s="98"/>
      <c r="AJ18" s="98"/>
      <c r="AK18" s="98"/>
      <c r="AL18" s="98"/>
      <c r="AM18" s="98"/>
      <c r="AN18" s="98"/>
      <c r="AO18" s="98"/>
      <c r="AP18" s="98"/>
      <c r="AQ18" s="98"/>
      <c r="AR18" s="98"/>
      <c r="AS18" s="98"/>
      <c r="AT18" s="98"/>
      <c r="AU18" s="98"/>
      <c r="AV18" s="98"/>
      <c r="AW18" s="98"/>
      <c r="AX18" s="98"/>
      <c r="AY18" s="98"/>
      <c r="AZ18" s="98"/>
      <c r="BA18" s="98"/>
      <c r="BB18" s="98"/>
      <c r="BC18" s="98"/>
      <c r="BD18" s="98"/>
    </row>
    <row r="19" spans="1:56" hidden="1" x14ac:dyDescent="0.25">
      <c r="A19" s="72">
        <f t="shared" si="0"/>
        <v>16</v>
      </c>
      <c r="B19" s="81" t="s">
        <v>321</v>
      </c>
      <c r="C19" s="171" t="s">
        <v>163</v>
      </c>
      <c r="D19" s="171" t="s">
        <v>163</v>
      </c>
      <c r="E19" s="171" t="s">
        <v>163</v>
      </c>
      <c r="F19" s="177"/>
      <c r="G19" s="171" t="s">
        <v>163</v>
      </c>
      <c r="H19" s="195" t="s">
        <v>163</v>
      </c>
      <c r="I19" s="195" t="s">
        <v>163</v>
      </c>
      <c r="J19" s="195" t="s">
        <v>163</v>
      </c>
      <c r="K19" s="195" t="s">
        <v>163</v>
      </c>
      <c r="L19" s="98" t="s">
        <v>163</v>
      </c>
      <c r="M19" s="98" t="s">
        <v>163</v>
      </c>
      <c r="N19" s="98" t="s">
        <v>163</v>
      </c>
      <c r="O19" s="98" t="s">
        <v>212</v>
      </c>
      <c r="P19" s="98" t="s">
        <v>163</v>
      </c>
      <c r="Q19" s="177"/>
      <c r="R19" s="177"/>
      <c r="S19" s="177"/>
      <c r="T19" s="98" t="s">
        <v>163</v>
      </c>
      <c r="U19" s="177"/>
      <c r="V19" s="98" t="s">
        <v>163</v>
      </c>
      <c r="W19" s="98" t="s">
        <v>163</v>
      </c>
      <c r="X19" s="98" t="s">
        <v>163</v>
      </c>
      <c r="Y19" s="98" t="s">
        <v>163</v>
      </c>
      <c r="Z19" s="98" t="s">
        <v>163</v>
      </c>
      <c r="AA19" s="177"/>
      <c r="AB19" s="177"/>
      <c r="AC19" s="177"/>
      <c r="AD19" s="177"/>
      <c r="AE19" s="177"/>
      <c r="AF19" s="177"/>
      <c r="AG19" s="177"/>
      <c r="AH19" s="177"/>
      <c r="AI19" s="177"/>
      <c r="AJ19" s="177"/>
      <c r="AK19" s="177"/>
      <c r="AL19" s="177"/>
      <c r="AM19" s="177"/>
      <c r="AN19" s="177"/>
      <c r="AO19" s="98"/>
      <c r="AP19" s="98"/>
      <c r="AQ19" s="98"/>
      <c r="AR19" s="98"/>
      <c r="AS19" s="98"/>
      <c r="AT19" s="98"/>
      <c r="AU19" s="98"/>
      <c r="AV19" s="98"/>
      <c r="AW19" s="98"/>
      <c r="AX19" s="98"/>
      <c r="AY19" s="98"/>
      <c r="AZ19" s="98"/>
      <c r="BA19" s="98"/>
      <c r="BB19" s="98"/>
      <c r="BC19" s="98"/>
      <c r="BD19" s="98"/>
    </row>
    <row r="20" spans="1:56" x14ac:dyDescent="0.25">
      <c r="A20" s="72">
        <f t="shared" si="0"/>
        <v>17</v>
      </c>
      <c r="B20" s="80" t="s">
        <v>588</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98"/>
      <c r="AP20" s="98"/>
      <c r="AQ20" s="98"/>
      <c r="AR20" s="98"/>
      <c r="AS20" s="98"/>
      <c r="AT20" s="98"/>
      <c r="AU20" s="98"/>
      <c r="AV20" s="98"/>
      <c r="AW20" s="98"/>
      <c r="AX20" s="98"/>
      <c r="AY20" s="98"/>
      <c r="AZ20" s="98"/>
      <c r="BA20" s="98"/>
      <c r="BB20" s="98"/>
      <c r="BC20" s="98"/>
      <c r="BD20" s="98"/>
    </row>
    <row r="21" spans="1:56" x14ac:dyDescent="0.25">
      <c r="A21" s="72">
        <f>A19+1</f>
        <v>17</v>
      </c>
      <c r="B21" s="82" t="s">
        <v>164</v>
      </c>
      <c r="C21" s="171" t="s">
        <v>163</v>
      </c>
      <c r="D21" s="171" t="s">
        <v>163</v>
      </c>
      <c r="E21" s="171" t="s">
        <v>163</v>
      </c>
      <c r="F21" s="171" t="s">
        <v>163</v>
      </c>
      <c r="G21" s="171" t="s">
        <v>163</v>
      </c>
      <c r="H21" s="195" t="s">
        <v>163</v>
      </c>
      <c r="I21" s="195" t="s">
        <v>163</v>
      </c>
      <c r="J21" s="195" t="s">
        <v>163</v>
      </c>
      <c r="K21" s="195" t="s">
        <v>163</v>
      </c>
      <c r="L21" s="98" t="s">
        <v>163</v>
      </c>
      <c r="M21" s="98" t="s">
        <v>163</v>
      </c>
      <c r="N21" s="98" t="s">
        <v>163</v>
      </c>
      <c r="O21" s="98" t="s">
        <v>212</v>
      </c>
      <c r="P21" s="98" t="s">
        <v>163</v>
      </c>
      <c r="Q21" s="98" t="s">
        <v>163</v>
      </c>
      <c r="R21" s="98" t="s">
        <v>163</v>
      </c>
      <c r="S21" s="98" t="s">
        <v>163</v>
      </c>
      <c r="T21" s="98" t="s">
        <v>163</v>
      </c>
      <c r="U21" s="98" t="s">
        <v>163</v>
      </c>
      <c r="V21" s="98" t="s">
        <v>163</v>
      </c>
      <c r="W21" s="98" t="s">
        <v>163</v>
      </c>
      <c r="X21" s="98" t="s">
        <v>163</v>
      </c>
      <c r="Y21" s="98" t="s">
        <v>163</v>
      </c>
      <c r="Z21" s="98" t="s">
        <v>163</v>
      </c>
      <c r="AA21" s="98" t="s">
        <v>163</v>
      </c>
      <c r="AB21" s="98" t="s">
        <v>163</v>
      </c>
      <c r="AC21" s="98" t="s">
        <v>163</v>
      </c>
      <c r="AD21" s="98" t="s">
        <v>163</v>
      </c>
      <c r="AE21" s="98" t="s">
        <v>163</v>
      </c>
      <c r="AF21" s="98" t="s">
        <v>163</v>
      </c>
      <c r="AG21" s="98" t="s">
        <v>163</v>
      </c>
      <c r="AH21" s="98" t="s">
        <v>163</v>
      </c>
      <c r="AI21" s="98"/>
      <c r="AJ21" s="98"/>
      <c r="AK21" s="98"/>
      <c r="AL21" s="98"/>
      <c r="AM21" s="98"/>
      <c r="AN21" s="98"/>
      <c r="AO21" s="98"/>
      <c r="AP21" s="98"/>
      <c r="AQ21" s="98"/>
      <c r="AR21" s="98"/>
      <c r="AS21" s="98"/>
      <c r="AT21" s="98"/>
      <c r="AU21" s="98"/>
      <c r="AV21" s="98"/>
      <c r="AW21" s="98"/>
      <c r="AX21" s="98"/>
      <c r="AY21" s="98"/>
      <c r="AZ21" s="98"/>
      <c r="BA21" s="98"/>
      <c r="BB21" s="98"/>
      <c r="BC21" s="98"/>
      <c r="BD21" s="98"/>
    </row>
    <row r="22" spans="1:56" x14ac:dyDescent="0.25">
      <c r="A22" s="72">
        <f t="shared" si="0"/>
        <v>18</v>
      </c>
      <c r="B22" s="83" t="s">
        <v>179</v>
      </c>
      <c r="C22" s="171" t="s">
        <v>163</v>
      </c>
      <c r="D22" s="171" t="s">
        <v>163</v>
      </c>
      <c r="E22" s="171" t="s">
        <v>163</v>
      </c>
      <c r="F22" s="171" t="s">
        <v>163</v>
      </c>
      <c r="G22" s="171" t="s">
        <v>163</v>
      </c>
      <c r="H22" s="195" t="s">
        <v>163</v>
      </c>
      <c r="I22" s="195" t="s">
        <v>163</v>
      </c>
      <c r="J22" s="195" t="s">
        <v>163</v>
      </c>
      <c r="K22" s="195" t="s">
        <v>163</v>
      </c>
      <c r="L22" s="98" t="s">
        <v>163</v>
      </c>
      <c r="M22" s="98" t="s">
        <v>163</v>
      </c>
      <c r="N22" s="98" t="s">
        <v>163</v>
      </c>
      <c r="O22" s="98" t="s">
        <v>212</v>
      </c>
      <c r="P22" s="98" t="s">
        <v>163</v>
      </c>
      <c r="Q22" s="98" t="s">
        <v>163</v>
      </c>
      <c r="R22" s="98" t="s">
        <v>163</v>
      </c>
      <c r="S22" s="98" t="s">
        <v>163</v>
      </c>
      <c r="T22" s="98" t="s">
        <v>163</v>
      </c>
      <c r="U22" s="98" t="s">
        <v>163</v>
      </c>
      <c r="V22" s="98" t="s">
        <v>163</v>
      </c>
      <c r="W22" s="98" t="s">
        <v>163</v>
      </c>
      <c r="X22" s="98" t="s">
        <v>163</v>
      </c>
      <c r="Y22" s="98" t="s">
        <v>163</v>
      </c>
      <c r="Z22" s="98" t="s">
        <v>163</v>
      </c>
      <c r="AA22" s="98" t="s">
        <v>163</v>
      </c>
      <c r="AB22" s="98" t="s">
        <v>163</v>
      </c>
      <c r="AC22" s="98" t="s">
        <v>163</v>
      </c>
      <c r="AD22" s="98" t="s">
        <v>163</v>
      </c>
      <c r="AE22" s="98" t="s">
        <v>163</v>
      </c>
      <c r="AF22" s="98" t="s">
        <v>163</v>
      </c>
      <c r="AG22" s="98" t="s">
        <v>163</v>
      </c>
      <c r="AH22" s="98" t="s">
        <v>163</v>
      </c>
      <c r="AI22" s="98"/>
      <c r="AJ22" s="98"/>
      <c r="AK22" s="98"/>
      <c r="AL22" s="98"/>
      <c r="AM22" s="98"/>
      <c r="AN22" s="98"/>
      <c r="AO22" s="98"/>
      <c r="AP22" s="98"/>
      <c r="AQ22" s="98"/>
      <c r="AR22" s="98"/>
      <c r="AS22" s="98"/>
      <c r="AT22" s="98"/>
      <c r="AU22" s="98"/>
      <c r="AV22" s="98"/>
      <c r="AW22" s="98"/>
      <c r="AX22" s="98"/>
      <c r="AY22" s="98"/>
      <c r="AZ22" s="98"/>
      <c r="BA22" s="98"/>
      <c r="BB22" s="98"/>
      <c r="BC22" s="98"/>
      <c r="BD22" s="98"/>
    </row>
    <row r="23" spans="1:56" x14ac:dyDescent="0.25">
      <c r="A23" s="72">
        <f t="shared" si="0"/>
        <v>19</v>
      </c>
      <c r="B23" s="70" t="s">
        <v>304</v>
      </c>
      <c r="C23" s="72" t="s">
        <v>163</v>
      </c>
      <c r="D23" s="72" t="s">
        <v>163</v>
      </c>
      <c r="E23" s="72" t="s">
        <v>163</v>
      </c>
      <c r="F23" s="72" t="s">
        <v>163</v>
      </c>
      <c r="G23" s="72" t="s">
        <v>163</v>
      </c>
      <c r="H23" s="196" t="s">
        <v>163</v>
      </c>
      <c r="I23" s="196" t="s">
        <v>163</v>
      </c>
      <c r="J23" s="98" t="s">
        <v>163</v>
      </c>
      <c r="K23" s="98" t="s">
        <v>163</v>
      </c>
      <c r="L23" s="98" t="s">
        <v>163</v>
      </c>
      <c r="M23" s="98" t="s">
        <v>163</v>
      </c>
      <c r="N23" s="98" t="s">
        <v>163</v>
      </c>
      <c r="O23" s="98" t="s">
        <v>212</v>
      </c>
      <c r="P23" s="98" t="s">
        <v>163</v>
      </c>
      <c r="Q23" s="98" t="s">
        <v>163</v>
      </c>
      <c r="R23" s="98" t="s">
        <v>163</v>
      </c>
      <c r="S23" s="98" t="s">
        <v>163</v>
      </c>
      <c r="T23" s="254" t="s">
        <v>163</v>
      </c>
      <c r="U23" s="98" t="s">
        <v>163</v>
      </c>
      <c r="V23" s="98" t="s">
        <v>163</v>
      </c>
      <c r="W23" s="98" t="s">
        <v>163</v>
      </c>
      <c r="X23" s="98" t="s">
        <v>163</v>
      </c>
      <c r="Y23" s="98" t="s">
        <v>163</v>
      </c>
      <c r="Z23" s="98" t="s">
        <v>163</v>
      </c>
      <c r="AA23" s="98" t="s">
        <v>163</v>
      </c>
      <c r="AB23" s="98" t="s">
        <v>163</v>
      </c>
      <c r="AC23" s="98" t="s">
        <v>163</v>
      </c>
      <c r="AD23" s="98" t="s">
        <v>163</v>
      </c>
      <c r="AE23" s="98" t="s">
        <v>163</v>
      </c>
      <c r="AF23" s="98" t="s">
        <v>163</v>
      </c>
      <c r="AG23" s="98" t="s">
        <v>163</v>
      </c>
      <c r="AH23" s="98" t="s">
        <v>163</v>
      </c>
      <c r="AI23" s="98"/>
      <c r="AJ23" s="98"/>
      <c r="AK23" s="98"/>
      <c r="AL23" s="98"/>
      <c r="AM23" s="98"/>
      <c r="AN23" s="98"/>
      <c r="AO23" s="98"/>
      <c r="AP23" s="98"/>
      <c r="AQ23" s="98"/>
      <c r="AR23" s="98"/>
      <c r="AS23" s="98"/>
      <c r="AT23" s="98"/>
      <c r="AU23" s="98"/>
      <c r="AV23" s="98"/>
      <c r="AW23" s="98"/>
      <c r="AX23" s="98"/>
      <c r="AY23" s="98"/>
      <c r="AZ23" s="98"/>
      <c r="BA23" s="98"/>
      <c r="BB23" s="98"/>
      <c r="BC23" s="98"/>
      <c r="BD23" s="98"/>
    </row>
    <row r="24" spans="1:56" hidden="1" x14ac:dyDescent="0.25">
      <c r="A24" s="72">
        <f t="shared" si="0"/>
        <v>20</v>
      </c>
      <c r="B24" s="78" t="s">
        <v>165</v>
      </c>
      <c r="C24" s="177"/>
      <c r="D24" s="177"/>
      <c r="E24" s="177"/>
      <c r="F24" s="177"/>
      <c r="G24" s="177"/>
      <c r="H24" s="177"/>
      <c r="I24" s="177"/>
      <c r="J24" s="195" t="s">
        <v>163</v>
      </c>
      <c r="K24" s="195" t="s">
        <v>163</v>
      </c>
      <c r="L24" s="177"/>
      <c r="M24" s="177"/>
      <c r="N24" s="177"/>
      <c r="O24" s="177"/>
      <c r="P24" s="177"/>
      <c r="Q24" s="177"/>
      <c r="R24" s="177"/>
      <c r="S24" s="177"/>
      <c r="T24" s="255"/>
      <c r="U24" s="177"/>
      <c r="V24" s="177"/>
      <c r="W24" s="177"/>
      <c r="X24" s="177"/>
      <c r="Y24" s="98" t="s">
        <v>163</v>
      </c>
      <c r="Z24" s="98" t="s">
        <v>163</v>
      </c>
      <c r="AA24" s="177"/>
      <c r="AB24" s="177"/>
      <c r="AC24" s="177"/>
      <c r="AD24" s="177"/>
      <c r="AE24" s="177"/>
      <c r="AF24" s="177"/>
      <c r="AG24" s="177"/>
      <c r="AH24" s="98" t="s">
        <v>163</v>
      </c>
      <c r="AI24" s="177"/>
      <c r="AJ24" s="177"/>
      <c r="AK24" s="177"/>
      <c r="AL24" s="177"/>
      <c r="AM24" s="177"/>
      <c r="AN24" s="177"/>
      <c r="AO24" s="98"/>
      <c r="AP24" s="98"/>
      <c r="AQ24" s="98"/>
      <c r="AR24" s="98"/>
      <c r="AS24" s="98"/>
      <c r="AT24" s="98"/>
      <c r="AU24" s="98"/>
      <c r="AV24" s="98"/>
      <c r="AW24" s="98"/>
      <c r="AX24" s="98"/>
      <c r="AY24" s="98"/>
      <c r="AZ24" s="98"/>
      <c r="BA24" s="98"/>
      <c r="BB24" s="98"/>
      <c r="BC24" s="98"/>
      <c r="BD24" s="98"/>
    </row>
    <row r="25" spans="1:56" hidden="1" x14ac:dyDescent="0.25">
      <c r="A25" s="72">
        <f t="shared" si="0"/>
        <v>21</v>
      </c>
      <c r="B25" s="78" t="s">
        <v>172</v>
      </c>
      <c r="C25" s="177"/>
      <c r="D25" s="177"/>
      <c r="E25" s="177"/>
      <c r="F25" s="177"/>
      <c r="G25" s="177"/>
      <c r="H25" s="177"/>
      <c r="I25" s="177"/>
      <c r="J25" s="195" t="s">
        <v>163</v>
      </c>
      <c r="K25" s="195" t="s">
        <v>163</v>
      </c>
      <c r="L25" s="177"/>
      <c r="M25" s="177"/>
      <c r="N25" s="177"/>
      <c r="O25" s="177"/>
      <c r="P25" s="177"/>
      <c r="Q25" s="177"/>
      <c r="R25" s="177"/>
      <c r="S25" s="177"/>
      <c r="T25" s="255"/>
      <c r="U25" s="177"/>
      <c r="V25" s="177"/>
      <c r="W25" s="177"/>
      <c r="X25" s="177"/>
      <c r="Y25" s="98" t="s">
        <v>163</v>
      </c>
      <c r="Z25" s="98" t="s">
        <v>163</v>
      </c>
      <c r="AA25" s="177"/>
      <c r="AB25" s="177"/>
      <c r="AC25" s="177"/>
      <c r="AD25" s="177"/>
      <c r="AE25" s="177"/>
      <c r="AF25" s="177"/>
      <c r="AG25" s="177"/>
      <c r="AH25" s="98" t="s">
        <v>163</v>
      </c>
      <c r="AI25" s="177"/>
      <c r="AJ25" s="177"/>
      <c r="AK25" s="177"/>
      <c r="AL25" s="177"/>
      <c r="AM25" s="177"/>
      <c r="AN25" s="177"/>
      <c r="AO25" s="98"/>
      <c r="AP25" s="98"/>
      <c r="AQ25" s="98"/>
      <c r="AR25" s="98"/>
      <c r="AS25" s="98"/>
      <c r="AT25" s="98"/>
      <c r="AU25" s="98"/>
      <c r="AV25" s="98"/>
      <c r="AW25" s="98"/>
      <c r="AX25" s="98"/>
      <c r="AY25" s="98"/>
      <c r="AZ25" s="98"/>
      <c r="BA25" s="98"/>
      <c r="BB25" s="98"/>
      <c r="BC25" s="98"/>
      <c r="BD25" s="98"/>
    </row>
    <row r="26" spans="1:56" ht="30" hidden="1" x14ac:dyDescent="0.25">
      <c r="A26" s="72">
        <f t="shared" si="0"/>
        <v>22</v>
      </c>
      <c r="B26" s="80" t="s">
        <v>166</v>
      </c>
      <c r="C26" s="171" t="s">
        <v>163</v>
      </c>
      <c r="D26" s="171" t="s">
        <v>163</v>
      </c>
      <c r="E26" s="171" t="s">
        <v>163</v>
      </c>
      <c r="F26" s="177"/>
      <c r="G26" s="171" t="s">
        <v>163</v>
      </c>
      <c r="H26" s="195" t="s">
        <v>163</v>
      </c>
      <c r="I26" s="195" t="s">
        <v>163</v>
      </c>
      <c r="J26" s="195" t="s">
        <v>163</v>
      </c>
      <c r="K26" s="195" t="s">
        <v>163</v>
      </c>
      <c r="L26" s="98" t="s">
        <v>163</v>
      </c>
      <c r="M26" s="98" t="s">
        <v>163</v>
      </c>
      <c r="N26" s="177"/>
      <c r="O26" s="177"/>
      <c r="P26" s="177"/>
      <c r="Q26" s="177"/>
      <c r="R26" s="177"/>
      <c r="S26" s="177"/>
      <c r="T26" s="255"/>
      <c r="U26" s="177"/>
      <c r="V26" s="98" t="s">
        <v>163</v>
      </c>
      <c r="W26" s="98" t="s">
        <v>163</v>
      </c>
      <c r="X26" s="98" t="s">
        <v>163</v>
      </c>
      <c r="Y26" s="98" t="s">
        <v>163</v>
      </c>
      <c r="Z26" s="98" t="s">
        <v>163</v>
      </c>
      <c r="AA26" s="177"/>
      <c r="AB26" s="177"/>
      <c r="AC26" s="177"/>
      <c r="AD26" s="177"/>
      <c r="AE26" s="177"/>
      <c r="AF26" s="177"/>
      <c r="AG26" s="177"/>
      <c r="AH26" s="98" t="s">
        <v>163</v>
      </c>
      <c r="AI26" s="177"/>
      <c r="AJ26" s="177"/>
      <c r="AK26" s="177"/>
      <c r="AL26" s="177"/>
      <c r="AM26" s="177"/>
      <c r="AN26" s="177"/>
      <c r="AO26" s="98"/>
      <c r="AP26" s="98"/>
      <c r="AQ26" s="98"/>
      <c r="AR26" s="98"/>
      <c r="AS26" s="98"/>
      <c r="AT26" s="98"/>
      <c r="AU26" s="98"/>
      <c r="AV26" s="98"/>
      <c r="AW26" s="98"/>
      <c r="AX26" s="98"/>
      <c r="AY26" s="98"/>
      <c r="AZ26" s="98"/>
      <c r="BA26" s="98"/>
      <c r="BB26" s="98"/>
      <c r="BC26" s="98"/>
      <c r="BD26" s="98"/>
    </row>
    <row r="27" spans="1:56" hidden="1" x14ac:dyDescent="0.25">
      <c r="A27" s="72">
        <f t="shared" si="0"/>
        <v>23</v>
      </c>
      <c r="B27" s="80" t="s">
        <v>181</v>
      </c>
      <c r="C27" s="171" t="s">
        <v>163</v>
      </c>
      <c r="D27" s="171" t="s">
        <v>163</v>
      </c>
      <c r="E27" s="171" t="s">
        <v>163</v>
      </c>
      <c r="F27" s="177"/>
      <c r="G27" s="171" t="s">
        <v>163</v>
      </c>
      <c r="H27" s="195" t="s">
        <v>163</v>
      </c>
      <c r="I27" s="195" t="s">
        <v>163</v>
      </c>
      <c r="J27" s="195" t="s">
        <v>163</v>
      </c>
      <c r="K27" s="195" t="s">
        <v>163</v>
      </c>
      <c r="L27" s="98" t="s">
        <v>163</v>
      </c>
      <c r="M27" s="98" t="s">
        <v>163</v>
      </c>
      <c r="N27" s="177"/>
      <c r="O27" s="177"/>
      <c r="P27" s="177"/>
      <c r="Q27" s="98" t="s">
        <v>163</v>
      </c>
      <c r="R27" s="98" t="s">
        <v>163</v>
      </c>
      <c r="S27" s="98" t="s">
        <v>163</v>
      </c>
      <c r="T27" s="255"/>
      <c r="U27" s="98" t="s">
        <v>163</v>
      </c>
      <c r="V27" s="177"/>
      <c r="W27" s="254" t="s">
        <v>163</v>
      </c>
      <c r="X27" s="177"/>
      <c r="Y27" s="177"/>
      <c r="Z27" s="177"/>
      <c r="AA27" s="177"/>
      <c r="AB27" s="177"/>
      <c r="AC27" s="177"/>
      <c r="AD27" s="177"/>
      <c r="AE27" s="177"/>
      <c r="AF27" s="177"/>
      <c r="AG27" s="177"/>
      <c r="AH27" s="98" t="s">
        <v>163</v>
      </c>
      <c r="AI27" s="177"/>
      <c r="AJ27" s="177"/>
      <c r="AK27" s="177"/>
      <c r="AL27" s="177"/>
      <c r="AM27" s="177"/>
      <c r="AN27" s="177"/>
      <c r="AO27" s="98"/>
      <c r="AP27" s="98"/>
      <c r="AQ27" s="98"/>
      <c r="AR27" s="98"/>
      <c r="AS27" s="98"/>
      <c r="AT27" s="98"/>
      <c r="AU27" s="98"/>
      <c r="AV27" s="98"/>
      <c r="AW27" s="98"/>
      <c r="AX27" s="98"/>
      <c r="AY27" s="98"/>
      <c r="AZ27" s="98"/>
      <c r="BA27" s="98"/>
      <c r="BB27" s="98"/>
      <c r="BC27" s="98"/>
      <c r="BD27" s="98"/>
    </row>
    <row r="28" spans="1:56" x14ac:dyDescent="0.25">
      <c r="A28" s="72">
        <f t="shared" si="0"/>
        <v>24</v>
      </c>
      <c r="B28" s="70" t="s">
        <v>601</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98" t="s">
        <v>163</v>
      </c>
      <c r="AG28" s="98" t="s">
        <v>163</v>
      </c>
      <c r="AH28" s="98" t="s">
        <v>163</v>
      </c>
      <c r="AI28" s="98"/>
      <c r="AJ28" s="98"/>
      <c r="AK28" s="98"/>
      <c r="AL28" s="98"/>
      <c r="AM28" s="98"/>
      <c r="AN28" s="98"/>
      <c r="AO28" s="98"/>
      <c r="AP28" s="98"/>
      <c r="AQ28" s="98"/>
      <c r="AR28" s="98"/>
      <c r="AS28" s="98"/>
      <c r="AT28" s="98"/>
      <c r="AU28" s="98"/>
      <c r="AV28" s="98"/>
      <c r="AW28" s="98"/>
      <c r="AX28" s="98"/>
      <c r="AY28" s="98"/>
      <c r="AZ28" s="98"/>
      <c r="BA28" s="98"/>
      <c r="BB28" s="98"/>
      <c r="BC28" s="98"/>
      <c r="BD28" s="98"/>
    </row>
    <row r="29" spans="1:56" x14ac:dyDescent="0.25">
      <c r="A29" s="72">
        <f>A27+1</f>
        <v>24</v>
      </c>
      <c r="B29" s="79" t="s">
        <v>173</v>
      </c>
      <c r="C29" s="178" t="s">
        <v>163</v>
      </c>
      <c r="D29" s="171" t="s">
        <v>163</v>
      </c>
      <c r="E29" s="171" t="s">
        <v>163</v>
      </c>
      <c r="F29" s="171" t="s">
        <v>163</v>
      </c>
      <c r="G29" s="171" t="s">
        <v>163</v>
      </c>
      <c r="H29" s="195" t="s">
        <v>163</v>
      </c>
      <c r="I29" s="195" t="s">
        <v>163</v>
      </c>
      <c r="J29" s="195" t="s">
        <v>163</v>
      </c>
      <c r="K29" s="195" t="s">
        <v>163</v>
      </c>
      <c r="L29" s="98" t="s">
        <v>163</v>
      </c>
      <c r="M29" s="98" t="s">
        <v>163</v>
      </c>
      <c r="N29" s="98" t="s">
        <v>163</v>
      </c>
      <c r="O29" s="98" t="s">
        <v>163</v>
      </c>
      <c r="P29" s="98" t="s">
        <v>163</v>
      </c>
      <c r="Q29" s="98" t="s">
        <v>163</v>
      </c>
      <c r="R29" s="98" t="s">
        <v>163</v>
      </c>
      <c r="S29" s="98" t="s">
        <v>163</v>
      </c>
      <c r="T29" s="255"/>
      <c r="U29" s="98" t="s">
        <v>163</v>
      </c>
      <c r="V29" s="98" t="s">
        <v>163</v>
      </c>
      <c r="W29" s="98" t="s">
        <v>163</v>
      </c>
      <c r="X29" s="98" t="s">
        <v>163</v>
      </c>
      <c r="Y29" s="98" t="s">
        <v>163</v>
      </c>
      <c r="Z29" s="98" t="s">
        <v>163</v>
      </c>
      <c r="AA29" s="98" t="s">
        <v>163</v>
      </c>
      <c r="AB29" s="98" t="s">
        <v>163</v>
      </c>
      <c r="AC29" s="98" t="s">
        <v>163</v>
      </c>
      <c r="AD29" s="98" t="s">
        <v>163</v>
      </c>
      <c r="AE29" s="98" t="s">
        <v>163</v>
      </c>
      <c r="AF29" s="98" t="s">
        <v>163</v>
      </c>
      <c r="AG29" s="98" t="s">
        <v>163</v>
      </c>
      <c r="AH29" s="98" t="s">
        <v>163</v>
      </c>
      <c r="AI29" s="98"/>
      <c r="AJ29" s="98"/>
      <c r="AK29" s="98"/>
      <c r="AL29" s="98"/>
      <c r="AM29" s="98"/>
      <c r="AN29" s="98"/>
      <c r="AO29" s="98"/>
      <c r="AP29" s="98"/>
      <c r="AQ29" s="98"/>
      <c r="AR29" s="98"/>
      <c r="AS29" s="98"/>
      <c r="AT29" s="98"/>
      <c r="AU29" s="98"/>
      <c r="AV29" s="98"/>
      <c r="AW29" s="98"/>
      <c r="AX29" s="98"/>
      <c r="AY29" s="98"/>
      <c r="AZ29" s="98"/>
      <c r="BA29" s="98"/>
      <c r="BB29" s="98"/>
      <c r="BC29" s="98"/>
      <c r="BD29" s="98"/>
    </row>
    <row r="30" spans="1:56" ht="30" hidden="1" x14ac:dyDescent="0.25">
      <c r="A30" s="72">
        <f t="shared" si="0"/>
        <v>25</v>
      </c>
      <c r="B30" s="80" t="s">
        <v>166</v>
      </c>
      <c r="C30" s="171" t="s">
        <v>163</v>
      </c>
      <c r="D30" s="171" t="s">
        <v>163</v>
      </c>
      <c r="E30" s="171" t="s">
        <v>163</v>
      </c>
      <c r="F30" s="177"/>
      <c r="G30" s="177"/>
      <c r="H30" s="195" t="s">
        <v>163</v>
      </c>
      <c r="I30" s="195" t="s">
        <v>163</v>
      </c>
      <c r="J30" s="195" t="s">
        <v>163</v>
      </c>
      <c r="K30" s="177"/>
      <c r="L30" s="177"/>
      <c r="M30" s="98" t="s">
        <v>163</v>
      </c>
      <c r="N30" s="177"/>
      <c r="O30" s="177"/>
      <c r="P30" s="177"/>
      <c r="Q30" s="177"/>
      <c r="R30" s="177"/>
      <c r="S30" s="177"/>
      <c r="T30" s="255"/>
      <c r="U30" s="177"/>
      <c r="V30" s="177"/>
      <c r="W30" s="177"/>
      <c r="X30" s="177"/>
      <c r="Y30" s="177"/>
      <c r="Z30" s="177"/>
      <c r="AA30" s="98" t="s">
        <v>163</v>
      </c>
      <c r="AB30" s="98" t="s">
        <v>163</v>
      </c>
      <c r="AC30" s="98" t="s">
        <v>163</v>
      </c>
      <c r="AD30" s="98" t="s">
        <v>163</v>
      </c>
      <c r="AE30" s="177"/>
      <c r="AF30" s="177"/>
      <c r="AG30" s="177"/>
      <c r="AH30" s="98" t="s">
        <v>163</v>
      </c>
      <c r="AI30" s="177"/>
      <c r="AJ30" s="177"/>
      <c r="AK30" s="177"/>
      <c r="AL30" s="177"/>
      <c r="AM30" s="177"/>
      <c r="AN30" s="177"/>
      <c r="AO30" s="98"/>
      <c r="AP30" s="98"/>
      <c r="AQ30" s="98"/>
      <c r="AR30" s="98"/>
      <c r="AS30" s="98"/>
      <c r="AT30" s="98"/>
      <c r="AU30" s="98"/>
      <c r="AV30" s="98"/>
      <c r="AW30" s="98"/>
      <c r="AX30" s="98"/>
      <c r="AY30" s="98"/>
      <c r="AZ30" s="98"/>
      <c r="BA30" s="98"/>
      <c r="BB30" s="98"/>
      <c r="BC30" s="98"/>
      <c r="BD30" s="98"/>
    </row>
    <row r="31" spans="1:56" hidden="1" x14ac:dyDescent="0.25">
      <c r="A31" s="72">
        <f t="shared" si="0"/>
        <v>26</v>
      </c>
      <c r="B31" s="77" t="s">
        <v>213</v>
      </c>
      <c r="C31" s="171" t="s">
        <v>163</v>
      </c>
      <c r="D31" s="171" t="s">
        <v>163</v>
      </c>
      <c r="E31" s="171" t="s">
        <v>163</v>
      </c>
      <c r="F31" s="177"/>
      <c r="G31" s="171" t="s">
        <v>163</v>
      </c>
      <c r="H31" s="195" t="s">
        <v>163</v>
      </c>
      <c r="I31" s="195" t="s">
        <v>163</v>
      </c>
      <c r="J31" s="195" t="s">
        <v>163</v>
      </c>
      <c r="K31" s="195" t="s">
        <v>163</v>
      </c>
      <c r="L31" s="98" t="s">
        <v>163</v>
      </c>
      <c r="M31" s="98" t="s">
        <v>163</v>
      </c>
      <c r="N31" s="98" t="s">
        <v>163</v>
      </c>
      <c r="O31" s="98" t="s">
        <v>163</v>
      </c>
      <c r="P31" s="98" t="s">
        <v>163</v>
      </c>
      <c r="Q31" s="177"/>
      <c r="R31" s="177"/>
      <c r="S31" s="177"/>
      <c r="T31" s="255"/>
      <c r="U31" s="177"/>
      <c r="V31" s="98" t="s">
        <v>163</v>
      </c>
      <c r="W31" s="98" t="s">
        <v>163</v>
      </c>
      <c r="X31" s="98" t="s">
        <v>163</v>
      </c>
      <c r="Y31" s="98" t="s">
        <v>163</v>
      </c>
      <c r="Z31" s="98" t="s">
        <v>163</v>
      </c>
      <c r="AA31" s="98" t="s">
        <v>163</v>
      </c>
      <c r="AB31" s="98" t="s">
        <v>163</v>
      </c>
      <c r="AC31" s="98" t="s">
        <v>163</v>
      </c>
      <c r="AD31" s="98" t="s">
        <v>163</v>
      </c>
      <c r="AE31" s="177"/>
      <c r="AF31" s="177"/>
      <c r="AG31" s="177"/>
      <c r="AH31" s="98" t="s">
        <v>163</v>
      </c>
      <c r="AI31" s="177"/>
      <c r="AJ31" s="177"/>
      <c r="AK31" s="177"/>
      <c r="AL31" s="177"/>
      <c r="AM31" s="177"/>
      <c r="AN31" s="177"/>
      <c r="AO31" s="98"/>
      <c r="AP31" s="98"/>
      <c r="AQ31" s="98"/>
      <c r="AR31" s="98"/>
      <c r="AS31" s="98"/>
      <c r="AT31" s="98"/>
      <c r="AU31" s="98"/>
      <c r="AV31" s="98"/>
      <c r="AW31" s="98"/>
      <c r="AX31" s="98"/>
      <c r="AY31" s="98"/>
      <c r="AZ31" s="98"/>
      <c r="BA31" s="98"/>
      <c r="BB31" s="98"/>
      <c r="BC31" s="98"/>
      <c r="BD31" s="98"/>
    </row>
    <row r="32" spans="1:56" hidden="1" x14ac:dyDescent="0.25">
      <c r="A32" s="72">
        <f t="shared" si="0"/>
        <v>27</v>
      </c>
      <c r="B32" s="78" t="s">
        <v>176</v>
      </c>
      <c r="C32" s="177"/>
      <c r="D32" s="177"/>
      <c r="E32" s="177"/>
      <c r="F32" s="177"/>
      <c r="G32" s="177"/>
      <c r="H32" s="177"/>
      <c r="I32" s="177"/>
      <c r="J32" s="177"/>
      <c r="K32" s="177"/>
      <c r="L32" s="177"/>
      <c r="M32" s="177"/>
      <c r="N32" s="177"/>
      <c r="O32" s="177"/>
      <c r="P32" s="177"/>
      <c r="Q32" s="177"/>
      <c r="R32" s="177"/>
      <c r="S32" s="177"/>
      <c r="T32" s="255"/>
      <c r="U32" s="177"/>
      <c r="V32" s="177"/>
      <c r="W32" s="177"/>
      <c r="X32" s="177"/>
      <c r="Y32" s="177"/>
      <c r="Z32" s="177"/>
      <c r="AA32" s="98" t="s">
        <v>163</v>
      </c>
      <c r="AB32" s="98" t="s">
        <v>163</v>
      </c>
      <c r="AC32" s="98" t="s">
        <v>163</v>
      </c>
      <c r="AD32" s="98" t="s">
        <v>163</v>
      </c>
      <c r="AE32" s="177"/>
      <c r="AF32" s="177"/>
      <c r="AG32" s="177"/>
      <c r="AH32" s="98" t="s">
        <v>163</v>
      </c>
      <c r="AI32" s="177"/>
      <c r="AJ32" s="177"/>
      <c r="AK32" s="177"/>
      <c r="AL32" s="177"/>
      <c r="AM32" s="177"/>
      <c r="AN32" s="177"/>
      <c r="AO32" s="98"/>
      <c r="AP32" s="98"/>
      <c r="AQ32" s="98"/>
      <c r="AR32" s="98"/>
      <c r="AS32" s="98"/>
      <c r="AT32" s="98"/>
      <c r="AU32" s="98"/>
      <c r="AV32" s="98"/>
      <c r="AW32" s="98"/>
      <c r="AX32" s="98"/>
      <c r="AY32" s="98"/>
      <c r="AZ32" s="98"/>
      <c r="BA32" s="98"/>
      <c r="BB32" s="98"/>
      <c r="BC32" s="98"/>
      <c r="BD32" s="98"/>
    </row>
    <row r="33" spans="1:56" hidden="1" x14ac:dyDescent="0.25">
      <c r="A33" s="72">
        <f t="shared" si="0"/>
        <v>28</v>
      </c>
      <c r="B33" s="78" t="s">
        <v>177</v>
      </c>
      <c r="C33" s="177"/>
      <c r="D33" s="177"/>
      <c r="E33" s="177"/>
      <c r="F33" s="177"/>
      <c r="G33" s="177"/>
      <c r="H33" s="177"/>
      <c r="I33" s="177"/>
      <c r="J33" s="195" t="s">
        <v>163</v>
      </c>
      <c r="K33" s="177"/>
      <c r="L33" s="177"/>
      <c r="M33" s="177"/>
      <c r="N33" s="177"/>
      <c r="O33" s="177"/>
      <c r="P33" s="177"/>
      <c r="Q33" s="177"/>
      <c r="R33" s="177"/>
      <c r="S33" s="177"/>
      <c r="T33" s="255"/>
      <c r="U33" s="177"/>
      <c r="V33" s="177"/>
      <c r="W33" s="177"/>
      <c r="X33" s="177"/>
      <c r="Y33" s="254" t="s">
        <v>163</v>
      </c>
      <c r="Z33" s="177"/>
      <c r="AA33" s="98" t="s">
        <v>163</v>
      </c>
      <c r="AB33" s="98" t="s">
        <v>163</v>
      </c>
      <c r="AC33" s="98" t="s">
        <v>163</v>
      </c>
      <c r="AD33" s="98" t="s">
        <v>163</v>
      </c>
      <c r="AE33" s="177"/>
      <c r="AF33" s="177"/>
      <c r="AG33" s="177"/>
      <c r="AH33" s="98" t="s">
        <v>163</v>
      </c>
      <c r="AI33" s="177"/>
      <c r="AJ33" s="177"/>
      <c r="AK33" s="177"/>
      <c r="AL33" s="177"/>
      <c r="AM33" s="177"/>
      <c r="AN33" s="177"/>
      <c r="AO33" s="98"/>
      <c r="AP33" s="98"/>
      <c r="AQ33" s="98"/>
      <c r="AR33" s="98"/>
      <c r="AS33" s="98"/>
      <c r="AT33" s="98"/>
      <c r="AU33" s="98"/>
      <c r="AV33" s="98"/>
      <c r="AW33" s="98"/>
      <c r="AX33" s="98"/>
      <c r="AY33" s="98"/>
      <c r="AZ33" s="98"/>
      <c r="BA33" s="98"/>
      <c r="BB33" s="98"/>
      <c r="BC33" s="98"/>
      <c r="BD33" s="98"/>
    </row>
    <row r="34" spans="1:56" hidden="1" x14ac:dyDescent="0.25">
      <c r="A34" s="72">
        <f t="shared" si="0"/>
        <v>29</v>
      </c>
      <c r="B34" s="78" t="s">
        <v>171</v>
      </c>
      <c r="C34" s="177"/>
      <c r="D34" s="177"/>
      <c r="E34" s="177"/>
      <c r="F34" s="177"/>
      <c r="G34" s="177"/>
      <c r="H34" s="177"/>
      <c r="I34" s="177"/>
      <c r="J34" s="195" t="s">
        <v>163</v>
      </c>
      <c r="K34" s="177"/>
      <c r="L34" s="177"/>
      <c r="M34" s="177"/>
      <c r="N34" s="177"/>
      <c r="O34" s="177"/>
      <c r="P34" s="177"/>
      <c r="Q34" s="177"/>
      <c r="R34" s="177"/>
      <c r="S34" s="177"/>
      <c r="T34" s="255"/>
      <c r="U34" s="177"/>
      <c r="V34" s="177"/>
      <c r="W34" s="177"/>
      <c r="X34" s="177"/>
      <c r="Y34" s="177"/>
      <c r="Z34" s="177"/>
      <c r="AA34" s="98" t="s">
        <v>163</v>
      </c>
      <c r="AB34" s="98" t="s">
        <v>163</v>
      </c>
      <c r="AC34" s="98" t="s">
        <v>163</v>
      </c>
      <c r="AD34" s="98" t="s">
        <v>163</v>
      </c>
      <c r="AE34" s="177"/>
      <c r="AF34" s="177"/>
      <c r="AG34" s="177"/>
      <c r="AH34" s="98" t="s">
        <v>163</v>
      </c>
      <c r="AI34" s="177"/>
      <c r="AJ34" s="177"/>
      <c r="AK34" s="177"/>
      <c r="AL34" s="177"/>
      <c r="AM34" s="177"/>
      <c r="AN34" s="177"/>
      <c r="AO34" s="98"/>
      <c r="AP34" s="98"/>
      <c r="AQ34" s="98"/>
      <c r="AR34" s="98"/>
      <c r="AS34" s="98"/>
      <c r="AT34" s="98"/>
      <c r="AU34" s="98"/>
      <c r="AV34" s="98"/>
      <c r="AW34" s="98"/>
      <c r="AX34" s="98"/>
      <c r="AY34" s="98"/>
      <c r="AZ34" s="98"/>
      <c r="BA34" s="98"/>
      <c r="BB34" s="98"/>
      <c r="BC34" s="98"/>
      <c r="BD34" s="98"/>
    </row>
    <row r="35" spans="1:56" x14ac:dyDescent="0.25">
      <c r="A35" s="72">
        <f t="shared" si="0"/>
        <v>30</v>
      </c>
      <c r="B35" s="74" t="s">
        <v>175</v>
      </c>
      <c r="C35" s="171" t="s">
        <v>163</v>
      </c>
      <c r="D35" s="171" t="s">
        <v>163</v>
      </c>
      <c r="E35" s="171" t="s">
        <v>163</v>
      </c>
      <c r="F35" s="171" t="s">
        <v>163</v>
      </c>
      <c r="G35" s="171" t="s">
        <v>163</v>
      </c>
      <c r="H35" s="195" t="s">
        <v>163</v>
      </c>
      <c r="I35" s="195" t="s">
        <v>163</v>
      </c>
      <c r="J35" s="195" t="s">
        <v>163</v>
      </c>
      <c r="K35" s="195" t="s">
        <v>163</v>
      </c>
      <c r="L35" s="195" t="s">
        <v>163</v>
      </c>
      <c r="M35" s="98" t="s">
        <v>163</v>
      </c>
      <c r="N35" s="98" t="s">
        <v>163</v>
      </c>
      <c r="O35" s="98" t="s">
        <v>163</v>
      </c>
      <c r="P35" s="98" t="s">
        <v>163</v>
      </c>
      <c r="Q35" s="98" t="s">
        <v>163</v>
      </c>
      <c r="R35" s="98" t="s">
        <v>163</v>
      </c>
      <c r="S35" s="98" t="s">
        <v>163</v>
      </c>
      <c r="T35" s="255"/>
      <c r="U35" s="98" t="s">
        <v>163</v>
      </c>
      <c r="V35" s="98" t="s">
        <v>163</v>
      </c>
      <c r="W35" s="98" t="s">
        <v>163</v>
      </c>
      <c r="X35" s="98" t="s">
        <v>163</v>
      </c>
      <c r="Y35" s="98" t="s">
        <v>163</v>
      </c>
      <c r="Z35" s="98" t="s">
        <v>163</v>
      </c>
      <c r="AA35" s="98" t="s">
        <v>163</v>
      </c>
      <c r="AB35" s="98" t="s">
        <v>163</v>
      </c>
      <c r="AC35" s="98" t="s">
        <v>163</v>
      </c>
      <c r="AD35" s="98" t="s">
        <v>163</v>
      </c>
      <c r="AE35" s="98" t="s">
        <v>163</v>
      </c>
      <c r="AF35" s="98" t="s">
        <v>163</v>
      </c>
      <c r="AG35" s="98" t="s">
        <v>163</v>
      </c>
      <c r="AH35" s="98" t="s">
        <v>163</v>
      </c>
      <c r="AI35" s="98"/>
      <c r="AJ35" s="98"/>
      <c r="AK35" s="98"/>
      <c r="AL35" s="98"/>
      <c r="AM35" s="98"/>
      <c r="AN35" s="98"/>
      <c r="AO35" s="98"/>
      <c r="AP35" s="98"/>
      <c r="AQ35" s="98"/>
      <c r="AR35" s="98"/>
      <c r="AS35" s="98"/>
      <c r="AT35" s="98"/>
      <c r="AU35" s="98"/>
      <c r="AV35" s="98"/>
      <c r="AW35" s="98"/>
      <c r="AX35" s="98"/>
      <c r="AY35" s="98"/>
      <c r="AZ35" s="98"/>
      <c r="BA35" s="98"/>
      <c r="BB35" s="98"/>
      <c r="BC35" s="98"/>
      <c r="BD35" s="98"/>
    </row>
    <row r="36" spans="1:56" x14ac:dyDescent="0.25">
      <c r="A36" s="72">
        <f t="shared" si="0"/>
        <v>31</v>
      </c>
      <c r="B36" s="83" t="s">
        <v>180</v>
      </c>
      <c r="C36" s="171" t="s">
        <v>163</v>
      </c>
      <c r="D36" s="171" t="s">
        <v>163</v>
      </c>
      <c r="E36" s="171" t="s">
        <v>163</v>
      </c>
      <c r="F36" s="171" t="s">
        <v>163</v>
      </c>
      <c r="G36" s="171" t="s">
        <v>163</v>
      </c>
      <c r="H36" s="195" t="s">
        <v>163</v>
      </c>
      <c r="I36" s="195" t="s">
        <v>163</v>
      </c>
      <c r="J36" s="195" t="s">
        <v>163</v>
      </c>
      <c r="K36" s="195" t="s">
        <v>163</v>
      </c>
      <c r="L36" s="98" t="s">
        <v>163</v>
      </c>
      <c r="M36" s="98" t="s">
        <v>163</v>
      </c>
      <c r="N36" s="98" t="s">
        <v>163</v>
      </c>
      <c r="O36" s="98" t="s">
        <v>163</v>
      </c>
      <c r="P36" s="98" t="s">
        <v>163</v>
      </c>
      <c r="Q36" s="98" t="s">
        <v>163</v>
      </c>
      <c r="R36" s="98" t="s">
        <v>163</v>
      </c>
      <c r="S36" s="98" t="s">
        <v>163</v>
      </c>
      <c r="T36" s="255"/>
      <c r="U36" s="224" t="s">
        <v>163</v>
      </c>
      <c r="V36" s="98" t="s">
        <v>163</v>
      </c>
      <c r="W36" s="98" t="s">
        <v>163</v>
      </c>
      <c r="X36" s="98" t="s">
        <v>163</v>
      </c>
      <c r="Y36" s="98" t="s">
        <v>163</v>
      </c>
      <c r="Z36" s="98" t="s">
        <v>163</v>
      </c>
      <c r="AA36" s="98" t="s">
        <v>163</v>
      </c>
      <c r="AB36" s="98" t="s">
        <v>163</v>
      </c>
      <c r="AC36" s="98" t="s">
        <v>163</v>
      </c>
      <c r="AD36" s="98" t="s">
        <v>163</v>
      </c>
      <c r="AE36" s="98" t="s">
        <v>163</v>
      </c>
      <c r="AF36" s="98" t="s">
        <v>163</v>
      </c>
      <c r="AG36" s="98" t="s">
        <v>163</v>
      </c>
      <c r="AH36" s="98" t="s">
        <v>163</v>
      </c>
      <c r="AI36" s="98"/>
      <c r="AJ36" s="98"/>
      <c r="AK36" s="98"/>
      <c r="AL36" s="98"/>
      <c r="AM36" s="98"/>
      <c r="AN36" s="98"/>
      <c r="AO36" s="98"/>
      <c r="AP36" s="98"/>
      <c r="AQ36" s="98"/>
      <c r="AR36" s="98"/>
      <c r="AS36" s="98"/>
      <c r="AT36" s="98"/>
      <c r="AU36" s="98"/>
      <c r="AV36" s="98"/>
      <c r="AW36" s="98"/>
      <c r="AX36" s="98"/>
      <c r="AY36" s="98"/>
      <c r="AZ36" s="98"/>
      <c r="BA36" s="98"/>
      <c r="BB36" s="98"/>
      <c r="BC36" s="98"/>
      <c r="BD36" s="98"/>
    </row>
    <row r="37" spans="1:56" x14ac:dyDescent="0.25">
      <c r="A37" s="72">
        <f t="shared" si="0"/>
        <v>32</v>
      </c>
      <c r="B37" s="73" t="s">
        <v>408</v>
      </c>
      <c r="C37" s="177"/>
      <c r="D37" s="177"/>
      <c r="E37" s="177"/>
      <c r="F37" s="177"/>
      <c r="G37" s="177"/>
      <c r="H37" s="177"/>
      <c r="I37" s="177"/>
      <c r="J37" s="177"/>
      <c r="K37" s="177"/>
      <c r="L37" s="177"/>
      <c r="M37" s="177"/>
      <c r="N37" s="177"/>
      <c r="O37" s="177"/>
      <c r="P37" s="98" t="s">
        <v>163</v>
      </c>
      <c r="Q37" s="98" t="s">
        <v>163</v>
      </c>
      <c r="R37" s="98" t="s">
        <v>163</v>
      </c>
      <c r="S37" s="98" t="s">
        <v>163</v>
      </c>
      <c r="T37" s="255"/>
      <c r="U37" s="98" t="s">
        <v>163</v>
      </c>
      <c r="V37" s="98" t="s">
        <v>163</v>
      </c>
      <c r="W37" s="98" t="s">
        <v>163</v>
      </c>
      <c r="X37" s="98" t="s">
        <v>163</v>
      </c>
      <c r="Y37" s="98" t="s">
        <v>163</v>
      </c>
      <c r="Z37" s="98" t="s">
        <v>163</v>
      </c>
      <c r="AA37" s="98" t="s">
        <v>163</v>
      </c>
      <c r="AB37" s="98" t="s">
        <v>163</v>
      </c>
      <c r="AC37" s="98" t="s">
        <v>163</v>
      </c>
      <c r="AD37" s="98" t="s">
        <v>163</v>
      </c>
      <c r="AE37" s="98" t="s">
        <v>163</v>
      </c>
      <c r="AF37" s="98" t="s">
        <v>163</v>
      </c>
      <c r="AG37" s="98" t="s">
        <v>163</v>
      </c>
      <c r="AH37" s="98" t="s">
        <v>163</v>
      </c>
      <c r="AI37" s="98"/>
      <c r="AJ37" s="98"/>
      <c r="AK37" s="98"/>
      <c r="AL37" s="98"/>
      <c r="AM37" s="98"/>
      <c r="AN37" s="98"/>
      <c r="AO37" s="98"/>
      <c r="AP37" s="98"/>
      <c r="AQ37" s="98"/>
      <c r="AR37" s="98"/>
      <c r="AS37" s="98"/>
      <c r="AT37" s="98"/>
      <c r="AU37" s="98"/>
      <c r="AV37" s="98"/>
      <c r="AW37" s="98"/>
      <c r="AX37" s="98"/>
      <c r="AY37" s="98"/>
      <c r="AZ37" s="98"/>
      <c r="BA37" s="98"/>
      <c r="BB37" s="98"/>
      <c r="BC37" s="98"/>
      <c r="BD37" s="98"/>
    </row>
    <row r="38" spans="1:56" x14ac:dyDescent="0.25">
      <c r="A38" s="72">
        <f t="shared" si="0"/>
        <v>33</v>
      </c>
      <c r="B38" s="74" t="s">
        <v>167</v>
      </c>
      <c r="C38" s="171" t="s">
        <v>163</v>
      </c>
      <c r="D38" s="171" t="s">
        <v>163</v>
      </c>
      <c r="E38" s="171" t="s">
        <v>163</v>
      </c>
      <c r="F38" s="171" t="s">
        <v>163</v>
      </c>
      <c r="G38" s="171" t="s">
        <v>163</v>
      </c>
      <c r="H38" s="195" t="s">
        <v>163</v>
      </c>
      <c r="I38" s="195" t="s">
        <v>163</v>
      </c>
      <c r="J38" s="195" t="s">
        <v>163</v>
      </c>
      <c r="K38" s="195" t="s">
        <v>163</v>
      </c>
      <c r="L38" s="98" t="s">
        <v>163</v>
      </c>
      <c r="M38" s="98" t="s">
        <v>163</v>
      </c>
      <c r="N38" s="98" t="s">
        <v>163</v>
      </c>
      <c r="O38" s="98" t="s">
        <v>163</v>
      </c>
      <c r="P38" s="98" t="s">
        <v>163</v>
      </c>
      <c r="Q38" s="98" t="s">
        <v>163</v>
      </c>
      <c r="R38" s="98" t="s">
        <v>163</v>
      </c>
      <c r="S38" s="98" t="s">
        <v>163</v>
      </c>
      <c r="T38" s="255"/>
      <c r="U38" s="98" t="s">
        <v>163</v>
      </c>
      <c r="V38" s="98" t="s">
        <v>163</v>
      </c>
      <c r="W38" s="98" t="s">
        <v>163</v>
      </c>
      <c r="X38" s="98" t="s">
        <v>163</v>
      </c>
      <c r="Y38" s="98" t="s">
        <v>163</v>
      </c>
      <c r="Z38" s="98" t="s">
        <v>163</v>
      </c>
      <c r="AA38" s="177"/>
      <c r="AB38" s="177"/>
      <c r="AC38" s="177"/>
      <c r="AD38" s="177"/>
      <c r="AE38" s="177"/>
      <c r="AF38" s="177"/>
      <c r="AG38" s="177"/>
      <c r="AH38" s="177"/>
      <c r="AI38" s="177"/>
      <c r="AJ38" s="177"/>
      <c r="AK38" s="177"/>
      <c r="AL38" s="177"/>
      <c r="AM38" s="177"/>
      <c r="AN38" s="177"/>
      <c r="AO38" s="98"/>
      <c r="AP38" s="98"/>
      <c r="AQ38" s="98"/>
      <c r="AR38" s="98"/>
      <c r="AS38" s="98"/>
      <c r="AT38" s="98"/>
      <c r="AU38" s="98"/>
      <c r="AV38" s="98"/>
      <c r="AW38" s="98"/>
      <c r="AX38" s="98"/>
      <c r="AY38" s="98"/>
      <c r="AZ38" s="98"/>
      <c r="BA38" s="98"/>
      <c r="BB38" s="98"/>
      <c r="BC38" s="98"/>
      <c r="BD38" s="98"/>
    </row>
    <row r="39" spans="1:56" ht="30" x14ac:dyDescent="0.25">
      <c r="A39" s="72">
        <f t="shared" si="0"/>
        <v>34</v>
      </c>
      <c r="B39" s="73" t="s">
        <v>413</v>
      </c>
      <c r="C39" s="177"/>
      <c r="D39" s="177"/>
      <c r="E39" s="177"/>
      <c r="F39" s="177"/>
      <c r="G39" s="177"/>
      <c r="H39" s="177"/>
      <c r="I39" s="177"/>
      <c r="J39" s="177"/>
      <c r="K39" s="177"/>
      <c r="L39" s="177"/>
      <c r="M39" s="177"/>
      <c r="N39" s="177"/>
      <c r="O39" s="177"/>
      <c r="P39" s="98" t="s">
        <v>163</v>
      </c>
      <c r="Q39" s="98" t="s">
        <v>163</v>
      </c>
      <c r="R39" s="98" t="s">
        <v>163</v>
      </c>
      <c r="S39" s="98" t="s">
        <v>163</v>
      </c>
      <c r="T39" s="255"/>
      <c r="U39" s="98" t="s">
        <v>163</v>
      </c>
      <c r="V39" s="98" t="s">
        <v>163</v>
      </c>
      <c r="W39" s="98" t="s">
        <v>163</v>
      </c>
      <c r="X39" s="98" t="s">
        <v>163</v>
      </c>
      <c r="Y39" s="98" t="s">
        <v>163</v>
      </c>
      <c r="Z39" s="98" t="s">
        <v>163</v>
      </c>
      <c r="AA39" s="177"/>
      <c r="AB39" s="177"/>
      <c r="AC39" s="177"/>
      <c r="AD39" s="177"/>
      <c r="AE39" s="177"/>
      <c r="AF39" s="177"/>
      <c r="AG39" s="177"/>
      <c r="AH39" s="177"/>
      <c r="AI39" s="177"/>
      <c r="AJ39" s="177"/>
      <c r="AK39" s="177"/>
      <c r="AL39" s="177"/>
      <c r="AM39" s="177"/>
      <c r="AN39" s="177"/>
      <c r="AO39" s="98"/>
      <c r="AP39" s="98"/>
      <c r="AQ39" s="98"/>
      <c r="AR39" s="98"/>
      <c r="AS39" s="98"/>
      <c r="AT39" s="98"/>
      <c r="AU39" s="98"/>
      <c r="AV39" s="98"/>
      <c r="AW39" s="98"/>
      <c r="AX39" s="98"/>
      <c r="AY39" s="98"/>
      <c r="AZ39" s="98"/>
      <c r="BA39" s="98"/>
      <c r="BB39" s="98"/>
      <c r="BC39" s="98"/>
      <c r="BD39" s="98"/>
    </row>
    <row r="40" spans="1:56" ht="30" x14ac:dyDescent="0.25">
      <c r="A40" s="72">
        <f t="shared" si="0"/>
        <v>35</v>
      </c>
      <c r="B40" s="73" t="s">
        <v>592</v>
      </c>
      <c r="C40" s="171" t="s">
        <v>163</v>
      </c>
      <c r="D40" s="171" t="s">
        <v>163</v>
      </c>
      <c r="E40" s="171" t="s">
        <v>163</v>
      </c>
      <c r="F40" s="171" t="s">
        <v>163</v>
      </c>
      <c r="G40" s="171" t="s">
        <v>163</v>
      </c>
      <c r="H40" s="195" t="s">
        <v>163</v>
      </c>
      <c r="I40" s="195" t="s">
        <v>163</v>
      </c>
      <c r="J40" s="195" t="s">
        <v>163</v>
      </c>
      <c r="K40" s="195" t="s">
        <v>163</v>
      </c>
      <c r="L40" s="98" t="s">
        <v>163</v>
      </c>
      <c r="M40" s="98" t="s">
        <v>163</v>
      </c>
      <c r="N40" s="98" t="s">
        <v>163</v>
      </c>
      <c r="O40" s="98" t="s">
        <v>163</v>
      </c>
      <c r="P40" s="98" t="s">
        <v>163</v>
      </c>
      <c r="Q40" s="98" t="s">
        <v>163</v>
      </c>
      <c r="R40" s="98" t="s">
        <v>163</v>
      </c>
      <c r="S40" s="98" t="s">
        <v>163</v>
      </c>
      <c r="T40" s="255"/>
      <c r="U40" s="98" t="s">
        <v>163</v>
      </c>
      <c r="V40" s="98" t="s">
        <v>163</v>
      </c>
      <c r="W40" s="98" t="s">
        <v>163</v>
      </c>
      <c r="X40" s="98" t="s">
        <v>163</v>
      </c>
      <c r="Y40" s="98" t="s">
        <v>163</v>
      </c>
      <c r="Z40" s="98" t="s">
        <v>163</v>
      </c>
      <c r="AA40" s="98" t="s">
        <v>163</v>
      </c>
      <c r="AB40" s="98" t="s">
        <v>163</v>
      </c>
      <c r="AC40" s="98" t="s">
        <v>163</v>
      </c>
      <c r="AD40" s="98" t="s">
        <v>163</v>
      </c>
      <c r="AE40" s="98" t="s">
        <v>163</v>
      </c>
      <c r="AF40" s="98" t="s">
        <v>163</v>
      </c>
      <c r="AG40" s="98" t="s">
        <v>163</v>
      </c>
      <c r="AH40" s="98"/>
      <c r="AI40" s="98"/>
      <c r="AJ40" s="98"/>
      <c r="AK40" s="98"/>
      <c r="AL40" s="98"/>
      <c r="AM40" s="98"/>
      <c r="AN40" s="98"/>
      <c r="AO40" s="98"/>
      <c r="AP40" s="98"/>
      <c r="AQ40" s="98"/>
      <c r="AR40" s="98"/>
      <c r="AS40" s="98"/>
      <c r="AT40" s="98"/>
      <c r="AU40" s="98"/>
      <c r="AV40" s="98"/>
      <c r="AW40" s="98"/>
      <c r="AX40" s="98"/>
      <c r="AY40" s="98"/>
      <c r="AZ40" s="98"/>
      <c r="BA40" s="98"/>
      <c r="BB40" s="98"/>
      <c r="BC40" s="98"/>
      <c r="BD40" s="98"/>
    </row>
    <row r="41" spans="1:56" hidden="1" x14ac:dyDescent="0.25">
      <c r="A41" s="72">
        <f t="shared" si="0"/>
        <v>36</v>
      </c>
      <c r="B41" s="73" t="s">
        <v>182</v>
      </c>
      <c r="C41" s="171" t="s">
        <v>163</v>
      </c>
      <c r="D41" s="171" t="s">
        <v>163</v>
      </c>
      <c r="E41" s="171" t="s">
        <v>163</v>
      </c>
      <c r="F41" s="177"/>
      <c r="G41" s="171" t="s">
        <v>163</v>
      </c>
      <c r="H41" s="195" t="s">
        <v>163</v>
      </c>
      <c r="I41" s="195" t="s">
        <v>163</v>
      </c>
      <c r="J41" s="195" t="s">
        <v>163</v>
      </c>
      <c r="K41" s="195" t="s">
        <v>163</v>
      </c>
      <c r="L41" s="98" t="s">
        <v>163</v>
      </c>
      <c r="M41" s="98" t="s">
        <v>163</v>
      </c>
      <c r="N41" s="98" t="s">
        <v>163</v>
      </c>
      <c r="O41" s="98" t="s">
        <v>163</v>
      </c>
      <c r="P41" s="98" t="s">
        <v>163</v>
      </c>
      <c r="Q41" s="177"/>
      <c r="R41" s="98" t="s">
        <v>163</v>
      </c>
      <c r="S41" s="177"/>
      <c r="T41" s="255"/>
      <c r="U41" s="177"/>
      <c r="V41" s="98" t="s">
        <v>163</v>
      </c>
      <c r="W41" s="98" t="s">
        <v>163</v>
      </c>
      <c r="X41" s="98" t="s">
        <v>163</v>
      </c>
      <c r="Y41" s="98" t="s">
        <v>163</v>
      </c>
      <c r="Z41" s="98" t="s">
        <v>163</v>
      </c>
      <c r="AA41" s="177"/>
      <c r="AB41" s="177"/>
      <c r="AC41" s="177"/>
      <c r="AD41" s="177"/>
      <c r="AE41" s="177"/>
      <c r="AF41" s="177"/>
      <c r="AG41" s="177"/>
      <c r="AH41" s="177"/>
      <c r="AI41" s="177"/>
      <c r="AJ41" s="177"/>
      <c r="AK41" s="177"/>
      <c r="AL41" s="177"/>
      <c r="AM41" s="177"/>
      <c r="AN41" s="177"/>
      <c r="AO41" s="98"/>
      <c r="AP41" s="98"/>
      <c r="AQ41" s="98"/>
      <c r="AR41" s="98"/>
      <c r="AS41" s="98"/>
      <c r="AT41" s="98"/>
      <c r="AU41" s="98"/>
      <c r="AV41" s="98"/>
      <c r="AW41" s="98"/>
      <c r="AX41" s="98"/>
      <c r="AY41" s="98"/>
      <c r="AZ41" s="98"/>
      <c r="BA41" s="98"/>
      <c r="BB41" s="98"/>
      <c r="BC41" s="98"/>
      <c r="BD41" s="98"/>
    </row>
    <row r="42" spans="1:56" ht="30" x14ac:dyDescent="0.25">
      <c r="A42" s="72">
        <f t="shared" si="0"/>
        <v>37</v>
      </c>
      <c r="B42" s="73" t="s">
        <v>589</v>
      </c>
      <c r="C42" s="171" t="s">
        <v>163</v>
      </c>
      <c r="D42" s="171" t="s">
        <v>163</v>
      </c>
      <c r="E42" s="171" t="s">
        <v>163</v>
      </c>
      <c r="F42" s="171" t="s">
        <v>163</v>
      </c>
      <c r="G42" s="171" t="s">
        <v>163</v>
      </c>
      <c r="H42" s="195" t="s">
        <v>163</v>
      </c>
      <c r="I42" s="195" t="s">
        <v>163</v>
      </c>
      <c r="J42" s="195" t="s">
        <v>163</v>
      </c>
      <c r="K42" s="195" t="s">
        <v>163</v>
      </c>
      <c r="L42" s="98" t="s">
        <v>163</v>
      </c>
      <c r="M42" s="98" t="s">
        <v>163</v>
      </c>
      <c r="N42" s="98" t="s">
        <v>163</v>
      </c>
      <c r="O42" s="98" t="s">
        <v>163</v>
      </c>
      <c r="P42" s="98" t="s">
        <v>163</v>
      </c>
      <c r="Q42" s="98" t="s">
        <v>163</v>
      </c>
      <c r="R42" s="98" t="s">
        <v>163</v>
      </c>
      <c r="S42" s="98" t="s">
        <v>163</v>
      </c>
      <c r="T42" s="255"/>
      <c r="U42" s="98" t="s">
        <v>163</v>
      </c>
      <c r="V42" s="98" t="s">
        <v>163</v>
      </c>
      <c r="W42" s="98" t="s">
        <v>163</v>
      </c>
      <c r="X42" s="98" t="s">
        <v>163</v>
      </c>
      <c r="Y42" s="98" t="s">
        <v>163</v>
      </c>
      <c r="Z42" s="98" t="s">
        <v>163</v>
      </c>
      <c r="AA42" s="98" t="s">
        <v>163</v>
      </c>
      <c r="AB42" s="98" t="s">
        <v>163</v>
      </c>
      <c r="AC42" s="98" t="s">
        <v>163</v>
      </c>
      <c r="AD42" s="98" t="s">
        <v>163</v>
      </c>
      <c r="AE42" s="98" t="s">
        <v>163</v>
      </c>
      <c r="AF42" s="98" t="s">
        <v>163</v>
      </c>
      <c r="AG42" s="98" t="s">
        <v>163</v>
      </c>
      <c r="AH42" s="98"/>
      <c r="AI42" s="98"/>
      <c r="AJ42" s="98"/>
      <c r="AK42" s="98"/>
      <c r="AL42" s="98"/>
      <c r="AM42" s="98"/>
      <c r="AN42" s="98"/>
      <c r="AO42" s="98"/>
      <c r="AP42" s="98"/>
      <c r="AQ42" s="98"/>
      <c r="AR42" s="98"/>
      <c r="AS42" s="98"/>
      <c r="AT42" s="98"/>
      <c r="AU42" s="98"/>
      <c r="AV42" s="98"/>
      <c r="AW42" s="98"/>
      <c r="AX42" s="98"/>
      <c r="AY42" s="98"/>
      <c r="AZ42" s="98"/>
      <c r="BA42" s="98"/>
      <c r="BB42" s="98"/>
      <c r="BC42" s="98"/>
      <c r="BD42" s="98"/>
    </row>
    <row r="43" spans="1:56" hidden="1" x14ac:dyDescent="0.25">
      <c r="A43" s="72">
        <f t="shared" si="0"/>
        <v>38</v>
      </c>
      <c r="B43" s="73" t="s">
        <v>302</v>
      </c>
      <c r="C43" s="72" t="s">
        <v>163</v>
      </c>
      <c r="D43" s="72" t="s">
        <v>163</v>
      </c>
      <c r="E43" s="72" t="s">
        <v>163</v>
      </c>
      <c r="F43" s="72" t="s">
        <v>163</v>
      </c>
      <c r="G43" s="177"/>
      <c r="H43" s="196" t="s">
        <v>163</v>
      </c>
      <c r="I43" s="196" t="s">
        <v>163</v>
      </c>
      <c r="J43" s="98" t="s">
        <v>163</v>
      </c>
      <c r="K43" s="98" t="s">
        <v>163</v>
      </c>
      <c r="L43" s="177"/>
      <c r="M43" s="98" t="s">
        <v>163</v>
      </c>
      <c r="N43" s="98" t="s">
        <v>163</v>
      </c>
      <c r="O43" s="98" t="s">
        <v>163</v>
      </c>
      <c r="P43" s="98" t="s">
        <v>163</v>
      </c>
      <c r="Q43" s="177"/>
      <c r="R43" s="98" t="s">
        <v>163</v>
      </c>
      <c r="S43" s="177"/>
      <c r="T43" s="255"/>
      <c r="U43" s="177"/>
      <c r="V43" s="177"/>
      <c r="W43" s="177"/>
      <c r="X43" s="177"/>
      <c r="Y43" s="177"/>
      <c r="Z43" s="177"/>
      <c r="AA43" s="177"/>
      <c r="AB43" s="177"/>
      <c r="AC43" s="177"/>
      <c r="AD43" s="177"/>
      <c r="AE43" s="177"/>
      <c r="AF43" s="177"/>
      <c r="AG43" s="177"/>
      <c r="AH43" s="177"/>
      <c r="AI43" s="177"/>
      <c r="AJ43" s="177"/>
      <c r="AK43" s="177"/>
      <c r="AL43" s="177"/>
      <c r="AM43" s="177"/>
      <c r="AN43" s="177"/>
      <c r="AO43" s="98"/>
      <c r="AP43" s="98"/>
      <c r="AQ43" s="98"/>
      <c r="AR43" s="98"/>
      <c r="AS43" s="98"/>
      <c r="AT43" s="98"/>
      <c r="AU43" s="98"/>
      <c r="AV43" s="98"/>
      <c r="AW43" s="98"/>
      <c r="AX43" s="98"/>
      <c r="AY43" s="98"/>
      <c r="AZ43" s="98"/>
      <c r="BA43" s="98"/>
      <c r="BB43" s="98"/>
      <c r="BC43" s="98"/>
      <c r="BD43" s="98"/>
    </row>
    <row r="44" spans="1:56" x14ac:dyDescent="0.25">
      <c r="A44" s="72">
        <f t="shared" si="0"/>
        <v>39</v>
      </c>
      <c r="B44" s="73" t="s">
        <v>304</v>
      </c>
      <c r="C44" s="72" t="s">
        <v>163</v>
      </c>
      <c r="D44" s="72" t="s">
        <v>163</v>
      </c>
      <c r="E44" s="72" t="s">
        <v>163</v>
      </c>
      <c r="F44" s="72" t="s">
        <v>163</v>
      </c>
      <c r="G44" s="72" t="s">
        <v>163</v>
      </c>
      <c r="H44" s="196" t="s">
        <v>163</v>
      </c>
      <c r="I44" s="196" t="s">
        <v>163</v>
      </c>
      <c r="J44" s="98" t="s">
        <v>163</v>
      </c>
      <c r="K44" s="98" t="s">
        <v>163</v>
      </c>
      <c r="L44" s="98" t="s">
        <v>163</v>
      </c>
      <c r="M44" s="98" t="s">
        <v>163</v>
      </c>
      <c r="N44" s="98" t="s">
        <v>163</v>
      </c>
      <c r="O44" s="98" t="s">
        <v>163</v>
      </c>
      <c r="P44" s="98" t="s">
        <v>163</v>
      </c>
      <c r="Q44" s="98" t="s">
        <v>163</v>
      </c>
      <c r="R44" s="98" t="s">
        <v>163</v>
      </c>
      <c r="S44" s="98" t="s">
        <v>163</v>
      </c>
      <c r="T44" s="255"/>
      <c r="U44" s="98" t="s">
        <v>163</v>
      </c>
      <c r="V44" s="98" t="s">
        <v>163</v>
      </c>
      <c r="W44" s="98" t="s">
        <v>163</v>
      </c>
      <c r="X44" s="98" t="s">
        <v>163</v>
      </c>
      <c r="Y44" s="98" t="s">
        <v>163</v>
      </c>
      <c r="Z44" s="98" t="s">
        <v>163</v>
      </c>
      <c r="AA44" s="98" t="s">
        <v>163</v>
      </c>
      <c r="AB44" s="98" t="s">
        <v>163</v>
      </c>
      <c r="AC44" s="98" t="s">
        <v>163</v>
      </c>
      <c r="AD44" s="98" t="s">
        <v>163</v>
      </c>
      <c r="AE44" s="98" t="s">
        <v>163</v>
      </c>
      <c r="AF44" s="98" t="s">
        <v>163</v>
      </c>
      <c r="AG44" s="98" t="s">
        <v>163</v>
      </c>
      <c r="AH44" s="98"/>
      <c r="AI44" s="98"/>
      <c r="AJ44" s="98"/>
      <c r="AK44" s="98"/>
      <c r="AL44" s="98"/>
      <c r="AM44" s="98"/>
      <c r="AN44" s="98"/>
      <c r="AO44" s="98"/>
      <c r="AP44" s="98"/>
      <c r="AQ44" s="98"/>
      <c r="AR44" s="98"/>
      <c r="AS44" s="98"/>
      <c r="AT44" s="98"/>
      <c r="AU44" s="98"/>
      <c r="AV44" s="98"/>
      <c r="AW44" s="98"/>
      <c r="AX44" s="98"/>
      <c r="AY44" s="98"/>
      <c r="AZ44" s="98"/>
      <c r="BA44" s="98"/>
      <c r="BB44" s="98"/>
      <c r="BC44" s="98"/>
      <c r="BD44" s="98"/>
    </row>
    <row r="45" spans="1:56" x14ac:dyDescent="0.25">
      <c r="A45" s="72">
        <f t="shared" si="0"/>
        <v>40</v>
      </c>
      <c r="B45" s="73"/>
      <c r="C45" s="72"/>
      <c r="D45" s="72"/>
      <c r="E45" s="72"/>
      <c r="F45" s="72"/>
      <c r="G45" s="72"/>
      <c r="H45" s="196"/>
      <c r="I45" s="196"/>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row>
    <row r="46" spans="1:56" x14ac:dyDescent="0.25">
      <c r="A46" s="72">
        <f t="shared" si="0"/>
        <v>41</v>
      </c>
      <c r="B46" s="73"/>
      <c r="C46" s="72"/>
      <c r="D46" s="72"/>
      <c r="E46" s="72"/>
      <c r="F46" s="72"/>
      <c r="G46" s="72"/>
      <c r="H46" s="196"/>
      <c r="I46" s="196"/>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row>
    <row r="47" spans="1:56" x14ac:dyDescent="0.25">
      <c r="A47" s="72">
        <f t="shared" si="0"/>
        <v>42</v>
      </c>
      <c r="B47" s="73"/>
      <c r="C47" s="72"/>
      <c r="D47" s="72"/>
      <c r="E47" s="72"/>
      <c r="F47" s="72"/>
      <c r="G47" s="72"/>
      <c r="H47" s="196"/>
      <c r="I47" s="196"/>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row>
    <row r="48" spans="1:56" x14ac:dyDescent="0.25">
      <c r="A48" s="72">
        <f t="shared" si="0"/>
        <v>43</v>
      </c>
      <c r="B48" s="73"/>
      <c r="C48" s="72"/>
      <c r="D48" s="72"/>
      <c r="E48" s="72"/>
      <c r="F48" s="72"/>
      <c r="G48" s="72"/>
      <c r="H48" s="196"/>
      <c r="I48" s="196"/>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row>
    <row r="49" spans="1:56" x14ac:dyDescent="0.25">
      <c r="A49" s="72">
        <f t="shared" si="0"/>
        <v>44</v>
      </c>
      <c r="B49" s="73"/>
      <c r="C49" s="72"/>
      <c r="D49" s="72"/>
      <c r="E49" s="72"/>
      <c r="F49" s="72"/>
      <c r="G49" s="72"/>
      <c r="H49" s="196"/>
      <c r="I49" s="196"/>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row>
    <row r="50" spans="1:56" x14ac:dyDescent="0.25">
      <c r="A50" s="72">
        <f t="shared" si="0"/>
        <v>45</v>
      </c>
      <c r="B50" s="73"/>
      <c r="C50" s="72"/>
      <c r="D50" s="72"/>
      <c r="E50" s="72"/>
      <c r="F50" s="72"/>
      <c r="G50" s="72"/>
      <c r="H50" s="196"/>
      <c r="I50" s="196"/>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row>
    <row r="51" spans="1:56" x14ac:dyDescent="0.25">
      <c r="A51" s="72">
        <f t="shared" si="0"/>
        <v>46</v>
      </c>
      <c r="B51" s="73"/>
      <c r="C51" s="72"/>
      <c r="D51" s="72"/>
      <c r="E51" s="72"/>
      <c r="F51" s="72"/>
      <c r="G51" s="72"/>
      <c r="H51" s="196"/>
      <c r="I51" s="196"/>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row>
    <row r="52" spans="1:56" x14ac:dyDescent="0.25">
      <c r="A52" s="72">
        <f t="shared" si="0"/>
        <v>47</v>
      </c>
      <c r="B52" s="73"/>
      <c r="C52" s="72"/>
      <c r="D52" s="72"/>
      <c r="E52" s="72"/>
      <c r="F52" s="72"/>
      <c r="G52" s="72"/>
      <c r="H52" s="196"/>
      <c r="I52" s="196"/>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row>
    <row r="53" spans="1:56" x14ac:dyDescent="0.25">
      <c r="A53" s="72">
        <f t="shared" si="0"/>
        <v>48</v>
      </c>
      <c r="B53" s="73"/>
      <c r="C53" s="72"/>
      <c r="D53" s="72"/>
      <c r="E53" s="72"/>
      <c r="F53" s="72"/>
      <c r="G53" s="72"/>
      <c r="H53" s="196"/>
      <c r="I53" s="196"/>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row>
    <row r="54" spans="1:56" x14ac:dyDescent="0.25">
      <c r="A54" s="72">
        <f t="shared" si="0"/>
        <v>49</v>
      </c>
      <c r="B54" s="73"/>
      <c r="C54" s="72"/>
      <c r="D54" s="72"/>
      <c r="E54" s="72"/>
      <c r="F54" s="72"/>
      <c r="G54" s="72"/>
      <c r="H54" s="196"/>
      <c r="I54" s="196"/>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row>
    <row r="55" spans="1:56" x14ac:dyDescent="0.25">
      <c r="A55" s="72">
        <f t="shared" si="0"/>
        <v>50</v>
      </c>
      <c r="B55" s="73"/>
      <c r="C55" s="72"/>
      <c r="D55" s="72"/>
      <c r="E55" s="72"/>
      <c r="F55" s="72"/>
      <c r="G55" s="72"/>
      <c r="H55" s="196"/>
      <c r="I55" s="196"/>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row>
    <row r="56" spans="1:56" x14ac:dyDescent="0.25">
      <c r="A56" s="72">
        <f t="shared" si="0"/>
        <v>51</v>
      </c>
      <c r="B56" s="73"/>
      <c r="C56" s="72"/>
      <c r="D56" s="72"/>
      <c r="E56" s="72"/>
      <c r="F56" s="72"/>
      <c r="G56" s="72"/>
      <c r="H56" s="196"/>
      <c r="I56" s="196"/>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row>
    <row r="57" spans="1:56" x14ac:dyDescent="0.25">
      <c r="A57" s="72">
        <f t="shared" si="0"/>
        <v>52</v>
      </c>
      <c r="B57" s="73"/>
      <c r="C57" s="72"/>
      <c r="D57" s="72"/>
      <c r="E57" s="72"/>
      <c r="F57" s="72"/>
      <c r="G57" s="72"/>
      <c r="H57" s="196"/>
      <c r="I57" s="196"/>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row>
    <row r="58" spans="1:56" x14ac:dyDescent="0.25">
      <c r="A58" s="72">
        <f t="shared" si="0"/>
        <v>53</v>
      </c>
      <c r="B58" s="73"/>
      <c r="C58" s="72"/>
      <c r="D58" s="72"/>
      <c r="E58" s="72"/>
      <c r="F58" s="72"/>
      <c r="G58" s="72"/>
      <c r="H58" s="196"/>
      <c r="I58" s="196"/>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row>
    <row r="59" spans="1:56" x14ac:dyDescent="0.25">
      <c r="A59" s="72">
        <f t="shared" si="0"/>
        <v>54</v>
      </c>
      <c r="B59" s="73"/>
      <c r="C59" s="72"/>
      <c r="D59" s="72"/>
      <c r="E59" s="72"/>
      <c r="F59" s="72"/>
      <c r="G59" s="72"/>
      <c r="H59" s="196"/>
      <c r="I59" s="196"/>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row>
    <row r="60" spans="1:56" x14ac:dyDescent="0.25">
      <c r="A60" s="72">
        <f t="shared" si="0"/>
        <v>55</v>
      </c>
      <c r="B60" s="73"/>
      <c r="C60" s="72"/>
      <c r="D60" s="72"/>
      <c r="E60" s="72"/>
      <c r="F60" s="72"/>
      <c r="G60" s="72"/>
      <c r="H60" s="196"/>
      <c r="I60" s="196"/>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row>
    <row r="61" spans="1:56" x14ac:dyDescent="0.25">
      <c r="A61" s="72">
        <f t="shared" si="0"/>
        <v>56</v>
      </c>
      <c r="B61" s="73"/>
      <c r="C61" s="72"/>
      <c r="D61" s="72"/>
      <c r="E61" s="72"/>
      <c r="F61" s="72"/>
      <c r="G61" s="72"/>
      <c r="H61" s="196"/>
      <c r="I61" s="196"/>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row>
    <row r="62" spans="1:56" x14ac:dyDescent="0.25">
      <c r="A62" s="72">
        <f t="shared" si="0"/>
        <v>57</v>
      </c>
      <c r="B62" s="73"/>
      <c r="C62" s="72"/>
      <c r="D62" s="72"/>
      <c r="E62" s="72"/>
      <c r="F62" s="72"/>
      <c r="G62" s="72"/>
      <c r="H62" s="196"/>
      <c r="I62" s="196"/>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row>
    <row r="63" spans="1:56" x14ac:dyDescent="0.25">
      <c r="A63" s="72"/>
      <c r="B63" s="73"/>
      <c r="C63" s="72"/>
      <c r="D63" s="72"/>
      <c r="E63" s="72"/>
      <c r="F63" s="72"/>
      <c r="G63" s="72"/>
      <c r="H63" s="196"/>
      <c r="I63" s="196"/>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row>
    <row r="64" spans="1:56" x14ac:dyDescent="0.25">
      <c r="A64" s="72"/>
      <c r="B64" s="73"/>
      <c r="C64" s="72"/>
      <c r="D64" s="72"/>
      <c r="E64" s="72"/>
      <c r="F64" s="72"/>
      <c r="G64" s="72"/>
      <c r="H64" s="196"/>
      <c r="I64" s="196"/>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row>
    <row r="65" spans="1:56" x14ac:dyDescent="0.25">
      <c r="A65" s="72"/>
      <c r="B65" s="73"/>
      <c r="C65" s="72"/>
      <c r="D65" s="72"/>
      <c r="E65" s="72"/>
      <c r="F65" s="72"/>
      <c r="G65" s="72"/>
      <c r="H65" s="196"/>
      <c r="I65" s="196"/>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row>
    <row r="66" spans="1:56" x14ac:dyDescent="0.25">
      <c r="H66" s="197"/>
      <c r="I66" s="197"/>
    </row>
  </sheetData>
  <pageMargins left="0.7" right="0.7" top="0.75" bottom="0.75" header="0.3" footer="0.3"/>
  <pageSetup paperSize="9"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16" sqref="C16"/>
    </sheetView>
  </sheetViews>
  <sheetFormatPr defaultRowHeight="15" x14ac:dyDescent="0.25"/>
  <cols>
    <col min="1" max="1" width="19" style="72" customWidth="1"/>
    <col min="2" max="2" width="1" style="72" customWidth="1"/>
    <col min="3" max="3" width="177.28515625" style="235" customWidth="1"/>
  </cols>
  <sheetData>
    <row r="1" spans="1:3" x14ac:dyDescent="0.25">
      <c r="A1" s="71" t="s">
        <v>425</v>
      </c>
      <c r="B1" s="71"/>
      <c r="C1" s="71" t="s">
        <v>423</v>
      </c>
    </row>
    <row r="2" spans="1:3" x14ac:dyDescent="0.25">
      <c r="A2" s="236">
        <v>43622.645691898149</v>
      </c>
      <c r="B2" s="236"/>
      <c r="C2" s="237" t="s">
        <v>424</v>
      </c>
    </row>
    <row r="3" spans="1:3" ht="30" x14ac:dyDescent="0.25">
      <c r="A3" s="236">
        <v>43622.680013657409</v>
      </c>
      <c r="C3" s="238" t="s">
        <v>426</v>
      </c>
    </row>
    <row r="4" spans="1:3" ht="60" x14ac:dyDescent="0.25">
      <c r="A4" s="236">
        <v>43628.450391782404</v>
      </c>
      <c r="C4" s="238" t="s">
        <v>450</v>
      </c>
    </row>
    <row r="5" spans="1:3" x14ac:dyDescent="0.25">
      <c r="A5" s="236">
        <v>43640.442550462962</v>
      </c>
      <c r="C5" s="235" t="s">
        <v>467</v>
      </c>
    </row>
    <row r="6" spans="1:3" x14ac:dyDescent="0.25">
      <c r="A6" s="236">
        <v>43865.687955671296</v>
      </c>
      <c r="C6" s="235" t="s">
        <v>468</v>
      </c>
    </row>
    <row r="7" spans="1:3" x14ac:dyDescent="0.25">
      <c r="A7" s="236">
        <v>43866.346813657408</v>
      </c>
      <c r="C7" s="235" t="s">
        <v>481</v>
      </c>
    </row>
    <row r="8" spans="1:3" x14ac:dyDescent="0.25">
      <c r="A8" s="236">
        <v>43866.613216203703</v>
      </c>
      <c r="C8" s="235" t="s">
        <v>482</v>
      </c>
    </row>
    <row r="9" spans="1:3" x14ac:dyDescent="0.25">
      <c r="A9" s="236">
        <v>43872.396709375003</v>
      </c>
      <c r="C9" s="235" t="s">
        <v>511</v>
      </c>
    </row>
    <row r="10" spans="1:3" x14ac:dyDescent="0.25">
      <c r="A10" s="236">
        <v>43872.419453009257</v>
      </c>
      <c r="C10" s="235" t="s">
        <v>539</v>
      </c>
    </row>
    <row r="11" spans="1:3" x14ac:dyDescent="0.25">
      <c r="A11" s="236">
        <v>44057.498279398147</v>
      </c>
      <c r="C11" s="235" t="s">
        <v>560</v>
      </c>
    </row>
    <row r="12" spans="1:3" ht="45" x14ac:dyDescent="0.25">
      <c r="A12" s="236">
        <v>44057.547831249998</v>
      </c>
      <c r="C12" s="238" t="s">
        <v>568</v>
      </c>
    </row>
    <row r="13" spans="1:3" x14ac:dyDescent="0.25">
      <c r="C13" s="235">
        <v>0</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Performance Summary</vt:lpstr>
      <vt:lpstr>Calc vs Measured</vt:lpstr>
      <vt:lpstr>Setup</vt:lpstr>
      <vt:lpstr>Eigen &amp; Mod Tuning</vt:lpstr>
      <vt:lpstr>Power Sweep</vt:lpstr>
      <vt:lpstr>Run Log</vt:lpstr>
      <vt:lpstr>Test Proc</vt:lpstr>
      <vt:lpstr>Action Log</vt:lpstr>
    </vt:vector>
  </TitlesOfParts>
  <Company>University of Southampton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Taranta</dc:creator>
  <cp:lastModifiedBy>Taranta A.A.</cp:lastModifiedBy>
  <dcterms:created xsi:type="dcterms:W3CDTF">2016-07-07T15:13:27Z</dcterms:created>
  <dcterms:modified xsi:type="dcterms:W3CDTF">2020-09-25T13:15:18Z</dcterms:modified>
</cp:coreProperties>
</file>