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DC05BD20-4804-7139-695A-D245BE01A294}"/>
  <workbookPr codeName="ThisWorkbook" defaultThemeVersion="166925"/>
  <mc:AlternateContent xmlns:mc="http://schemas.openxmlformats.org/markup-compatibility/2006">
    <mc:Choice Requires="x15">
      <x15ac:absPath xmlns:x15ac="http://schemas.microsoft.com/office/spreadsheetml/2010/11/ac" url="https://sotonac.sharepoint.com/teams/CHEPEnhancementFund436/Shared Documents/General/4. Outputs/Calculator/"/>
    </mc:Choice>
  </mc:AlternateContent>
  <xr:revisionPtr revIDLastSave="1654" documentId="8_{8CDF0F95-77E3-4938-BC0A-E0A2D2E5DD3B}" xr6:coauthVersionLast="47" xr6:coauthVersionMax="47" xr10:uidLastSave="{70C95AE2-1B68-4EF8-B473-8B873A7456B9}"/>
  <bookViews>
    <workbookView xWindow="28680" yWindow="-120" windowWidth="29040" windowHeight="16440" tabRatio="834" xr2:uid="{00000000-000D-0000-FFFF-FFFF00000000}"/>
  </bookViews>
  <sheets>
    <sheet name="WSA-CC-Introduction &amp; guide" sheetId="21" r:id="rId1"/>
    <sheet name="WSA-CC-Energy" sheetId="8" r:id="rId2"/>
    <sheet name="WSA-CC-Water" sheetId="9" r:id="rId3"/>
    <sheet name="WSA-CC-Material" sheetId="10" r:id="rId4"/>
    <sheet name="WSA-CC-Waste" sheetId="12" r:id="rId5"/>
    <sheet name="WSA-CC-Travel" sheetId="13" r:id="rId6"/>
    <sheet name="WSA-CC-Freight" sheetId="17" r:id="rId7"/>
    <sheet name="WSA-CC-Accommodation" sheetId="19" r:id="rId8"/>
    <sheet name="WSA-CC-Summary" sheetId="20" r:id="rId9"/>
    <sheet name="Carbon Calculator-All" sheetId="7" state="hidden" r:id="rId10"/>
    <sheet name="GHG conversion factor" sheetId="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19" l="1"/>
  <c r="M21" i="19" s="1"/>
  <c r="S20" i="19"/>
  <c r="M20" i="19" s="1"/>
  <c r="S19" i="19"/>
  <c r="M19" i="19" s="1"/>
  <c r="S18" i="19"/>
  <c r="M18" i="19" s="1"/>
  <c r="S17" i="19"/>
  <c r="M17" i="19" s="1"/>
  <c r="S16" i="19"/>
  <c r="M16" i="19" s="1"/>
  <c r="S15" i="19"/>
  <c r="M15" i="19" s="1"/>
  <c r="S14" i="19"/>
  <c r="M14" i="19" s="1"/>
  <c r="S13" i="19"/>
  <c r="M13" i="19" s="1"/>
  <c r="E152" i="7" a="1"/>
  <c r="E152" i="7" s="1"/>
  <c r="J152" i="7" a="1"/>
  <c r="J152" i="7" s="1"/>
  <c r="I2" i="8"/>
  <c r="I2" i="19" s="1"/>
  <c r="R38" i="10"/>
  <c r="R36" i="10"/>
  <c r="R35" i="10"/>
  <c r="R34" i="10"/>
  <c r="R33" i="10"/>
  <c r="R32" i="10"/>
  <c r="R31" i="10"/>
  <c r="R30" i="10"/>
  <c r="G29" i="6"/>
  <c r="G28" i="6"/>
  <c r="G27" i="6"/>
  <c r="G26" i="6"/>
  <c r="G25" i="6"/>
  <c r="G24" i="6"/>
  <c r="G23" i="6"/>
  <c r="R45" i="10"/>
  <c r="R44" i="10"/>
  <c r="R43" i="10"/>
  <c r="R42" i="10"/>
  <c r="R41" i="10"/>
  <c r="R40" i="10"/>
  <c r="R39" i="10"/>
  <c r="F4" i="20"/>
  <c r="F4" i="19"/>
  <c r="F4" i="17"/>
  <c r="F4" i="13"/>
  <c r="F4" i="12"/>
  <c r="F4" i="10"/>
  <c r="F4" i="9"/>
  <c r="R29" i="10"/>
  <c r="R28" i="10"/>
  <c r="R27" i="10"/>
  <c r="R26" i="10"/>
  <c r="R25" i="10"/>
  <c r="E43" i="7" s="1"/>
  <c r="H43" i="7" s="1"/>
  <c r="R24" i="10"/>
  <c r="E42" i="7" s="1"/>
  <c r="H42" i="7" s="1"/>
  <c r="R23" i="10"/>
  <c r="E41" i="7" s="1"/>
  <c r="H41" i="7" s="1"/>
  <c r="R22" i="10"/>
  <c r="R21" i="10"/>
  <c r="R20" i="10"/>
  <c r="R19" i="10"/>
  <c r="E36" i="7"/>
  <c r="H36" i="7" s="1"/>
  <c r="R18" i="10"/>
  <c r="E35" i="7" s="1"/>
  <c r="H35" i="7" s="1"/>
  <c r="R17" i="10"/>
  <c r="E34" i="7" s="1"/>
  <c r="H34" i="7" s="1"/>
  <c r="R16" i="10"/>
  <c r="E33" i="7" s="1"/>
  <c r="H33" i="7" s="1"/>
  <c r="R15" i="10"/>
  <c r="E32" i="7" s="1"/>
  <c r="H32" i="7" s="1"/>
  <c r="R14" i="10"/>
  <c r="R13" i="10"/>
  <c r="E30" i="7" s="1"/>
  <c r="H30" i="7" s="1"/>
  <c r="L4" i="20"/>
  <c r="K205" i="7"/>
  <c r="K204" i="7"/>
  <c r="K203" i="7"/>
  <c r="K202" i="7"/>
  <c r="K201" i="7"/>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J167" i="7" a="1"/>
  <c r="J167" i="7" s="1"/>
  <c r="J144" i="7" a="1"/>
  <c r="J144" i="7" s="1"/>
  <c r="J141" i="7" a="1"/>
  <c r="J141" i="7" s="1"/>
  <c r="J139" i="7" a="1"/>
  <c r="J139" i="7" s="1"/>
  <c r="J136" i="7" a="1"/>
  <c r="J130" i="7" a="1"/>
  <c r="J130" i="7" s="1"/>
  <c r="J127" i="7" a="1"/>
  <c r="J127" i="7" s="1"/>
  <c r="J124" i="7" a="1"/>
  <c r="J121" i="7" a="1"/>
  <c r="J121" i="7" s="1"/>
  <c r="J119" i="7" a="1"/>
  <c r="J116" i="7" a="1"/>
  <c r="J116" i="7" s="1"/>
  <c r="J109" i="7" a="1"/>
  <c r="J107" i="7" a="1"/>
  <c r="J105" i="7" a="1"/>
  <c r="J103" i="7" a="1"/>
  <c r="J103" i="7" s="1"/>
  <c r="J100" i="7" a="1"/>
  <c r="J100" i="7" s="1"/>
  <c r="J98" i="7" a="1"/>
  <c r="J98" i="7" s="1"/>
  <c r="J95" i="7" a="1"/>
  <c r="J95" i="7" s="1"/>
  <c r="J91" i="7" a="1"/>
  <c r="J87" i="7" a="1"/>
  <c r="J87" i="7" s="1"/>
  <c r="J83" i="7" a="1"/>
  <c r="J82" i="7"/>
  <c r="E82" i="7"/>
  <c r="H82" i="7" s="1"/>
  <c r="J77" i="7" a="1"/>
  <c r="J77" i="7" s="1"/>
  <c r="E77" i="7"/>
  <c r="H77" i="7" s="1"/>
  <c r="J71" i="7" a="1"/>
  <c r="J71" i="7" s="1"/>
  <c r="H70" i="7"/>
  <c r="K70" i="7" s="1"/>
  <c r="H69" i="7"/>
  <c r="K69" i="7" s="1"/>
  <c r="J67" i="7" a="1"/>
  <c r="H66" i="7"/>
  <c r="K66" i="7" s="1"/>
  <c r="H65" i="7"/>
  <c r="K65" i="7" s="1"/>
  <c r="H64" i="7"/>
  <c r="K64" i="7" s="1"/>
  <c r="H63" i="7"/>
  <c r="K63" i="7" s="1"/>
  <c r="H62" i="7"/>
  <c r="K62" i="7" s="1"/>
  <c r="H61" i="7"/>
  <c r="K61" i="7" s="1"/>
  <c r="H60" i="7"/>
  <c r="K60" i="7" s="1"/>
  <c r="H59" i="7"/>
  <c r="K59" i="7" s="1"/>
  <c r="H58" i="7"/>
  <c r="K58" i="7" s="1"/>
  <c r="H57" i="7"/>
  <c r="K57" i="7" s="1"/>
  <c r="H56" i="7"/>
  <c r="K56" i="7" s="1"/>
  <c r="H55" i="7"/>
  <c r="K55" i="7" s="1"/>
  <c r="H54" i="7"/>
  <c r="K54" i="7" s="1"/>
  <c r="H53" i="7"/>
  <c r="K53" i="7" s="1"/>
  <c r="E48" i="7"/>
  <c r="H48" i="7" s="1"/>
  <c r="J30" i="7" a="1"/>
  <c r="J25" i="7"/>
  <c r="E25" i="7"/>
  <c r="H25" i="7" s="1"/>
  <c r="A25" i="7"/>
  <c r="J24" i="7"/>
  <c r="E24" i="7"/>
  <c r="H24" i="7" s="1"/>
  <c r="A24" i="7"/>
  <c r="J23" i="7"/>
  <c r="E23" i="7"/>
  <c r="H23" i="7" s="1"/>
  <c r="A23" i="7"/>
  <c r="J22" i="7"/>
  <c r="E22" i="7"/>
  <c r="H22" i="7" s="1"/>
  <c r="A22" i="7"/>
  <c r="J21" i="7"/>
  <c r="E21" i="7"/>
  <c r="H21" i="7" s="1"/>
  <c r="A21" i="7"/>
  <c r="J20" i="7"/>
  <c r="E20" i="7"/>
  <c r="H20" i="7" s="1"/>
  <c r="A20" i="7"/>
  <c r="J19" i="7"/>
  <c r="E19" i="7"/>
  <c r="H19" i="7" s="1"/>
  <c r="A19" i="7"/>
  <c r="J18" i="7"/>
  <c r="E18" i="7"/>
  <c r="H18" i="7" s="1"/>
  <c r="A18" i="7"/>
  <c r="J17" i="7"/>
  <c r="E17" i="7"/>
  <c r="H17" i="7" s="1"/>
  <c r="A17" i="7"/>
  <c r="J16" i="7"/>
  <c r="E16" i="7"/>
  <c r="H16" i="7" s="1"/>
  <c r="A16" i="7"/>
  <c r="J11" i="7"/>
  <c r="J10" i="7"/>
  <c r="J9" i="7"/>
  <c r="J8" i="7"/>
  <c r="J7" i="7"/>
  <c r="J6" i="7"/>
  <c r="J5" i="7"/>
  <c r="J4" i="7"/>
  <c r="J3" i="7"/>
  <c r="J2" i="7"/>
  <c r="G2" i="7" a="1"/>
  <c r="G2" i="7" s="1"/>
  <c r="E2" i="7" a="1"/>
  <c r="D2" i="7" a="1"/>
  <c r="D2" i="7" s="1"/>
  <c r="A2" i="7" a="1"/>
  <c r="A2" i="7" s="1"/>
  <c r="L4" i="19"/>
  <c r="L4" i="17"/>
  <c r="R45" i="13"/>
  <c r="R44" i="13"/>
  <c r="R43" i="13"/>
  <c r="S42" i="13" a="1"/>
  <c r="S42" i="13" s="1"/>
  <c r="R42" i="13"/>
  <c r="R41" i="13"/>
  <c r="R40" i="13"/>
  <c r="S39" i="13" a="1"/>
  <c r="R39" i="13"/>
  <c r="R38" i="13"/>
  <c r="S37" i="13" a="1"/>
  <c r="R37" i="13"/>
  <c r="R36" i="13"/>
  <c r="R35" i="13"/>
  <c r="S34" i="13" a="1"/>
  <c r="R34" i="13"/>
  <c r="R33" i="13"/>
  <c r="R32" i="13"/>
  <c r="S31" i="13" a="1"/>
  <c r="R31" i="13"/>
  <c r="R30" i="13"/>
  <c r="R29" i="13"/>
  <c r="S27" i="13" a="1"/>
  <c r="S27" i="13" s="1"/>
  <c r="R27" i="13"/>
  <c r="R26" i="13"/>
  <c r="R25" i="13"/>
  <c r="S24" i="13" a="1"/>
  <c r="R24" i="13"/>
  <c r="R23" i="13"/>
  <c r="R22" i="13"/>
  <c r="S21" i="13" a="1"/>
  <c r="S21" i="13" s="1"/>
  <c r="R21" i="13"/>
  <c r="R20" i="13"/>
  <c r="R19" i="13"/>
  <c r="S18" i="13" a="1"/>
  <c r="R18" i="13"/>
  <c r="R17" i="13"/>
  <c r="S16" i="13" a="1"/>
  <c r="S16" i="13" s="1"/>
  <c r="R16" i="13"/>
  <c r="R15" i="13"/>
  <c r="R14" i="13"/>
  <c r="S13" i="13" a="1"/>
  <c r="R13" i="13"/>
  <c r="L4" i="13"/>
  <c r="R45" i="12"/>
  <c r="R44" i="12"/>
  <c r="S43" i="12" a="1"/>
  <c r="S43" i="12" s="1"/>
  <c r="R43" i="12"/>
  <c r="R42" i="12"/>
  <c r="S41" i="12" a="1"/>
  <c r="S41" i="12" s="1"/>
  <c r="R41" i="12"/>
  <c r="R40" i="12"/>
  <c r="S39" i="12" a="1"/>
  <c r="R39" i="12"/>
  <c r="R38" i="12"/>
  <c r="S37" i="12" a="1"/>
  <c r="R37" i="12"/>
  <c r="R36" i="12"/>
  <c r="R35" i="12"/>
  <c r="S34" i="12" a="1"/>
  <c r="S34" i="12" s="1"/>
  <c r="R34" i="12"/>
  <c r="R33" i="12"/>
  <c r="S32" i="12" a="1"/>
  <c r="S32" i="12" s="1"/>
  <c r="R32" i="12"/>
  <c r="R31" i="12"/>
  <c r="R30" i="12"/>
  <c r="S29" i="12" a="1"/>
  <c r="S29" i="12" s="1"/>
  <c r="R29" i="12"/>
  <c r="R28" i="12"/>
  <c r="R27" i="12"/>
  <c r="R26" i="12"/>
  <c r="S25" i="12" a="1"/>
  <c r="R25" i="12"/>
  <c r="R24" i="12"/>
  <c r="R23" i="12"/>
  <c r="R22" i="12"/>
  <c r="S21" i="12" a="1"/>
  <c r="R21" i="12"/>
  <c r="R20" i="12"/>
  <c r="R19" i="12"/>
  <c r="R18" i="12"/>
  <c r="S17" i="12" a="1"/>
  <c r="R17" i="12"/>
  <c r="R16" i="12"/>
  <c r="S15" i="12" a="1"/>
  <c r="S15" i="12" s="1"/>
  <c r="R15" i="12"/>
  <c r="R14" i="12"/>
  <c r="S13" i="12" a="1"/>
  <c r="S13" i="12" s="1"/>
  <c r="R13" i="12"/>
  <c r="L4" i="12"/>
  <c r="S34" i="10" a="1"/>
  <c r="S34" i="10" s="1"/>
  <c r="S30" i="10" a="1"/>
  <c r="S30" i="10" s="1"/>
  <c r="S26" i="10" a="1"/>
  <c r="S26" i="10" s="1"/>
  <c r="S19" i="10" a="1"/>
  <c r="S13" i="10" a="1"/>
  <c r="L4" i="10"/>
  <c r="L4" i="9"/>
  <c r="I2" i="20" l="1"/>
  <c r="I2" i="9"/>
  <c r="I2" i="10"/>
  <c r="I2" i="12"/>
  <c r="I2" i="13"/>
  <c r="I2" i="17"/>
  <c r="K152" i="7"/>
  <c r="K161" i="7"/>
  <c r="K17" i="7"/>
  <c r="K25" i="7"/>
  <c r="S39" i="10" a="1"/>
  <c r="S39" i="10" s="1"/>
  <c r="T39" i="10" s="1"/>
  <c r="K162" i="7"/>
  <c r="K153" i="7"/>
  <c r="K156" i="7"/>
  <c r="K157" i="7"/>
  <c r="K160" i="7"/>
  <c r="K159" i="7"/>
  <c r="K158" i="7"/>
  <c r="K155" i="7"/>
  <c r="K154" i="7"/>
  <c r="H139" i="7" a="1"/>
  <c r="H139" i="7" s="1"/>
  <c r="K139" i="7" s="1"/>
  <c r="H133" i="7" a="1"/>
  <c r="H133" i="7" s="1"/>
  <c r="K133" i="7" s="1"/>
  <c r="T32" i="13"/>
  <c r="H119" i="7" a="1"/>
  <c r="H119" i="7" s="1"/>
  <c r="T14" i="13"/>
  <c r="K82" i="7"/>
  <c r="M16" i="12" s="1"/>
  <c r="H144" i="7" a="1"/>
  <c r="K147" i="7" s="1"/>
  <c r="H127" i="7" a="1"/>
  <c r="K128" i="7" s="1"/>
  <c r="E103" i="7" a="1"/>
  <c r="E103" i="7" s="1"/>
  <c r="H103" i="7" s="1"/>
  <c r="K103" i="7" s="1"/>
  <c r="K23" i="7"/>
  <c r="T45" i="10"/>
  <c r="T35" i="13"/>
  <c r="H136" i="7" a="1"/>
  <c r="H136" i="7" s="1"/>
  <c r="E105" i="7" a="1"/>
  <c r="E105" i="7" s="1"/>
  <c r="H105" i="7" s="1"/>
  <c r="T40" i="12"/>
  <c r="M24" i="12" s="1"/>
  <c r="E98" i="7" a="1"/>
  <c r="H99" i="7" s="1"/>
  <c r="K99" i="7" s="1"/>
  <c r="T28" i="12"/>
  <c r="E80" i="7" a="1"/>
  <c r="H81" i="7" s="1"/>
  <c r="K81" i="7" s="1"/>
  <c r="T40" i="13"/>
  <c r="H141" i="7" a="1"/>
  <c r="K142" i="7" s="1"/>
  <c r="T38" i="13"/>
  <c r="T27" i="13"/>
  <c r="M18" i="13" s="1"/>
  <c r="H130" i="7" a="1"/>
  <c r="H130" i="7" s="1"/>
  <c r="K130" i="7" s="1"/>
  <c r="T25" i="13"/>
  <c r="H124" i="7" a="1"/>
  <c r="H124" i="7" s="1"/>
  <c r="H121" i="7" a="1"/>
  <c r="H121" i="7" s="1"/>
  <c r="K121" i="7" s="1"/>
  <c r="T20" i="13"/>
  <c r="H116" i="7" a="1"/>
  <c r="K118" i="7" s="1"/>
  <c r="E100" i="7" a="1"/>
  <c r="H102" i="7" s="1"/>
  <c r="K102" i="7" s="1"/>
  <c r="K36" i="7"/>
  <c r="M15" i="10" s="1"/>
  <c r="S34" i="13"/>
  <c r="T34" i="13" s="1"/>
  <c r="T30" i="13"/>
  <c r="T17" i="13"/>
  <c r="T36" i="13"/>
  <c r="M20" i="13" s="1"/>
  <c r="T43" i="13"/>
  <c r="T33" i="12"/>
  <c r="M21" i="12" s="1"/>
  <c r="S24" i="13"/>
  <c r="T24" i="13" s="1"/>
  <c r="M17" i="13" s="1"/>
  <c r="S39" i="13"/>
  <c r="T39" i="13" s="1"/>
  <c r="T36" i="12"/>
  <c r="M22" i="12" s="1"/>
  <c r="T19" i="13"/>
  <c r="M15" i="13" s="1"/>
  <c r="T33" i="13"/>
  <c r="T44" i="12"/>
  <c r="T45" i="12"/>
  <c r="M26" i="12" s="1"/>
  <c r="T26" i="13"/>
  <c r="S31" i="13"/>
  <c r="T31" i="13" s="1"/>
  <c r="T22" i="13"/>
  <c r="T30" i="12"/>
  <c r="T31" i="12"/>
  <c r="T42" i="12"/>
  <c r="M25" i="12" s="1"/>
  <c r="S37" i="13"/>
  <c r="T37" i="13" s="1"/>
  <c r="M21" i="13" s="1"/>
  <c r="K21" i="7"/>
  <c r="T29" i="10"/>
  <c r="M21" i="10" s="1"/>
  <c r="T27" i="10"/>
  <c r="T20" i="10"/>
  <c r="T21" i="13"/>
  <c r="M16" i="13" s="1"/>
  <c r="T42" i="13"/>
  <c r="M23" i="13" s="1"/>
  <c r="T45" i="13"/>
  <c r="T16" i="13"/>
  <c r="T41" i="13"/>
  <c r="T29" i="13"/>
  <c r="M22" i="19"/>
  <c r="M19" i="20" s="1"/>
  <c r="E37" i="7" a="1"/>
  <c r="H38" i="7" s="1"/>
  <c r="K38" i="7" s="1"/>
  <c r="T26" i="10"/>
  <c r="T31" i="10"/>
  <c r="T14" i="10"/>
  <c r="E67" i="7" a="1"/>
  <c r="E67" i="7" s="1"/>
  <c r="H67" i="7" s="1"/>
  <c r="E49" i="7" a="1"/>
  <c r="H50" i="7" s="1"/>
  <c r="K50" i="7" s="1"/>
  <c r="T35" i="10"/>
  <c r="E39" i="7" a="1"/>
  <c r="E39" i="7" s="1"/>
  <c r="H39" i="7" s="1"/>
  <c r="K39" i="7" s="1"/>
  <c r="E51" i="7" a="1"/>
  <c r="E51" i="7" s="1"/>
  <c r="H51" i="7" s="1"/>
  <c r="K51" i="7" s="1"/>
  <c r="T23" i="10"/>
  <c r="T18" i="10"/>
  <c r="E31" i="7"/>
  <c r="H31" i="7" s="1"/>
  <c r="K31" i="7" s="1"/>
  <c r="T32" i="10"/>
  <c r="T34" i="10"/>
  <c r="T30" i="10"/>
  <c r="M23" i="10" s="1"/>
  <c r="E71" i="7" a="1"/>
  <c r="H72" i="7" s="1"/>
  <c r="K72" i="7" s="1"/>
  <c r="K22" i="7"/>
  <c r="K20" i="7"/>
  <c r="K18" i="7"/>
  <c r="K19" i="7"/>
  <c r="K24" i="7"/>
  <c r="K16" i="7"/>
  <c r="H5" i="7"/>
  <c r="K5" i="7" s="1"/>
  <c r="H3" i="7"/>
  <c r="K3" i="7" s="1"/>
  <c r="H10" i="7"/>
  <c r="K10" i="7" s="1"/>
  <c r="H4" i="7"/>
  <c r="K4" i="7" s="1"/>
  <c r="E2" i="7"/>
  <c r="H2" i="7" s="1"/>
  <c r="K2" i="7" s="1"/>
  <c r="H7" i="7"/>
  <c r="K7" i="7" s="1"/>
  <c r="H11" i="7"/>
  <c r="K11" i="7" s="1"/>
  <c r="H8" i="7"/>
  <c r="K8" i="7" s="1"/>
  <c r="H6" i="7"/>
  <c r="K6" i="7" s="1"/>
  <c r="H9" i="7"/>
  <c r="K9" i="7" s="1"/>
  <c r="T34" i="12"/>
  <c r="E78" i="7" a="1"/>
  <c r="E78" i="7" s="1"/>
  <c r="H78" i="7" s="1"/>
  <c r="K78" i="7" s="1"/>
  <c r="E83" i="7" a="1"/>
  <c r="E83" i="7" s="1"/>
  <c r="H83" i="7" s="1"/>
  <c r="E87" i="7" a="1"/>
  <c r="H89" i="7" s="1"/>
  <c r="K89" i="7" s="1"/>
  <c r="E107" i="7" a="1"/>
  <c r="E107" i="7" s="1"/>
  <c r="H107" i="7" s="1"/>
  <c r="T20" i="12"/>
  <c r="T22" i="12"/>
  <c r="E91" i="7" a="1"/>
  <c r="H94" i="7" s="1"/>
  <c r="K94" i="7" s="1"/>
  <c r="T32" i="12"/>
  <c r="T41" i="12"/>
  <c r="T38" i="12"/>
  <c r="M23" i="12" s="1"/>
  <c r="E109" i="7" a="1"/>
  <c r="H111" i="7" s="1"/>
  <c r="K111" i="7" s="1"/>
  <c r="E95" i="7" a="1"/>
  <c r="H97" i="7" s="1"/>
  <c r="K97" i="7" s="1"/>
  <c r="T43" i="12"/>
  <c r="T15" i="12"/>
  <c r="M15" i="12" s="1"/>
  <c r="T29" i="12"/>
  <c r="T13" i="12"/>
  <c r="K77" i="7"/>
  <c r="M13" i="12" s="1"/>
  <c r="E44" i="7" a="1"/>
  <c r="T28" i="10"/>
  <c r="M20" i="10" s="1"/>
  <c r="T15" i="13"/>
  <c r="T16" i="10"/>
  <c r="T14" i="12"/>
  <c r="M14" i="12" s="1"/>
  <c r="T16" i="12"/>
  <c r="T18" i="12"/>
  <c r="S25" i="12"/>
  <c r="T25" i="12" s="1"/>
  <c r="S39" i="12"/>
  <c r="T39" i="12" s="1"/>
  <c r="S13" i="13"/>
  <c r="T13" i="13" s="1"/>
  <c r="K33" i="7"/>
  <c r="K41" i="7"/>
  <c r="J67" i="7"/>
  <c r="J124" i="7"/>
  <c r="S37" i="12"/>
  <c r="T37" i="12" s="1"/>
  <c r="J83" i="7"/>
  <c r="J107" i="7"/>
  <c r="J136" i="7"/>
  <c r="T17" i="10"/>
  <c r="T33" i="10"/>
  <c r="T36" i="10"/>
  <c r="M26" i="10" s="1"/>
  <c r="S18" i="13"/>
  <c r="T18" i="13" s="1"/>
  <c r="K34" i="7"/>
  <c r="K42" i="7"/>
  <c r="K48" i="7"/>
  <c r="M22" i="10" s="1"/>
  <c r="J119" i="7"/>
  <c r="T27" i="12"/>
  <c r="S19" i="10"/>
  <c r="T19" i="10" s="1"/>
  <c r="M16" i="10" s="1"/>
  <c r="T19" i="12"/>
  <c r="T22" i="10"/>
  <c r="S17" i="12"/>
  <c r="T17" i="12" s="1"/>
  <c r="T24" i="12"/>
  <c r="T26" i="12"/>
  <c r="T44" i="13"/>
  <c r="T21" i="10"/>
  <c r="J91" i="7"/>
  <c r="J105" i="7"/>
  <c r="J109" i="7"/>
  <c r="T15" i="10"/>
  <c r="T25" i="10"/>
  <c r="T35" i="12"/>
  <c r="T23" i="13"/>
  <c r="K32" i="7"/>
  <c r="T23" i="12"/>
  <c r="T24" i="10"/>
  <c r="S21" i="12"/>
  <c r="T21" i="12" s="1"/>
  <c r="T38" i="10"/>
  <c r="S13" i="10"/>
  <c r="T13" i="10" s="1"/>
  <c r="J30" i="7"/>
  <c r="K30" i="7" s="1"/>
  <c r="K35" i="7"/>
  <c r="K43" i="7"/>
  <c r="M13" i="13" l="1"/>
  <c r="T44" i="10"/>
  <c r="T43" i="10"/>
  <c r="T42" i="10"/>
  <c r="T41" i="10"/>
  <c r="T40" i="10"/>
  <c r="K140" i="7"/>
  <c r="K137" i="7"/>
  <c r="M19" i="13"/>
  <c r="K135" i="7"/>
  <c r="K134" i="7"/>
  <c r="K119" i="7"/>
  <c r="M14" i="13"/>
  <c r="M19" i="12"/>
  <c r="M18" i="12"/>
  <c r="M17" i="12"/>
  <c r="M13" i="17" a="1"/>
  <c r="M13" i="17" s="1"/>
  <c r="K145" i="7"/>
  <c r="K120" i="7"/>
  <c r="H144" i="7"/>
  <c r="K144" i="7" s="1"/>
  <c r="K146" i="7"/>
  <c r="K125" i="7"/>
  <c r="K138" i="7"/>
  <c r="K129" i="7"/>
  <c r="K136" i="7"/>
  <c r="H127" i="7"/>
  <c r="K127" i="7" s="1"/>
  <c r="E98" i="7"/>
  <c r="H98" i="7" s="1"/>
  <c r="K98" i="7" s="1"/>
  <c r="H106" i="7"/>
  <c r="K106" i="7" s="1"/>
  <c r="K117" i="7"/>
  <c r="H104" i="7"/>
  <c r="K104" i="7" s="1"/>
  <c r="H116" i="7"/>
  <c r="K116" i="7" s="1"/>
  <c r="K143" i="7"/>
  <c r="K126" i="7"/>
  <c r="E87" i="7"/>
  <c r="H87" i="7" s="1"/>
  <c r="K87" i="7" s="1"/>
  <c r="H90" i="7"/>
  <c r="K90" i="7" s="1"/>
  <c r="H86" i="7"/>
  <c r="K86" i="7" s="1"/>
  <c r="H84" i="7"/>
  <c r="K84" i="7" s="1"/>
  <c r="H85" i="7"/>
  <c r="K85" i="7" s="1"/>
  <c r="E80" i="7"/>
  <c r="H80" i="7" s="1"/>
  <c r="K80" i="7" s="1"/>
  <c r="H79" i="7"/>
  <c r="K79" i="7" s="1"/>
  <c r="M22" i="13"/>
  <c r="H141" i="7"/>
  <c r="K141" i="7" s="1"/>
  <c r="K131" i="7"/>
  <c r="K132" i="7"/>
  <c r="K122" i="7"/>
  <c r="K123" i="7"/>
  <c r="M20" i="12"/>
  <c r="H101" i="7"/>
  <c r="K101" i="7" s="1"/>
  <c r="E100" i="7"/>
  <c r="H100" i="7" s="1"/>
  <c r="K100" i="7" s="1"/>
  <c r="M25" i="10"/>
  <c r="M24" i="10"/>
  <c r="M13" i="9" a="1"/>
  <c r="M13" i="9" s="1"/>
  <c r="M23" i="9" s="1"/>
  <c r="M14" i="20" s="1"/>
  <c r="M19" i="10"/>
  <c r="M27" i="10" a="1"/>
  <c r="M27" i="10" s="1"/>
  <c r="M18" i="10"/>
  <c r="M14" i="10"/>
  <c r="K124" i="7"/>
  <c r="M17" i="10"/>
  <c r="M13" i="10"/>
  <c r="E37" i="7"/>
  <c r="H37" i="7" s="1"/>
  <c r="K37" i="7" s="1"/>
  <c r="M12" i="10"/>
  <c r="H68" i="7"/>
  <c r="K68" i="7" s="1"/>
  <c r="K67" i="7"/>
  <c r="K163" i="7"/>
  <c r="E49" i="7"/>
  <c r="H49" i="7" s="1"/>
  <c r="K49" i="7" s="1"/>
  <c r="H40" i="7"/>
  <c r="K40" i="7" s="1"/>
  <c r="H52" i="7"/>
  <c r="K52" i="7" s="1"/>
  <c r="E71" i="7"/>
  <c r="H71" i="7" s="1"/>
  <c r="K71" i="7" s="1"/>
  <c r="K26" i="7"/>
  <c r="M13" i="8" a="1"/>
  <c r="M13" i="8" s="1"/>
  <c r="M23" i="8" s="1"/>
  <c r="M13" i="20" s="1"/>
  <c r="K12" i="7"/>
  <c r="E91" i="7"/>
  <c r="H91" i="7" s="1"/>
  <c r="K91" i="7" s="1"/>
  <c r="K107" i="7"/>
  <c r="H92" i="7"/>
  <c r="K92" i="7" s="1"/>
  <c r="H108" i="7"/>
  <c r="K108" i="7" s="1"/>
  <c r="H93" i="7"/>
  <c r="K93" i="7" s="1"/>
  <c r="H88" i="7"/>
  <c r="K88" i="7" s="1"/>
  <c r="K83" i="7"/>
  <c r="E95" i="7"/>
  <c r="H95" i="7" s="1"/>
  <c r="K95" i="7" s="1"/>
  <c r="E109" i="7"/>
  <c r="H109" i="7" s="1"/>
  <c r="K109" i="7" s="1"/>
  <c r="H96" i="7"/>
  <c r="K96" i="7" s="1"/>
  <c r="H110" i="7"/>
  <c r="K110" i="7" s="1"/>
  <c r="K105" i="7"/>
  <c r="H47" i="7"/>
  <c r="K47" i="7" s="1"/>
  <c r="H46" i="7"/>
  <c r="K46" i="7" s="1"/>
  <c r="H45" i="7"/>
  <c r="K45" i="7" s="1"/>
  <c r="E44" i="7"/>
  <c r="H44" i="7" s="1"/>
  <c r="K44" i="7" s="1"/>
  <c r="M24" i="13" l="1"/>
  <c r="M17" i="20" s="1"/>
  <c r="M27" i="12"/>
  <c r="M16" i="20" s="1"/>
  <c r="M24" i="17"/>
  <c r="M18" i="20" s="1"/>
  <c r="K148" i="7"/>
  <c r="M34" i="10"/>
  <c r="M15" i="20" s="1"/>
  <c r="K73" i="7"/>
  <c r="K112" i="7"/>
  <c r="M20"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Nathaniel Kurniawan</author>
  </authors>
  <commentList>
    <comment ref="C55" authorId="0" shapeId="0" xr:uid="{84FDA5A0-73E9-4D61-8061-2B60EFC9437B}">
      <text>
        <r>
          <rPr>
            <b/>
            <sz val="9"/>
            <color indexed="81"/>
            <rFont val="Tahoma"/>
            <family val="2"/>
          </rPr>
          <t>An opaque plastic commonly used for milk bottles</t>
        </r>
      </text>
    </comment>
    <comment ref="C56" authorId="0" shapeId="0" xr:uid="{253F6155-A938-4CDE-A7F2-B01A4CC1C017}">
      <text>
        <r>
          <rPr>
            <b/>
            <sz val="9"/>
            <color indexed="81"/>
            <rFont val="Tahoma"/>
            <family val="2"/>
          </rPr>
          <t>An opaque plastic commonly used for milk bottles</t>
        </r>
      </text>
    </comment>
    <comment ref="C57" authorId="0" shapeId="0" xr:uid="{4D7C3A1A-DCFA-4C69-942A-286A91925B24}">
      <text>
        <r>
          <rPr>
            <b/>
            <sz val="9"/>
            <color indexed="81"/>
            <rFont val="Tahoma"/>
            <family val="2"/>
          </rPr>
          <t>Packaging material (foils, plastic bags etc.)</t>
        </r>
      </text>
    </comment>
    <comment ref="C58" authorId="0" shapeId="0" xr:uid="{9289E4A5-7177-471E-9068-8D689067070E}">
      <text>
        <r>
          <rPr>
            <b/>
            <sz val="9"/>
            <color indexed="81"/>
            <rFont val="Tahoma"/>
            <family val="2"/>
          </rPr>
          <t>Packaging material (foils, plastic bags etc.)</t>
        </r>
      </text>
    </comment>
    <comment ref="C59" authorId="0" shapeId="0" xr:uid="{A0528A61-9FB3-4AFE-9253-946926CE8AC5}">
      <text>
        <r>
          <rPr>
            <b/>
            <sz val="9"/>
            <color indexed="81"/>
            <rFont val="Tahoma"/>
            <family val="2"/>
          </rPr>
          <t>For example clear drink bottles/ sandwich wrappers</t>
        </r>
      </text>
    </comment>
    <comment ref="C60" authorId="0" shapeId="0" xr:uid="{8734E25D-48C4-4AC0-B2E9-C00E157373AA}">
      <text>
        <r>
          <rPr>
            <b/>
            <sz val="9"/>
            <color indexed="81"/>
            <rFont val="Tahoma"/>
            <family val="2"/>
          </rPr>
          <t>For example clear drink bottles/ sandwich wrappers</t>
        </r>
      </text>
    </comment>
    <comment ref="C61" authorId="0" shapeId="0" xr:uid="{C405CD6A-7CE9-4A6A-A011-8FB93BD19845}">
      <text>
        <r>
          <rPr>
            <b/>
            <sz val="9"/>
            <color indexed="81"/>
            <rFont val="Tahoma"/>
            <family val="2"/>
          </rPr>
          <t>Mainly used in injection moulding i.e. for cutlery, containers, and automotive parts</t>
        </r>
      </text>
    </comment>
    <comment ref="C62" authorId="0" shapeId="0" xr:uid="{1C13DC25-471A-4217-82D4-1787DC4F6873}">
      <text>
        <r>
          <rPr>
            <b/>
            <sz val="9"/>
            <color indexed="81"/>
            <rFont val="Tahoma"/>
            <family val="2"/>
          </rPr>
          <t>Mainly used in injection moulding i.e. for cutlery, containers, and automotive parts</t>
        </r>
      </text>
    </comment>
    <comment ref="C63" authorId="0" shapeId="0" xr:uid="{62C4C9B5-BDB4-4A82-B7C4-0ED5EAFA657E}">
      <text>
        <r>
          <rPr>
            <b/>
            <sz val="9"/>
            <color indexed="81"/>
            <rFont val="Tahoma"/>
            <family val="2"/>
          </rPr>
          <t>Commonly used for foam based insulation and cheap disposable items i.e. protective packaging and disposable cutlery</t>
        </r>
      </text>
    </comment>
    <comment ref="C64" authorId="0" shapeId="0" xr:uid="{5F7A9BAA-0B2F-40C2-B7A9-31E08D013224}">
      <text>
        <r>
          <rPr>
            <b/>
            <sz val="9"/>
            <color indexed="81"/>
            <rFont val="Tahoma"/>
            <family val="2"/>
          </rPr>
          <t>Commonly used for foam based insulation and cheap disposable items i.e. protective packaging and disposable cutlery</t>
        </r>
      </text>
    </comment>
    <comment ref="C65" authorId="0" shapeId="0" xr:uid="{E84B6EBD-7EFF-4B73-A073-D79061A3A5FE}">
      <text>
        <r>
          <rPr>
            <b/>
            <sz val="9"/>
            <color indexed="81"/>
            <rFont val="Tahoma"/>
            <family val="2"/>
          </rPr>
          <t>Widespread use in building, transport, packaging, electrical/electronic and healthcare applications</t>
        </r>
      </text>
    </comment>
    <comment ref="C66" authorId="0" shapeId="0" xr:uid="{3104C28B-D9EB-41B3-B263-460C84CCCCA0}">
      <text>
        <r>
          <rPr>
            <b/>
            <sz val="9"/>
            <color indexed="81"/>
            <rFont val="Tahoma"/>
            <family val="2"/>
          </rPr>
          <t>Widespread use in building, transport, packaging, electrical/electronic and healthcare applications</t>
        </r>
      </text>
    </comment>
    <comment ref="C67" authorId="0" shapeId="0" xr:uid="{30FA2C5F-E073-48CE-AAB1-99167B8C4BC6}">
      <text>
        <r>
          <rPr>
            <b/>
            <sz val="9"/>
            <color indexed="81"/>
            <rFont val="Tahoma"/>
            <family val="2"/>
          </rPr>
          <t>Average: 78% corrugate and 22% cartonboard</t>
        </r>
      </text>
    </comment>
    <comment ref="C68" authorId="0" shapeId="0" xr:uid="{C1FCE934-0CC1-48B5-8991-FA86FC6321D4}">
      <text>
        <r>
          <rPr>
            <b/>
            <sz val="9"/>
            <color indexed="81"/>
            <rFont val="Tahoma"/>
            <family val="2"/>
          </rPr>
          <t>Average: 78% corrugate and 22% cartonboard</t>
        </r>
      </text>
    </comment>
    <comment ref="C69" authorId="0" shapeId="0" xr:uid="{7E44378F-AE4D-4780-BE4C-BF5950B245E7}">
      <text>
        <r>
          <rPr>
            <b/>
            <sz val="9"/>
            <color indexed="81"/>
            <rFont val="Tahoma"/>
            <family val="2"/>
          </rPr>
          <t>Assumes 25% paper, 75% board</t>
        </r>
      </text>
    </comment>
    <comment ref="C70" authorId="0" shapeId="0" xr:uid="{B21C6932-5876-4AA3-98D3-60EAF607F715}">
      <text>
        <r>
          <rPr>
            <b/>
            <sz val="9"/>
            <color indexed="81"/>
            <rFont val="Tahoma"/>
            <family val="2"/>
          </rPr>
          <t>Assumes 25% paper, 75% board</t>
        </r>
      </text>
    </comment>
    <comment ref="C116" authorId="0" shapeId="0" xr:uid="{F82CF2AB-5CB0-4326-ADB9-82DDD104B424}">
      <text>
        <r>
          <rPr>
            <b/>
            <sz val="9"/>
            <color indexed="81"/>
            <rFont val="Tahoma"/>
            <family val="2"/>
          </rPr>
          <t>Domestic flights are those between UK airports.</t>
        </r>
      </text>
    </comment>
    <comment ref="I116" authorId="0" shapeId="0" xr:uid="{A14899F2-41E5-453F-B639-4A73EDCC8C87}">
      <text>
        <r>
          <rPr>
            <b/>
            <sz val="9"/>
            <color indexed="81"/>
            <rFont val="Tahoma"/>
            <family val="2"/>
          </rPr>
          <t>The distance travelled by individual passengers per transport mode.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Nathaniel Kurniawan</author>
  </authors>
  <commentList>
    <comment ref="C29" authorId="0" shapeId="0" xr:uid="{6F152392-4B7A-43C4-BEAB-C4C50EEBED59}">
      <text>
        <r>
          <rPr>
            <b/>
            <sz val="9"/>
            <color indexed="81"/>
            <rFont val="Tahoma"/>
            <family val="2"/>
          </rPr>
          <t>Average: 78% corrugate and 22% cartonboard</t>
        </r>
      </text>
    </comment>
    <comment ref="C30" authorId="0" shapeId="0" xr:uid="{1B541E71-C352-4474-A7A6-73F69301F506}">
      <text>
        <r>
          <rPr>
            <b/>
            <sz val="9"/>
            <color indexed="81"/>
            <rFont val="Tahoma"/>
            <family val="2"/>
          </rPr>
          <t>Average: 78% corrugate and 22% cartonboard</t>
        </r>
      </text>
    </comment>
    <comment ref="C73" authorId="0" shapeId="0" xr:uid="{BB2C4E71-8815-4C67-A66D-BFEB6F08D807}">
      <text>
        <r>
          <rPr>
            <b/>
            <sz val="9"/>
            <color indexed="81"/>
            <rFont val="Tahoma"/>
            <family val="2"/>
          </rPr>
          <t>Domestic flights are those between UK airports.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0"/>
        </ext>
      </extLst>
    </bk>
    <bk>
      <extLst>
        <ext uri="{3e2802c4-a4d2-4d8b-9148-e3be6c30e623}">
          <xlrd:rvb i="1"/>
        </ext>
      </extLst>
    </bk>
    <bk>
      <extLst>
        <ext uri="{3e2802c4-a4d2-4d8b-9148-e3be6c30e623}">
          <xlrd:rvb i="2"/>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<sst xmlns="http://schemas.openxmlformats.org/spreadsheetml/2006/main" count="1606" uniqueCount="504">
  <si>
    <t xml:space="preserve">  </t>
  </si>
  <si>
    <t>Winchester School of Art</t>
  </si>
  <si>
    <t>Carbon Calculator-2024</t>
  </si>
  <si>
    <t>Introduction &amp; Guide</t>
  </si>
  <si>
    <t>10.5258/SOTON/P1177</t>
  </si>
  <si>
    <t>The WSA-CC consists of 8 bespoke worksheets to measure the Carbon footprint produced through various process of learning and making:</t>
  </si>
  <si>
    <t>1.</t>
  </si>
  <si>
    <t>The use of electrical Energy</t>
  </si>
  <si>
    <t>5.</t>
  </si>
  <si>
    <t xml:space="preserve">Travel </t>
  </si>
  <si>
    <t>2.</t>
  </si>
  <si>
    <t>The use of water</t>
  </si>
  <si>
    <t>6.</t>
  </si>
  <si>
    <t>Freight</t>
  </si>
  <si>
    <t>3.</t>
  </si>
  <si>
    <t>The use of materials</t>
  </si>
  <si>
    <t>7.</t>
  </si>
  <si>
    <t xml:space="preserve">Accommodation </t>
  </si>
  <si>
    <t>4.</t>
  </si>
  <si>
    <t>The disposal of waste</t>
  </si>
  <si>
    <t>8.</t>
  </si>
  <si>
    <t>Summary</t>
  </si>
  <si>
    <t>In measuring the Carbon footprints / emissions in the UK, the WSA-CC refer to the UK Government Conversion Factors for greenhouse gas (GHG) reports published annually by the Department for Energy Security &amp; Net Zero and the Department for Environment Food &amp; Rural Affairs. The WSA-CC -2024 is using the GHG Conversion factors 2024 that was published on 8 July 2024. The GHG conversion factors are shown in the last sheet and can be accessed in the following link:</t>
  </si>
  <si>
    <t>Greenhouse gas reporting: conversion factors 2024 - GOV.UK (www.gov.uk)</t>
  </si>
  <si>
    <t>Important Note:</t>
  </si>
  <si>
    <t>To keep this carbon calculator up to date in the following year, users are required to refer for the latest GHG conversion factors and manually update the following sheet:</t>
  </si>
  <si>
    <t>GHG conversion factor</t>
  </si>
  <si>
    <t>Users are only required to manually update the data in this worksheet and all other worksheet will be updated automatically. 
Please, do not make any other changes as it will cause errors.</t>
  </si>
  <si>
    <t>This tool may not be suitable for users of assistive technology.</t>
  </si>
  <si>
    <t>How to use:</t>
  </si>
  <si>
    <t xml:space="preserve">To use the WSA-CC, users need to download this file and follow the instructions given on each sheet.
The worksheets are protected to help guide users to provide specific data on specific cells. 
Please note that this worksheet uses 'Macro' function, limited to the 'Clear Data' button that allows users to clear the content of a worksheet. By default, Microsoft disables this function for everytime anyone opens this file. 
If you see a security warning when you open a document or try to run a macro, you can choose to make it a trusted document and enable macros. This example is on an Excel workbook. </t>
  </si>
  <si>
    <r>
      <t>1. Select </t>
    </r>
    <r>
      <rPr>
        <b/>
        <sz val="10"/>
        <color theme="1"/>
        <rFont val="Calibri"/>
        <family val="2"/>
        <scheme val="minor"/>
      </rPr>
      <t>Enable Content.</t>
    </r>
  </si>
  <si>
    <r>
      <rPr>
        <sz val="10"/>
        <color rgb="FF1E1E1E"/>
        <rFont val="Calibri"/>
        <family val="2"/>
        <scheme val="minor"/>
      </rPr>
      <t>2. In the </t>
    </r>
    <r>
      <rPr>
        <b/>
        <sz val="10"/>
        <color rgb="FF1E1E1E"/>
        <rFont val="Calibri"/>
        <family val="2"/>
        <scheme val="minor"/>
      </rPr>
      <t>Security Warning</t>
    </r>
    <r>
      <rPr>
        <sz val="10"/>
        <color rgb="FF1E1E1E"/>
        <rFont val="Calibri"/>
        <family val="2"/>
        <scheme val="minor"/>
      </rPr>
      <t> dialog, select </t>
    </r>
    <r>
      <rPr>
        <b/>
        <sz val="10"/>
        <color rgb="FF1E1E1E"/>
        <rFont val="Calibri"/>
        <family val="2"/>
        <scheme val="minor"/>
      </rPr>
      <t>Yes </t>
    </r>
    <r>
      <rPr>
        <sz val="10"/>
        <color rgb="FF1E1E1E"/>
        <rFont val="Calibri"/>
        <family val="2"/>
        <scheme val="minor"/>
      </rPr>
      <t>to make the document trusted.</t>
    </r>
  </si>
  <si>
    <t xml:space="preserve">If you see a warning 'A potentially dangerous macro has been blocked', please do not be alarmed. This worksheet does not contain any harmful codes. More information can be accessed on Microsoft support. </t>
  </si>
  <si>
    <t>A potentially dangerous macro has been blocked - Microsoft Support</t>
  </si>
  <si>
    <t>1. Open Windows File Explorer and go to the folder where you saved the file.</t>
  </si>
  <si>
    <r>
      <rPr>
        <sz val="10"/>
        <color theme="1"/>
        <rFont val="Calibri"/>
        <family val="2"/>
        <scheme val="minor"/>
      </rPr>
      <t>2. Right-click the file and choose </t>
    </r>
    <r>
      <rPr>
        <b/>
        <sz val="10"/>
        <color theme="1"/>
        <rFont val="Calibri"/>
        <family val="2"/>
        <scheme val="minor"/>
      </rPr>
      <t>Properties </t>
    </r>
    <r>
      <rPr>
        <sz val="10"/>
        <color theme="1"/>
        <rFont val="Calibri"/>
        <family val="2"/>
        <scheme val="minor"/>
      </rPr>
      <t>from the context menu.</t>
    </r>
  </si>
  <si>
    <r>
      <t>3. At the bottom of the </t>
    </r>
    <r>
      <rPr>
        <b/>
        <sz val="10"/>
        <color rgb="FF1E1E1E"/>
        <rFont val="Calibri"/>
        <family val="2"/>
        <scheme val="minor"/>
      </rPr>
      <t>General </t>
    </r>
    <r>
      <rPr>
        <sz val="10"/>
        <color rgb="FF1E1E1E"/>
        <rFont val="Calibri"/>
        <family val="2"/>
        <scheme val="minor"/>
      </rPr>
      <t>tab, select the </t>
    </r>
    <r>
      <rPr>
        <b/>
        <sz val="10"/>
        <color rgb="FF1E1E1E"/>
        <rFont val="Calibri"/>
        <family val="2"/>
        <scheme val="minor"/>
      </rPr>
      <t>Unblock </t>
    </r>
    <r>
      <rPr>
        <sz val="10"/>
        <color rgb="FF1E1E1E"/>
        <rFont val="Calibri"/>
        <family val="2"/>
        <scheme val="minor"/>
      </rPr>
      <t>checkbox and select </t>
    </r>
    <r>
      <rPr>
        <b/>
        <sz val="10"/>
        <color rgb="FF1E1E1E"/>
        <rFont val="Calibri"/>
        <family val="2"/>
        <scheme val="minor"/>
      </rPr>
      <t>OK</t>
    </r>
    <r>
      <rPr>
        <sz val="10"/>
        <color rgb="FF1E1E1E"/>
        <rFont val="Calibri"/>
        <family val="2"/>
        <scheme val="minor"/>
      </rPr>
      <t>.</t>
    </r>
  </si>
  <si>
    <t>Module:</t>
  </si>
  <si>
    <t>Click here to type once to automatically fill the rest</t>
  </si>
  <si>
    <t>Date:</t>
  </si>
  <si>
    <t>Click here to Type</t>
  </si>
  <si>
    <t>Type here if you prefer to provide a name</t>
  </si>
  <si>
    <t>Type here if you prefer to provide student ID</t>
  </si>
  <si>
    <t>Energy</t>
  </si>
  <si>
    <t>Sheet: 1 of 8</t>
  </si>
  <si>
    <t>Equipment Name</t>
  </si>
  <si>
    <t>Number of equipment</t>
  </si>
  <si>
    <t>Energy Consumption (Watt/ hour)</t>
  </si>
  <si>
    <t>Hours</t>
  </si>
  <si>
    <t>Carbon footprint (kgCO2e)</t>
  </si>
  <si>
    <t xml:space="preserve"> </t>
  </si>
  <si>
    <t>Instructions:</t>
  </si>
  <si>
    <t>Input the name of the equipment used.</t>
  </si>
  <si>
    <t>Input the number of the equipment used.</t>
  </si>
  <si>
    <t>Input the energy consumption used by each equipment.</t>
  </si>
  <si>
    <t>Input the hours of usage for each equipment</t>
  </si>
  <si>
    <t>Total carbon footprint :</t>
  </si>
  <si>
    <t>You may refer to a list of equipments that are commonly used in WSA and their Wattage at the bottom of this sheet.</t>
  </si>
  <si>
    <t>List of commonly used equipments at the WSA and their wattage</t>
  </si>
  <si>
    <t>Energy Consumption (Watt)</t>
  </si>
  <si>
    <t>Epson 1980WU projector</t>
  </si>
  <si>
    <t>Epson EB-945 projector</t>
  </si>
  <si>
    <t>Epson G6050WU projector</t>
  </si>
  <si>
    <t>43" LG TV</t>
  </si>
  <si>
    <t>32" LG TV</t>
  </si>
  <si>
    <t>28" LG TV</t>
  </si>
  <si>
    <t>Equipment Name (Continued)</t>
  </si>
  <si>
    <t>M1 iMac</t>
  </si>
  <si>
    <t>Samsung 32" Monitor</t>
  </si>
  <si>
    <t>Samsung 27" Monitor</t>
  </si>
  <si>
    <t>Mac mini 2018</t>
  </si>
  <si>
    <t>M1 Mac mini</t>
  </si>
  <si>
    <t xml:space="preserve">M2 Mac mini </t>
  </si>
  <si>
    <t>M1 Max mac studio</t>
  </si>
  <si>
    <t>M2 Max Mac studio</t>
  </si>
  <si>
    <t>Wacom Cintiq 16</t>
  </si>
  <si>
    <t>Light box with 2 Neon lights</t>
  </si>
  <si>
    <t xml:space="preserve">Embroidery machine-Brother </t>
  </si>
  <si>
    <t>Fume cabinet</t>
  </si>
  <si>
    <t>N/A</t>
  </si>
  <si>
    <t>Arm looms</t>
  </si>
  <si>
    <t>TC2 loom</t>
  </si>
  <si>
    <t>Knitting machines-SHIMA Mach2XS 153</t>
  </si>
  <si>
    <t>Knitting machines-SHIMA SES122-S</t>
  </si>
  <si>
    <t>Steam iron boiler-STIROVAP</t>
  </si>
  <si>
    <t>Industrial linkers-Complette 66</t>
  </si>
  <si>
    <t>Industrial sewing machines-Juki</t>
  </si>
  <si>
    <t>Large heat press</t>
  </si>
  <si>
    <t>Small heat press-Transmatic</t>
  </si>
  <si>
    <t>Irons</t>
  </si>
  <si>
    <t>Winding machine-Meroni</t>
  </si>
  <si>
    <t>Glue gun</t>
  </si>
  <si>
    <t>Hair dryer</t>
  </si>
  <si>
    <t>Pressure washer</t>
  </si>
  <si>
    <t>Drying cabinets</t>
  </si>
  <si>
    <t>Exposing unit</t>
  </si>
  <si>
    <t>Gas rings</t>
  </si>
  <si>
    <t>Steamer</t>
  </si>
  <si>
    <t>Dryer</t>
  </si>
  <si>
    <t>Spin dryer</t>
  </si>
  <si>
    <t>Washing machine Electrolux W475H</t>
  </si>
  <si>
    <t>Baking cabinet</t>
  </si>
  <si>
    <t>Mimaki printer</t>
  </si>
  <si>
    <t>Heat gun</t>
  </si>
  <si>
    <t>Airone Filtration FC750 Fume Cupboard</t>
  </si>
  <si>
    <t>The Swimsuit dryer</t>
  </si>
  <si>
    <t>Water</t>
  </si>
  <si>
    <t>Sheet: 2 of 8</t>
  </si>
  <si>
    <t>Activity</t>
  </si>
  <si>
    <t>Quantity (Litre)</t>
  </si>
  <si>
    <t>Input the name of the water-consuming activity.</t>
  </si>
  <si>
    <t>Input the amount of water consumed for each activity in litres.</t>
  </si>
  <si>
    <t>Note:</t>
  </si>
  <si>
    <t>Water usage of less than 50 litres is likely to be considered insignificant, resulting in near 0 carbon footprint.</t>
  </si>
  <si>
    <t>Material</t>
  </si>
  <si>
    <t>Sheet: 3 of 8</t>
  </si>
  <si>
    <t>Type of material</t>
  </si>
  <si>
    <t>Source</t>
  </si>
  <si>
    <t>Quantity</t>
  </si>
  <si>
    <t>GHG Conversion</t>
  </si>
  <si>
    <t>Carbon Footprint</t>
  </si>
  <si>
    <t>Common Metal (kg)</t>
  </si>
  <si>
    <t xml:space="preserve">Choose the relevant source for the materials used. Otherwise, leave it blank. </t>
  </si>
  <si>
    <t>Aluminium cans &amp; foil (kg)</t>
  </si>
  <si>
    <t>Common Metal</t>
  </si>
  <si>
    <t>Primary</t>
  </si>
  <si>
    <t>Scrap Metal (kg)</t>
  </si>
  <si>
    <t>Closed-loop</t>
  </si>
  <si>
    <t>Soil/ clay (kg)</t>
  </si>
  <si>
    <t>Aluminium</t>
  </si>
  <si>
    <t xml:space="preserve">Provide the quantity of materials used. </t>
  </si>
  <si>
    <t>Plasterboard (kg)</t>
  </si>
  <si>
    <t>Rubber/ Tyres (kg)</t>
  </si>
  <si>
    <t>Scrap Metal</t>
  </si>
  <si>
    <t>Notes:</t>
  </si>
  <si>
    <t>Wood (kg)</t>
  </si>
  <si>
    <r>
      <rPr>
        <b/>
        <sz val="10"/>
        <color theme="1"/>
        <rFont val="Calibri"/>
        <family val="2"/>
        <scheme val="minor"/>
      </rPr>
      <t>Primary material production :</t>
    </r>
    <r>
      <rPr>
        <sz val="10"/>
        <color theme="1"/>
        <rFont val="Calibri"/>
        <family val="2"/>
        <scheme val="minor"/>
      </rPr>
      <t xml:space="preserve"> Materials made from virgin stock.
</t>
    </r>
    <r>
      <rPr>
        <b/>
        <sz val="10"/>
        <color theme="1"/>
        <rFont val="Calibri"/>
        <family val="2"/>
        <scheme val="minor"/>
      </rPr>
      <t>Re-used:</t>
    </r>
    <r>
      <rPr>
        <sz val="10"/>
        <color theme="1"/>
        <rFont val="Calibri"/>
        <family val="2"/>
        <scheme val="minor"/>
      </rPr>
      <t xml:space="preserve"> 
Materials that are re-used instead of being disposed of.
</t>
    </r>
    <r>
      <rPr>
        <b/>
        <sz val="10"/>
        <color theme="1"/>
        <rFont val="Calibri"/>
        <family val="2"/>
        <scheme val="minor"/>
      </rPr>
      <t xml:space="preserve">Closed-loop source: 
</t>
    </r>
    <r>
      <rPr>
        <sz val="10"/>
        <color theme="1"/>
        <rFont val="Calibri"/>
        <family val="2"/>
        <scheme val="minor"/>
      </rPr>
      <t>Materials made from recycled content where the previous product was the same as the new product.</t>
    </r>
  </si>
  <si>
    <t>Glass (kg)</t>
  </si>
  <si>
    <t>Plasterboard</t>
  </si>
  <si>
    <t>Raw Fabric (kg-unspecified)</t>
  </si>
  <si>
    <t>Primary material production</t>
  </si>
  <si>
    <t>Recycled Fabric (kg-unspecified)</t>
  </si>
  <si>
    <t>Re-used</t>
  </si>
  <si>
    <t>Rubber/ Tyres</t>
  </si>
  <si>
    <t>Food &amp; Drink (kg)</t>
  </si>
  <si>
    <t>Average Plastic (kg)</t>
  </si>
  <si>
    <t>Wood</t>
  </si>
  <si>
    <t>Plastic Film (kg)</t>
  </si>
  <si>
    <t>Card Board (kg)</t>
  </si>
  <si>
    <t>Paper (kg)</t>
  </si>
  <si>
    <t>Glass</t>
  </si>
  <si>
    <t>Fabric: Wool (m2)</t>
  </si>
  <si>
    <t>Fabric: Acrylic (m2)</t>
  </si>
  <si>
    <t>Raw Fabric</t>
  </si>
  <si>
    <t>Please note that the list of specific fabrics are measured in m2 of usage, NOT in kg.</t>
  </si>
  <si>
    <t>Fabric: Cotton (m2)</t>
  </si>
  <si>
    <t>Recycled Fabric</t>
  </si>
  <si>
    <t>Fabric: Silk (m2)</t>
  </si>
  <si>
    <t>Average Plastic</t>
  </si>
  <si>
    <t>Fabric: Nylon (m2)</t>
  </si>
  <si>
    <t>If you can't find the materials on this list, please add them on the table at the bottom of this sheet. However, we won't be able to measure the carbon foot print of those materials at this point.</t>
  </si>
  <si>
    <t>Fabric: Polyester (m2)</t>
  </si>
  <si>
    <t>Plastic Film</t>
  </si>
  <si>
    <t>Fabric: Linen (m2)</t>
  </si>
  <si>
    <t xml:space="preserve">Card Board </t>
  </si>
  <si>
    <t xml:space="preserve">Board </t>
  </si>
  <si>
    <t xml:space="preserve">Paper </t>
  </si>
  <si>
    <t>Fabric: Wool</t>
  </si>
  <si>
    <t>Fabric: Acrylic</t>
  </si>
  <si>
    <t>Fabric: Cotton</t>
  </si>
  <si>
    <t>Fabric: Silk</t>
  </si>
  <si>
    <t>Fabric: Nylon</t>
  </si>
  <si>
    <t>Fabric: Polyester</t>
  </si>
  <si>
    <t>Fabric: Linen</t>
  </si>
  <si>
    <t xml:space="preserve">Name other materials that you've used but are not available on the table above. </t>
  </si>
  <si>
    <t>You might try to find their carbon footprint from:</t>
  </si>
  <si>
    <t>CO2 Everything | Carbon Footprints of Products &amp; Activities</t>
  </si>
  <si>
    <t>Waste Disposal</t>
  </si>
  <si>
    <t>Sheet: 4 of 8</t>
  </si>
  <si>
    <t>Type of waste</t>
  </si>
  <si>
    <t>Disposal method</t>
  </si>
  <si>
    <t>Quantity (Kg)</t>
  </si>
  <si>
    <t>Waste</t>
  </si>
  <si>
    <t xml:space="preserve">Choose the relevant disposal method for each waste. </t>
  </si>
  <si>
    <t>Water* in litres</t>
  </si>
  <si>
    <t>Soil</t>
  </si>
  <si>
    <t>Landfill</t>
  </si>
  <si>
    <t>Provide the quantity of waste in kg, except for water waste that is in litres.</t>
  </si>
  <si>
    <t>Book</t>
  </si>
  <si>
    <t>Combustion</t>
  </si>
  <si>
    <t>Composting</t>
  </si>
  <si>
    <t>Fabric/ Clothing</t>
  </si>
  <si>
    <t>Household Refuse</t>
  </si>
  <si>
    <t>Food &amp; Drink</t>
  </si>
  <si>
    <t>Commercial &amp; Industrial Refuse</t>
  </si>
  <si>
    <t>All Metal</t>
  </si>
  <si>
    <t>All Plastic</t>
  </si>
  <si>
    <t>Open-loop</t>
  </si>
  <si>
    <t>Paper &amp; Card Board</t>
  </si>
  <si>
    <t xml:space="preserve">Household Refuse </t>
  </si>
  <si>
    <t>Open/ Closed-loop/ Combustion</t>
  </si>
  <si>
    <t>Closed-loop/ Combustion</t>
  </si>
  <si>
    <t xml:space="preserve">Name other waste that you've produced but are not listed on the table above. </t>
  </si>
  <si>
    <t>Disposable Method</t>
  </si>
  <si>
    <t>Travel</t>
  </si>
  <si>
    <t>Sheet: 5 of 8</t>
  </si>
  <si>
    <t>Modes of transportation</t>
  </si>
  <si>
    <t>Specific variables</t>
  </si>
  <si>
    <t>Distance
(km)</t>
  </si>
  <si>
    <t>Distance</t>
  </si>
  <si>
    <t>Choose the relevant modes of transportation &amp; its variables</t>
  </si>
  <si>
    <t>Air travel for an average passenger</t>
  </si>
  <si>
    <t>Air travel</t>
  </si>
  <si>
    <t>Domestic</t>
  </si>
  <si>
    <t>Sea travel</t>
  </si>
  <si>
    <t>Short-haul</t>
  </si>
  <si>
    <t>Provide the length of journey in km.</t>
  </si>
  <si>
    <t>Diesel car</t>
  </si>
  <si>
    <t>Long-haul</t>
  </si>
  <si>
    <t>Petrol car</t>
  </si>
  <si>
    <t>Foot-passenger</t>
  </si>
  <si>
    <t>Hybrid car</t>
  </si>
  <si>
    <t>Car-passenger</t>
  </si>
  <si>
    <t>Plug-in hybrid electric vehicle</t>
  </si>
  <si>
    <t>Small</t>
  </si>
  <si>
    <t>Battery electric vehicle</t>
  </si>
  <si>
    <t>Medium</t>
  </si>
  <si>
    <t>Motorbike</t>
  </si>
  <si>
    <t>Large</t>
  </si>
  <si>
    <t>Taxi per passenger</t>
  </si>
  <si>
    <t>Bus per passenger</t>
  </si>
  <si>
    <t>Rail per passenger</t>
  </si>
  <si>
    <t>Plug-in hybrid</t>
  </si>
  <si>
    <t>Battery EV</t>
  </si>
  <si>
    <t>Taxi</t>
  </si>
  <si>
    <t>Regular taxi</t>
  </si>
  <si>
    <t>Black Cab</t>
  </si>
  <si>
    <t>Bus</t>
  </si>
  <si>
    <t>Local-NOT London bus</t>
  </si>
  <si>
    <t>Local London bus</t>
  </si>
  <si>
    <t>Coach</t>
  </si>
  <si>
    <t>Rail</t>
  </si>
  <si>
    <t>National</t>
  </si>
  <si>
    <t>International</t>
  </si>
  <si>
    <t>Light &amp; Tram</t>
  </si>
  <si>
    <t>London Underground</t>
  </si>
  <si>
    <t>Sheet: 6 of 8</t>
  </si>
  <si>
    <t xml:space="preserve">This carbon calculator measures the carbon footprint produced from the shipment of goods over land, air, and sea. The assessment of carbon footprints will vary depending on the various modes of transportation, the cargo weight, and the distance.  </t>
  </si>
  <si>
    <t>Number of trip</t>
  </si>
  <si>
    <t>Weight (kg)</t>
  </si>
  <si>
    <t>Choose the relevant modes of transportation.</t>
  </si>
  <si>
    <t>Land-average diesel van</t>
  </si>
  <si>
    <t>Land-average petrol van</t>
  </si>
  <si>
    <t>Provide the number of trip, cargo weight, and distance.</t>
  </si>
  <si>
    <t>Land-average plug-in hybrid e.van</t>
  </si>
  <si>
    <t>Land-average electric van</t>
  </si>
  <si>
    <t>Land-train</t>
  </si>
  <si>
    <t>Air-Domestic, to/from UK</t>
  </si>
  <si>
    <t>Air-Short-haul, to/from UK</t>
  </si>
  <si>
    <t>Air-Long-haul, to/from UK</t>
  </si>
  <si>
    <t>Air-International, to/from non-UK</t>
  </si>
  <si>
    <t>Sea-General cargo-Average</t>
  </si>
  <si>
    <t>Sea-Container ship-Average</t>
  </si>
  <si>
    <t>Accommodation</t>
  </si>
  <si>
    <t>Sheet: 7 of 8</t>
  </si>
  <si>
    <t>Hotel name</t>
  </si>
  <si>
    <t>Area/ Country</t>
  </si>
  <si>
    <t>Number of rooms</t>
  </si>
  <si>
    <t>Length of stays (nights)</t>
  </si>
  <si>
    <t>UK (London)</t>
  </si>
  <si>
    <t>UK (Other)</t>
  </si>
  <si>
    <t>Australia</t>
  </si>
  <si>
    <t>Belgium</t>
  </si>
  <si>
    <t>Brazil</t>
  </si>
  <si>
    <t>You can list up to 10 hotels in various places.
To choose from the drop-down list, use the "Up" or "down" keys.</t>
  </si>
  <si>
    <t>Canada</t>
  </si>
  <si>
    <t>Chile</t>
  </si>
  <si>
    <t>China</t>
  </si>
  <si>
    <t>Colombia</t>
  </si>
  <si>
    <t>Costa Rica</t>
  </si>
  <si>
    <t>Egypt</t>
  </si>
  <si>
    <t>France</t>
  </si>
  <si>
    <t>Germany</t>
  </si>
  <si>
    <t>Hong Kong, China</t>
  </si>
  <si>
    <t>India</t>
  </si>
  <si>
    <t>Indonesia</t>
  </si>
  <si>
    <t>Italy</t>
  </si>
  <si>
    <t>Japan</t>
  </si>
  <si>
    <t>Jordan</t>
  </si>
  <si>
    <t>Korea</t>
  </si>
  <si>
    <t>Malaysia</t>
  </si>
  <si>
    <t>Maldives</t>
  </si>
  <si>
    <t>Mexico</t>
  </si>
  <si>
    <t>Netherlands</t>
  </si>
  <si>
    <t>Oman</t>
  </si>
  <si>
    <t>Philippines</t>
  </si>
  <si>
    <t>Portugal</t>
  </si>
  <si>
    <t>Qatar</t>
  </si>
  <si>
    <t>Russian Federation</t>
  </si>
  <si>
    <t>Saudi Arabia</t>
  </si>
  <si>
    <t>Singapore</t>
  </si>
  <si>
    <t>South Africa</t>
  </si>
  <si>
    <t>Spain</t>
  </si>
  <si>
    <t>Switzerland</t>
  </si>
  <si>
    <t>Thailand</t>
  </si>
  <si>
    <t>Turkey</t>
  </si>
  <si>
    <t>United Arab Emirates</t>
  </si>
  <si>
    <t>United States</t>
  </si>
  <si>
    <t>Vietnam</t>
  </si>
  <si>
    <t>Sheet: 8 of 8</t>
  </si>
  <si>
    <t>The summary sheet gathers all carbon footprint data from previous carbon calculator.</t>
  </si>
  <si>
    <t>Category</t>
  </si>
  <si>
    <t>Energy Consuming Activity</t>
  </si>
  <si>
    <t>Category of Emissions</t>
  </si>
  <si>
    <t>Type of emissions' source</t>
  </si>
  <si>
    <t>Number of item or equipment used</t>
  </si>
  <si>
    <t>Energy consumption for each device</t>
  </si>
  <si>
    <t>Unit 1</t>
  </si>
  <si>
    <t>Duration (hours)</t>
  </si>
  <si>
    <t>Total usage</t>
  </si>
  <si>
    <t>Unit 2</t>
  </si>
  <si>
    <t>GHG Conversion (kgCO2e)</t>
  </si>
  <si>
    <t>Grid Electricity</t>
  </si>
  <si>
    <t>Watt</t>
  </si>
  <si>
    <t>kWh</t>
  </si>
  <si>
    <t>Total carbon footprint from energy used:</t>
  </si>
  <si>
    <t>Water Consuming Activity</t>
  </si>
  <si>
    <t>Water Supply</t>
  </si>
  <si>
    <t>Litre</t>
  </si>
  <si>
    <t>m3</t>
  </si>
  <si>
    <t>Material Consuming Activity</t>
  </si>
  <si>
    <t>Type of emissions</t>
  </si>
  <si>
    <t>Metals from Primary material production</t>
  </si>
  <si>
    <t>Kg</t>
  </si>
  <si>
    <t>Tonnes</t>
  </si>
  <si>
    <t>Metals from Closed-loop source</t>
  </si>
  <si>
    <t>Aluminium cans and foil (excl. forming) from primary material production</t>
  </si>
  <si>
    <t>Aluminium cans and foil (excl. forming) from Closed-loop source</t>
  </si>
  <si>
    <t>Scrap metal from primary material production</t>
  </si>
  <si>
    <t>Scrap metal from from Closed-loop source</t>
  </si>
  <si>
    <t>Plasterboard: Primary material production</t>
  </si>
  <si>
    <t>Plasterboard: Closed-loop source</t>
  </si>
  <si>
    <t>Rubber/ Tyres: Primary material production</t>
  </si>
  <si>
    <t>Rubber/ Tyres: Re-used</t>
  </si>
  <si>
    <t>Wood from Primary material production</t>
  </si>
  <si>
    <t>Wood from Re-used</t>
  </si>
  <si>
    <t>Wood from Closed-loop source</t>
  </si>
  <si>
    <t>Glass from Primary material production</t>
  </si>
  <si>
    <t>Glass from Closed-loop source</t>
  </si>
  <si>
    <t>Fabric/ Fabricing from Primary material production</t>
  </si>
  <si>
    <t>Fabric/ Fabricing from Re-used</t>
  </si>
  <si>
    <t>Food and drink</t>
  </si>
  <si>
    <t>Average plastics from Primary material production</t>
  </si>
  <si>
    <t>Average plastics from Closed-loop source</t>
  </si>
  <si>
    <t>Plastics film from Primary material production</t>
  </si>
  <si>
    <t>Plastic film from Closed-loop source</t>
  </si>
  <si>
    <t>Plastics: average plastic rigid from Primary material production</t>
  </si>
  <si>
    <t>Plastics: average plastic rigid from Closed-loop source</t>
  </si>
  <si>
    <t>Plastics: HDPE (incl. forming) from Primary material production</t>
  </si>
  <si>
    <t>Plastics: HDPE (incl. forming) from Closed-loop source</t>
  </si>
  <si>
    <t>Plastics: LDPE and LLDPE (incl. forming) from Primary material production</t>
  </si>
  <si>
    <t>Plastics: LDPE and LLDPE (incl. forming) from Closed-loop source</t>
  </si>
  <si>
    <t>Plastics: PET (incl. forming) from Primary material production</t>
  </si>
  <si>
    <t>Plastics: PET (incl. forming) from Closed-loop source</t>
  </si>
  <si>
    <t>Plastics: PP (incl. forming) from Primary material production</t>
  </si>
  <si>
    <t>Plastics: PP (incl. forming) from Closed-loop source</t>
  </si>
  <si>
    <t>Plastics: PS (incl. forming) from Primary material production</t>
  </si>
  <si>
    <t>Plastics: PS (incl. forming) from Closed-loop source</t>
  </si>
  <si>
    <t>Plastics: PVC (incl. forming) from Primary material production</t>
  </si>
  <si>
    <t>Plastics: PVC (incl. forming) from Closed-loop source</t>
  </si>
  <si>
    <t>Card Board from Primary material production</t>
  </si>
  <si>
    <t>Card Board from Closed-loop source</t>
  </si>
  <si>
    <t>Paper and board: mixed from Primary material production</t>
  </si>
  <si>
    <t>Paper and board: mixed from Closed-loop source</t>
  </si>
  <si>
    <t>Paper from Primary material production</t>
  </si>
  <si>
    <t>Paper from Closed-loop source</t>
  </si>
  <si>
    <t>The table above has not add the specific fabric</t>
  </si>
  <si>
    <t xml:space="preserve"> Quantity</t>
  </si>
  <si>
    <t>Unit1</t>
  </si>
  <si>
    <t>Unit2</t>
  </si>
  <si>
    <t>Water - Treatment</t>
  </si>
  <si>
    <t>Soils: Closed-loop</t>
  </si>
  <si>
    <t>Soils: Landfill</t>
  </si>
  <si>
    <t>Plasterboard: Closed-loop</t>
  </si>
  <si>
    <t>Plasterboard: Landfill</t>
  </si>
  <si>
    <t>Rubber/ Tyres: Closed-loop</t>
  </si>
  <si>
    <t>Wood: Closed-loop</t>
  </si>
  <si>
    <t>Wood: Combustion</t>
  </si>
  <si>
    <t>Wood: Composting</t>
  </si>
  <si>
    <t>Wood: Landfill</t>
  </si>
  <si>
    <t>Books: Closed-loop</t>
  </si>
  <si>
    <t>Books: Combustion</t>
  </si>
  <si>
    <t>Books: Composting</t>
  </si>
  <si>
    <t>Books: Landfill</t>
  </si>
  <si>
    <t>Glass: Open-loop</t>
  </si>
  <si>
    <t>Glass: Closed-loop</t>
  </si>
  <si>
    <t>Glass: Combustion</t>
  </si>
  <si>
    <t>Glass: Landfill</t>
  </si>
  <si>
    <t>Fabric/ Clothing: Closed-loop</t>
  </si>
  <si>
    <t>Fabric/ Clothing: Combustion</t>
  </si>
  <si>
    <t>Fabric/ Clothing: Landfill</t>
  </si>
  <si>
    <t>Household Refuse: Combustion</t>
  </si>
  <si>
    <t>Household Refuse:  Landfill</t>
  </si>
  <si>
    <t>Organic-food and drink: Combustion</t>
  </si>
  <si>
    <t>Organic-food and drink: Composting</t>
  </si>
  <si>
    <t>Organic-food and drink: Landfill</t>
  </si>
  <si>
    <t>Commercial &amp; Industrial Refuse: Combustion</t>
  </si>
  <si>
    <t>Commercial &amp; Industrial Refuse: Landfill</t>
  </si>
  <si>
    <t>Metal (all kinds of metal for open/Closed-loop, &amp; combustion)</t>
  </si>
  <si>
    <t>Metal (all kinds of metal for landfill)</t>
  </si>
  <si>
    <t>Plastics (all types): Open, Closed-loop, &amp; combustion</t>
  </si>
  <si>
    <t>Plastics (all types): Landfill</t>
  </si>
  <si>
    <t>Paper and board (all types): Closed-loop &amp; combustion</t>
  </si>
  <si>
    <t>Paper and board (all types): Composting</t>
  </si>
  <si>
    <t>Paper and board (all types): Landfill</t>
  </si>
  <si>
    <t>Total Distance</t>
  </si>
  <si>
    <t>Travel-air</t>
  </si>
  <si>
    <t>Domestic, to/from UK: Average passenger</t>
  </si>
  <si>
    <t>Trip(s)</t>
  </si>
  <si>
    <t>Km</t>
  </si>
  <si>
    <t>Short-haul, to/from UK: Average passenger (up to 3700km distance).</t>
  </si>
  <si>
    <t>Long-haul, to/from UK: Average passenger  (over 3700km distance).</t>
  </si>
  <si>
    <t>Travel-sea</t>
  </si>
  <si>
    <t>Foot passenger</t>
  </si>
  <si>
    <t>Car passenger</t>
  </si>
  <si>
    <t>Travel-land</t>
  </si>
  <si>
    <t>Diesel Car Size: Small</t>
  </si>
  <si>
    <t>km</t>
  </si>
  <si>
    <t>Diesel Car Size: Medium</t>
  </si>
  <si>
    <t>Diesel Car Size: Large</t>
  </si>
  <si>
    <t>Petrol Car Size: Small</t>
  </si>
  <si>
    <t>Petrol Car Size: Medium</t>
  </si>
  <si>
    <t>Petrol Car Size: Large</t>
  </si>
  <si>
    <t>Hybrid Car Size: Small</t>
  </si>
  <si>
    <t>Hybrid Car Size: Medium</t>
  </si>
  <si>
    <t>Hybrid Car Size: Large</t>
  </si>
  <si>
    <t>Plug-in Hybrid Electric Car Size: Small</t>
  </si>
  <si>
    <t>Plug-in Hybrid Electric Car Size: Medium</t>
  </si>
  <si>
    <t>Plug-in Hybrid Electric Car Size: Large</t>
  </si>
  <si>
    <t>Battery EV Car Size: Small</t>
  </si>
  <si>
    <t>Battery EV Car Size: Medium</t>
  </si>
  <si>
    <t>Battery EV Car Size: Large</t>
  </si>
  <si>
    <t>Motorbike: Small</t>
  </si>
  <si>
    <t>Motorbike: Medium</t>
  </si>
  <si>
    <t>Motorbike: Large</t>
  </si>
  <si>
    <t>Taxis: Regular Taxi</t>
  </si>
  <si>
    <t>Taxis: Black Cab</t>
  </si>
  <si>
    <t>Local bus (not London)</t>
  </si>
  <si>
    <t>Coach (intercity bus)</t>
  </si>
  <si>
    <t>National rail</t>
  </si>
  <si>
    <t>International rail</t>
  </si>
  <si>
    <t>Light rail and tram</t>
  </si>
  <si>
    <t>Number of vehicle</t>
  </si>
  <si>
    <t>Freight Weight (kg)</t>
  </si>
  <si>
    <t>Distance (km)</t>
  </si>
  <si>
    <t>Amount used</t>
  </si>
  <si>
    <t>Freight-land</t>
  </si>
  <si>
    <t>Average Diesel Van</t>
  </si>
  <si>
    <t>Litres</t>
  </si>
  <si>
    <t>Average Petrol Van</t>
  </si>
  <si>
    <t>Average Plug-in Hybrid Electric Van</t>
  </si>
  <si>
    <t>Average Battery Electriv Van</t>
  </si>
  <si>
    <t>Freight train</t>
  </si>
  <si>
    <t>Freight-Flights</t>
  </si>
  <si>
    <t>Domestic, to/from UK</t>
  </si>
  <si>
    <t>Short-haul, to/from UK</t>
  </si>
  <si>
    <t>Long-haul, to/from UK</t>
  </si>
  <si>
    <t>International, to/from non-UK</t>
  </si>
  <si>
    <t>Feright-sea</t>
  </si>
  <si>
    <t>General cargo-Average</t>
  </si>
  <si>
    <t>Container ship-Average</t>
  </si>
  <si>
    <t>Duration (Nights)</t>
  </si>
  <si>
    <t>Hotel stay</t>
  </si>
  <si>
    <t>2024 GHG Conversion (kgCO2e)</t>
  </si>
  <si>
    <t>Grid Electricity in the UK</t>
  </si>
  <si>
    <r>
      <rPr>
        <b/>
        <sz val="11"/>
        <color theme="1"/>
        <rFont val="Calibri"/>
        <family val="2"/>
        <scheme val="minor"/>
      </rPr>
      <t>Important note:</t>
    </r>
    <r>
      <rPr>
        <sz val="11"/>
        <color theme="1"/>
        <rFont val="Calibri"/>
        <family val="2"/>
        <scheme val="minor"/>
      </rPr>
      <t xml:space="preserve">
This tables are the Green House Gas (GHG) Conversion factor for 2023, taken from:
</t>
    </r>
  </si>
  <si>
    <t xml:space="preserve">This GHG conversion factor MUST be updated every year. </t>
  </si>
  <si>
    <r>
      <t xml:space="preserve">You are only required to manually update the data in this worksheet and all other worksheet will be updated automatically.
</t>
    </r>
    <r>
      <rPr>
        <b/>
        <sz val="11"/>
        <color rgb="FFFF0000"/>
        <rFont val="Calibri"/>
        <family val="2"/>
        <scheme val="minor"/>
      </rPr>
      <t>PLEASE DO NOT MAKE ANY OTHER CHANGES AS IT WILL CAUSE ERRORS.</t>
    </r>
  </si>
  <si>
    <t xml:space="preserve">The following GHG are taken from: </t>
  </si>
  <si>
    <t>https://www.co2everything.com/category/clothes-and-fabrics</t>
  </si>
  <si>
    <t>Yearly update is required!</t>
  </si>
  <si>
    <t>Please note that the source measures the carbon emission of 2m2 of fabric. That is why the following table devide the original data by 2.</t>
  </si>
  <si>
    <t>Clothing / Fabric from Primary material production</t>
  </si>
  <si>
    <t>Clothing/ Fabric from Re-used</t>
  </si>
  <si>
    <t>Water - Treatment in cubic meters</t>
  </si>
  <si>
    <t>Clothing / Fabric: Closed-loop</t>
  </si>
  <si>
    <t>Clothing / Fabric: Combustion</t>
  </si>
  <si>
    <t>Clothing / Fabric: Landfill</t>
  </si>
  <si>
    <r>
      <t xml:space="preserve">If the </t>
    </r>
    <r>
      <rPr>
        <b/>
        <sz val="10"/>
        <color theme="1"/>
        <rFont val="Calibri"/>
        <family val="2"/>
        <scheme val="minor"/>
      </rPr>
      <t>Enable content</t>
    </r>
    <r>
      <rPr>
        <sz val="10"/>
        <color theme="1"/>
        <rFont val="Calibri"/>
        <family val="2"/>
        <scheme val="minor"/>
      </rPr>
      <t xml:space="preserve"> does not work, you need to unblock this worksheet by modifying the properties of the file as follows:</t>
    </r>
  </si>
  <si>
    <t>This carbon calculator measures the carbon footprint emitted through the use of energy derived from the UK electrical grid. The use of electrical equipment that provides direct support to the student's learning and making process, such as personal computers (PCs), laptops, monitors, printers, 3D printers, washing &amp; drying machines, sewing &amp; embroidery machines, studio &amp; photographic lightings, etc., are to be considered.</t>
  </si>
  <si>
    <t>This carbon calculator measures the carbon footprint emitted through the use of water delivered through the mains supply network. The use of water in every activities that is in direct support to the student's learning and making process, such as washing fabrics, ..., etc., are to be considered.</t>
  </si>
  <si>
    <t>This carbon calculator measures the carbon footprint produced through the use of various materials. The use of any materials in every activity that is in direct support of the student's learning and making process are to be considered. The assessment of carbon footprints will vary depending on the source of each material. </t>
  </si>
  <si>
    <t xml:space="preserve">Almost all learning processes create waste. This carbon calculator measures the carbon emissions produced in the disposal of various types of waste. The assessment of carbon footprints will vary depending on the disposal method for each waste. </t>
  </si>
  <si>
    <r>
      <rPr>
        <b/>
        <sz val="8"/>
        <color theme="1"/>
        <rFont val="Calibri"/>
        <family val="2"/>
        <scheme val="minor"/>
      </rPr>
      <t xml:space="preserve">Landfill </t>
    </r>
    <r>
      <rPr>
        <sz val="8"/>
        <color theme="1"/>
        <rFont val="Calibri"/>
        <family val="2"/>
        <scheme val="minor"/>
      </rPr>
      <t xml:space="preserve">include collection, transportation and landfill emissions (‘gate to grave’). 
</t>
    </r>
    <r>
      <rPr>
        <b/>
        <sz val="8"/>
        <color theme="1"/>
        <rFont val="Calibri"/>
        <family val="2"/>
        <scheme val="minor"/>
      </rPr>
      <t>Open-loop recycling</t>
    </r>
    <r>
      <rPr>
        <sz val="8"/>
        <color theme="1"/>
        <rFont val="Calibri"/>
        <family val="2"/>
        <scheme val="minor"/>
      </rPr>
      <t xml:space="preserve"> is the process of recycling material into other products.
</t>
    </r>
    <r>
      <rPr>
        <b/>
        <sz val="8"/>
        <color theme="1"/>
        <rFont val="Calibri"/>
        <family val="2"/>
        <scheme val="minor"/>
      </rPr>
      <t>Closed-loop recycling</t>
    </r>
    <r>
      <rPr>
        <sz val="8"/>
        <color theme="1"/>
        <rFont val="Calibri"/>
        <family val="2"/>
        <scheme val="minor"/>
      </rPr>
      <t xml:space="preserve"> is the process of recycling material back into the same product.
</t>
    </r>
    <r>
      <rPr>
        <b/>
        <sz val="8"/>
        <color theme="1"/>
        <rFont val="Calibri"/>
        <family val="2"/>
        <scheme val="minor"/>
      </rPr>
      <t>Combustion:</t>
    </r>
    <r>
      <rPr>
        <sz val="8"/>
        <color theme="1"/>
        <rFont val="Calibri"/>
        <family val="2"/>
        <scheme val="minor"/>
      </rPr>
      <t xml:space="preserve"> Energy is recovered from the waste through incineration and subsequent generation of electricity.
</t>
    </r>
    <r>
      <rPr>
        <b/>
        <sz val="8"/>
        <color theme="1"/>
        <rFont val="Calibri"/>
        <family val="2"/>
        <scheme val="minor"/>
      </rPr>
      <t xml:space="preserve">Composting: </t>
    </r>
    <r>
      <rPr>
        <sz val="8"/>
        <color theme="1"/>
        <rFont val="Calibri"/>
        <family val="2"/>
        <scheme val="minor"/>
      </rPr>
      <t>CO₂e emitted as a result of composting a waste.</t>
    </r>
  </si>
  <si>
    <t xml:space="preserve">This carbon calculator measures the carbon footprint produced by a student in their travel related to learning and making processes. The assessment of carbon footprints will vary depending on the various modes of transportation, the type of vehicle used, and the travelling distance. </t>
  </si>
  <si>
    <r>
      <t xml:space="preserve">The business travel by air or sea are for use for passenger and not for freighting goods. Freight calculator is available in the next worksheet.
'For air travel: 
</t>
    </r>
    <r>
      <rPr>
        <b/>
        <sz val="8"/>
        <color theme="1"/>
        <rFont val="Calibri"/>
        <family val="2"/>
        <scheme val="minor"/>
      </rPr>
      <t xml:space="preserve"> 'Average passenger' </t>
    </r>
    <r>
      <rPr>
        <sz val="8"/>
        <color theme="1"/>
        <rFont val="Calibri"/>
        <family val="2"/>
        <scheme val="minor"/>
      </rPr>
      <t xml:space="preserve">does not account the difference in flight type (economy, business, first class, etc.).
</t>
    </r>
    <r>
      <rPr>
        <b/>
        <sz val="8"/>
        <color theme="1"/>
        <rFont val="Calibri"/>
        <family val="2"/>
        <scheme val="minor"/>
      </rPr>
      <t>Domestic flights</t>
    </r>
    <r>
      <rPr>
        <sz val="8"/>
        <color theme="1"/>
        <rFont val="Calibri"/>
        <family val="2"/>
        <scheme val="minor"/>
      </rPr>
      <t xml:space="preserve"> are those between UK airports.
</t>
    </r>
    <r>
      <rPr>
        <b/>
        <sz val="8"/>
        <color theme="1"/>
        <rFont val="Calibri"/>
        <family val="2"/>
        <scheme val="minor"/>
      </rPr>
      <t>Short-haul</t>
    </r>
    <r>
      <rPr>
        <sz val="8"/>
        <color theme="1"/>
        <rFont val="Calibri"/>
        <family val="2"/>
        <scheme val="minor"/>
      </rPr>
      <t xml:space="preserve"> is air travel to outside of UK with a distance up to 3,700 km.
</t>
    </r>
    <r>
      <rPr>
        <b/>
        <sz val="8"/>
        <color theme="1"/>
        <rFont val="Calibri"/>
        <family val="2"/>
        <scheme val="minor"/>
      </rPr>
      <t>Long-haul</t>
    </r>
    <r>
      <rPr>
        <sz val="8"/>
        <color theme="1"/>
        <rFont val="Calibri"/>
        <family val="2"/>
        <scheme val="minor"/>
      </rPr>
      <t xml:space="preserve"> is air travel with a distance of &gt; 3,700 km.</t>
    </r>
  </si>
  <si>
    <r>
      <rPr>
        <b/>
        <sz val="8"/>
        <color theme="1"/>
        <rFont val="Calibri"/>
        <family val="2"/>
        <scheme val="minor"/>
      </rPr>
      <t>Domestic flights</t>
    </r>
    <r>
      <rPr>
        <sz val="8"/>
        <color theme="1"/>
        <rFont val="Calibri"/>
        <family val="2"/>
        <scheme val="minor"/>
      </rPr>
      <t xml:space="preserve"> are between UK airports.
</t>
    </r>
    <r>
      <rPr>
        <b/>
        <sz val="8"/>
        <color theme="1"/>
        <rFont val="Calibri"/>
        <family val="2"/>
        <scheme val="minor"/>
      </rPr>
      <t xml:space="preserve">Short-haul </t>
    </r>
    <r>
      <rPr>
        <sz val="8"/>
        <color theme="1"/>
        <rFont val="Calibri"/>
        <family val="2"/>
        <scheme val="minor"/>
      </rPr>
      <t xml:space="preserve">International flights to/from the UK, typically to Europe (up to 3,700 km distance).
</t>
    </r>
    <r>
      <rPr>
        <b/>
        <sz val="8"/>
        <color theme="1"/>
        <rFont val="Calibri"/>
        <family val="2"/>
        <scheme val="minor"/>
      </rPr>
      <t>Long-haul</t>
    </r>
    <r>
      <rPr>
        <sz val="8"/>
        <color theme="1"/>
        <rFont val="Calibri"/>
        <family val="2"/>
        <scheme val="minor"/>
      </rPr>
      <t xml:space="preserve"> international flights to/from the UK, typically to non-European destinations (over 3,700 km distance).
</t>
    </r>
    <r>
      <rPr>
        <b/>
        <sz val="8"/>
        <color theme="1"/>
        <rFont val="Calibri"/>
        <family val="2"/>
        <scheme val="minor"/>
      </rPr>
      <t>Internationa</t>
    </r>
    <r>
      <rPr>
        <sz val="8"/>
        <color theme="1"/>
        <rFont val="Calibri"/>
        <family val="2"/>
        <scheme val="minor"/>
      </rPr>
      <t>l flights to/from non-UK countries.</t>
    </r>
  </si>
  <si>
    <t>Choose the location or country.</t>
  </si>
  <si>
    <t>Provide the number of rooms and the length of stays.</t>
  </si>
  <si>
    <t>Type in the hotel or accomodation's name.</t>
  </si>
  <si>
    <t>This carbon calculator measures the carbon footprint produced from the hotel stays that occurs as part of the learning and making processes, for example, going on exhibition. The assessment of carbon footprints will vary depending on the place of stay.</t>
  </si>
  <si>
    <t>DOI:</t>
  </si>
  <si>
    <t>Welcome to the University of Southampton Winchester School of Art Carbon Calculator (WSA-CC).
The WSA-CC is funded by the Centre for higher Education Practices (CHEP).
Kurniawan, M., Ashton, D. and Padovani, C. (2024) Carbon calculator for exploring the environmental impact of cultural and creative sector authentic assessment activities. Centre for Higher Education Practice. University of Southampton.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</si>
</sst>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
    <numFmt numFmtId="166" formatCode="_-* #,##0.000_-;\-* #,##0.000_-;_-* &quot;-&quot;???_-;_-@_-"/>
  </numFmts>
  <fonts count="41">
    <font>
      <sz val="11"/>
      <color theme="1"/>
      <name val="Calibri"/>
      <family val="2"/>
      <scheme val="minor"/>
    </font>
    <font>
      <b/>
      <sz val="11"/>
      <color theme="1"/>
      <name val="Calibri"/>
      <family val="2"/>
      <scheme val="minor"/>
    </font>
    <font>
      <sz val="11"/>
      <color theme="1"/>
      <name val="Calibri"/>
      <family val="2"/>
      <scheme val="minor"/>
    </font>
    <font>
      <sz val="11"/>
      <color rgb="FF002060"/>
      <name val="Calibri"/>
      <family val="2"/>
      <scheme val="minor"/>
    </font>
    <font>
      <sz val="10"/>
      <name val="Calibri"/>
      <family val="2"/>
      <scheme val="minor"/>
    </font>
    <font>
      <sz val="8"/>
      <name val="Calibri"/>
      <family val="2"/>
      <scheme val="minor"/>
    </font>
    <font>
      <sz val="9"/>
      <color indexed="81"/>
      <name val="Tahoma"/>
      <family val="2"/>
    </font>
    <font>
      <b/>
      <sz val="9"/>
      <color indexed="81"/>
      <name val="Tahoma"/>
      <family val="2"/>
    </font>
    <font>
      <b/>
      <sz val="18"/>
      <color theme="1"/>
      <name val="Calibri"/>
      <family val="2"/>
      <scheme val="minor"/>
    </font>
    <font>
      <b/>
      <sz val="14"/>
      <color theme="1"/>
      <name val="Calibri"/>
      <family val="2"/>
      <scheme val="minor"/>
    </font>
    <font>
      <b/>
      <sz val="14"/>
      <color theme="4" tint="-0.499984740745262"/>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2"/>
      <color theme="4" tint="-0.499984740745262"/>
      <name val="Calibri"/>
      <family val="2"/>
      <scheme val="minor"/>
    </font>
    <font>
      <b/>
      <sz val="14"/>
      <color theme="4" tint="-0.249977111117893"/>
      <name val="Calibri"/>
      <family val="2"/>
      <scheme val="minor"/>
    </font>
    <font>
      <b/>
      <sz val="11"/>
      <color rgb="FF111111"/>
      <name val="Calibri"/>
      <family val="2"/>
      <scheme val="minor"/>
    </font>
    <font>
      <sz val="11"/>
      <color theme="0"/>
      <name val="Calibri"/>
      <family val="2"/>
      <scheme val="minor"/>
    </font>
    <font>
      <sz val="10"/>
      <color theme="0"/>
      <name val="Calibri"/>
      <family val="2"/>
      <scheme val="minor"/>
    </font>
    <font>
      <sz val="10"/>
      <color theme="1" tint="0.249977111117893"/>
      <name val="Calibri"/>
      <family val="2"/>
      <scheme val="minor"/>
    </font>
    <font>
      <sz val="11"/>
      <color theme="1" tint="0.249977111117893"/>
      <name val="Calibri"/>
      <family val="2"/>
      <scheme val="minor"/>
    </font>
    <font>
      <sz val="8"/>
      <color theme="1"/>
      <name val="Calibri"/>
      <family val="2"/>
      <scheme val="minor"/>
    </font>
    <font>
      <b/>
      <sz val="8"/>
      <color theme="1"/>
      <name val="Calibri"/>
      <family val="2"/>
      <scheme val="minor"/>
    </font>
    <font>
      <sz val="11"/>
      <color theme="0" tint="-0.249977111117893"/>
      <name val="Calibri"/>
      <family val="2"/>
      <scheme val="minor"/>
    </font>
    <font>
      <sz val="10"/>
      <color theme="0" tint="-0.249977111117893"/>
      <name val="Calibri"/>
      <family val="2"/>
      <scheme val="minor"/>
    </font>
    <font>
      <u/>
      <sz val="11"/>
      <color theme="10"/>
      <name val="Calibri"/>
      <family val="2"/>
      <scheme val="minor"/>
    </font>
    <font>
      <b/>
      <sz val="10"/>
      <color theme="0" tint="-0.249977111117893"/>
      <name val="Arial Unicode MS"/>
      <family val="2"/>
    </font>
    <font>
      <sz val="12"/>
      <color theme="1"/>
      <name val="Calibri"/>
      <family val="2"/>
      <scheme val="minor"/>
    </font>
    <font>
      <b/>
      <sz val="12"/>
      <color rgb="FF111111"/>
      <name val="Calibri"/>
      <family val="2"/>
      <scheme val="minor"/>
    </font>
    <font>
      <sz val="10"/>
      <color rgb="FF1E1E1E"/>
      <name val="Calibri"/>
      <family val="2"/>
      <scheme val="minor"/>
    </font>
    <font>
      <b/>
      <sz val="10"/>
      <color rgb="FF1E1E1E"/>
      <name val="Calibri"/>
      <family val="2"/>
      <scheme val="minor"/>
    </font>
    <font>
      <sz val="9"/>
      <color theme="1"/>
      <name val="Calibri"/>
      <family val="2"/>
      <scheme val="minor"/>
    </font>
    <font>
      <sz val="11"/>
      <color rgb="FFFF0000"/>
      <name val="Calibri"/>
      <family val="2"/>
      <scheme val="minor"/>
    </font>
    <font>
      <sz val="11"/>
      <color rgb="FF000000"/>
      <name val="Calibri"/>
      <family val="2"/>
    </font>
    <font>
      <b/>
      <i/>
      <sz val="10"/>
      <name val="Calibri"/>
      <family val="2"/>
      <scheme val="minor"/>
    </font>
    <font>
      <i/>
      <sz val="11"/>
      <color theme="1"/>
      <name val="Calibri"/>
      <family val="2"/>
      <scheme val="minor"/>
    </font>
    <font>
      <b/>
      <sz val="11"/>
      <color rgb="FFFF0000"/>
      <name val="Calibri"/>
      <family val="2"/>
      <scheme val="minor"/>
    </font>
    <font>
      <sz val="11"/>
      <color rgb="FF000000"/>
      <name val="Calibri"/>
      <family val="2"/>
    </font>
    <font>
      <u/>
      <sz val="11"/>
      <color rgb="FF000000"/>
      <name val="Calibri"/>
      <family val="2"/>
      <scheme val="minor"/>
    </font>
    <font>
      <sz val="10"/>
      <color rgb="FF000000"/>
      <name val="Calibri"/>
      <family val="2"/>
      <scheme val="minor"/>
    </font>
    <font>
      <u/>
      <sz val="11"/>
      <color theme="4"/>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theme="0"/>
        <bgColor theme="0" tint="-0.14999847407452621"/>
      </patternFill>
    </fill>
    <fill>
      <patternFill patternType="solid">
        <fgColor theme="1" tint="0.249977111117893"/>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0" tint="-0.14999847407452621"/>
        <bgColor theme="0" tint="-0.14999847407452621"/>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53D5F"/>
      </left>
      <right style="thin">
        <color rgb="FF053D5F"/>
      </right>
      <top style="thin">
        <color rgb="FF053D5F"/>
      </top>
      <bottom style="thin">
        <color rgb="FF053D5F"/>
      </bottom>
      <diagonal/>
    </border>
    <border>
      <left style="thin">
        <color rgb="FF053D5F"/>
      </left>
      <right style="thin">
        <color rgb="FF053D5F"/>
      </right>
      <top style="thin">
        <color rgb="FF053D5F"/>
      </top>
      <bottom/>
      <diagonal/>
    </border>
    <border>
      <left style="thin">
        <color indexed="64"/>
      </left>
      <right style="thin">
        <color rgb="FF053D5F"/>
      </right>
      <top style="thin">
        <color rgb="FF053D5F"/>
      </top>
      <bottom style="thin">
        <color rgb="FF053D5F"/>
      </bottom>
      <diagonal/>
    </border>
    <border>
      <left/>
      <right style="thin">
        <color indexed="64"/>
      </right>
      <top style="thin">
        <color indexed="64"/>
      </top>
      <bottom style="thin">
        <color indexed="64"/>
      </bottom>
      <diagonal/>
    </border>
    <border>
      <left style="medium">
        <color theme="1" tint="0.249977111117893"/>
      </left>
      <right/>
      <top/>
      <bottom style="medium">
        <color theme="1" tint="0.249977111117893"/>
      </bottom>
      <diagonal/>
    </border>
    <border>
      <left/>
      <right/>
      <top/>
      <bottom style="medium">
        <color theme="1" tint="0.249977111117893"/>
      </bottom>
      <diagonal/>
    </border>
    <border>
      <left/>
      <right style="medium">
        <color theme="1" tint="0.249977111117893"/>
      </right>
      <top/>
      <bottom style="medium">
        <color theme="1" tint="0.249977111117893"/>
      </bottom>
      <diagonal/>
    </border>
    <border>
      <left style="medium">
        <color theme="0"/>
      </left>
      <right style="medium">
        <color theme="0"/>
      </right>
      <top style="medium">
        <color theme="0"/>
      </top>
      <bottom style="medium">
        <color theme="0"/>
      </bottom>
      <diagonal/>
    </border>
    <border>
      <left style="medium">
        <color theme="1" tint="0.249977111117893"/>
      </left>
      <right style="medium">
        <color theme="0"/>
      </right>
      <top style="medium">
        <color theme="1" tint="0.249977111117893"/>
      </top>
      <bottom style="medium">
        <color theme="0"/>
      </bottom>
      <diagonal/>
    </border>
    <border>
      <left style="medium">
        <color theme="0"/>
      </left>
      <right style="medium">
        <color theme="0"/>
      </right>
      <top style="medium">
        <color theme="1" tint="0.249977111117893"/>
      </top>
      <bottom style="medium">
        <color theme="0"/>
      </bottom>
      <diagonal/>
    </border>
    <border>
      <left style="medium">
        <color theme="0"/>
      </left>
      <right style="medium">
        <color theme="1" tint="0.249977111117893"/>
      </right>
      <top style="medium">
        <color theme="1" tint="0.249977111117893"/>
      </top>
      <bottom style="medium">
        <color theme="0"/>
      </bottom>
      <diagonal/>
    </border>
    <border>
      <left style="medium">
        <color theme="1" tint="0.249977111117893"/>
      </left>
      <right style="medium">
        <color theme="0"/>
      </right>
      <top style="medium">
        <color theme="0"/>
      </top>
      <bottom style="medium">
        <color theme="0"/>
      </bottom>
      <diagonal/>
    </border>
    <border>
      <left style="medium">
        <color theme="0"/>
      </left>
      <right style="medium">
        <color theme="1" tint="0.249977111117893"/>
      </right>
      <top style="medium">
        <color theme="0"/>
      </top>
      <bottom style="medium">
        <color theme="0"/>
      </bottom>
      <diagonal/>
    </border>
    <border>
      <left style="medium">
        <color theme="1" tint="0.249977111117893"/>
      </left>
      <right style="medium">
        <color theme="0"/>
      </right>
      <top style="medium">
        <color theme="0"/>
      </top>
      <bottom style="medium">
        <color theme="1" tint="0.249977111117893"/>
      </bottom>
      <diagonal/>
    </border>
    <border>
      <left style="medium">
        <color theme="0"/>
      </left>
      <right style="medium">
        <color theme="0"/>
      </right>
      <top style="medium">
        <color theme="0"/>
      </top>
      <bottom style="medium">
        <color theme="1" tint="0.249977111117893"/>
      </bottom>
      <diagonal/>
    </border>
    <border>
      <left style="medium">
        <color theme="1" tint="0.249977111117893"/>
      </left>
      <right style="thin">
        <color indexed="64"/>
      </right>
      <top style="medium">
        <color theme="1" tint="0.249977111117893"/>
      </top>
      <bottom style="thin">
        <color indexed="64"/>
      </bottom>
      <diagonal/>
    </border>
    <border>
      <left style="thin">
        <color indexed="64"/>
      </left>
      <right style="thin">
        <color indexed="64"/>
      </right>
      <top style="medium">
        <color theme="1" tint="0.249977111117893"/>
      </top>
      <bottom style="thin">
        <color indexed="64"/>
      </bottom>
      <diagonal/>
    </border>
    <border>
      <left style="thin">
        <color indexed="64"/>
      </left>
      <right style="medium">
        <color theme="1" tint="0.249977111117893"/>
      </right>
      <top style="medium">
        <color theme="1" tint="0.249977111117893"/>
      </top>
      <bottom style="thin">
        <color indexed="64"/>
      </bottom>
      <diagonal/>
    </border>
    <border>
      <left style="medium">
        <color theme="1" tint="0.249977111117893"/>
      </left>
      <right style="thin">
        <color indexed="64"/>
      </right>
      <top style="thin">
        <color indexed="64"/>
      </top>
      <bottom style="thin">
        <color indexed="64"/>
      </bottom>
      <diagonal/>
    </border>
    <border>
      <left style="thin">
        <color indexed="64"/>
      </left>
      <right style="medium">
        <color theme="1" tint="0.249977111117893"/>
      </right>
      <top style="thin">
        <color indexed="64"/>
      </top>
      <bottom style="thin">
        <color indexed="64"/>
      </bottom>
      <diagonal/>
    </border>
    <border>
      <left style="medium">
        <color theme="0"/>
      </left>
      <right/>
      <top style="medium">
        <color theme="0"/>
      </top>
      <bottom style="medium">
        <color theme="1" tint="0.249977111117893"/>
      </bottom>
      <diagonal/>
    </border>
    <border>
      <left/>
      <right style="medium">
        <color theme="1" tint="0.249977111117893"/>
      </right>
      <top style="medium">
        <color theme="0"/>
      </top>
      <bottom style="medium">
        <color theme="1" tint="0.249977111117893"/>
      </bottom>
      <diagonal/>
    </border>
    <border>
      <left style="medium">
        <color theme="4" tint="-0.499984740745262"/>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style="medium">
        <color theme="0"/>
      </right>
      <top style="medium">
        <color theme="1" tint="0.249977111117893"/>
      </top>
      <bottom style="medium">
        <color theme="0"/>
      </bottom>
      <diagonal/>
    </border>
    <border>
      <left/>
      <right style="medium">
        <color theme="0"/>
      </right>
      <top style="medium">
        <color theme="0"/>
      </top>
      <bottom style="medium">
        <color theme="0"/>
      </bottom>
      <diagonal/>
    </border>
    <border>
      <left/>
      <right/>
      <top/>
      <bottom style="thin">
        <color rgb="FF002060"/>
      </bottom>
      <diagonal/>
    </border>
    <border>
      <left/>
      <right/>
      <top style="medium">
        <color theme="0"/>
      </top>
      <bottom style="medium">
        <color theme="0"/>
      </bottom>
      <diagonal/>
    </border>
    <border>
      <left style="medium">
        <color rgb="FF002060"/>
      </left>
      <right/>
      <top style="medium">
        <color rgb="FF002060"/>
      </top>
      <bottom style="medium">
        <color theme="0"/>
      </bottom>
      <diagonal/>
    </border>
    <border>
      <left/>
      <right/>
      <top style="medium">
        <color rgb="FF002060"/>
      </top>
      <bottom style="medium">
        <color theme="0"/>
      </bottom>
      <diagonal/>
    </border>
    <border>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style="medium">
        <color rgb="FF002060"/>
      </right>
      <top style="medium">
        <color rgb="FF002060"/>
      </top>
      <bottom style="medium">
        <color theme="0"/>
      </bottom>
      <diagonal/>
    </border>
    <border>
      <left style="medium">
        <color rgb="FF002060"/>
      </left>
      <right/>
      <top style="medium">
        <color theme="0"/>
      </top>
      <bottom style="medium">
        <color theme="0"/>
      </bottom>
      <diagonal/>
    </border>
    <border>
      <left style="medium">
        <color theme="0"/>
      </left>
      <right style="medium">
        <color rgb="FF002060"/>
      </right>
      <top style="medium">
        <color theme="0"/>
      </top>
      <bottom style="medium">
        <color theme="0"/>
      </bottom>
      <diagonal/>
    </border>
    <border>
      <left style="medium">
        <color rgb="FF002060"/>
      </left>
      <right style="medium">
        <color theme="0"/>
      </right>
      <top style="medium">
        <color theme="0"/>
      </top>
      <bottom style="medium">
        <color rgb="FF002060"/>
      </bottom>
      <diagonal/>
    </border>
    <border>
      <left style="medium">
        <color theme="0"/>
      </left>
      <right style="medium">
        <color theme="0"/>
      </right>
      <top style="medium">
        <color theme="0"/>
      </top>
      <bottom style="medium">
        <color rgb="FF002060"/>
      </bottom>
      <diagonal/>
    </border>
    <border>
      <left style="medium">
        <color theme="0"/>
      </left>
      <right/>
      <top style="medium">
        <color theme="0"/>
      </top>
      <bottom style="medium">
        <color rgb="FF002060"/>
      </bottom>
      <diagonal/>
    </border>
    <border>
      <left/>
      <right style="medium">
        <color rgb="FF002060"/>
      </right>
      <top style="medium">
        <color theme="0"/>
      </top>
      <bottom style="medium">
        <color rgb="FF00206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2060"/>
      </left>
      <right style="medium">
        <color theme="0"/>
      </right>
      <top style="medium">
        <color rgb="FF002060"/>
      </top>
      <bottom style="medium">
        <color theme="0"/>
      </bottom>
      <diagonal/>
    </border>
    <border>
      <left style="medium">
        <color rgb="FF002060"/>
      </left>
      <right style="medium">
        <color theme="0"/>
      </right>
      <top style="medium">
        <color theme="0"/>
      </top>
      <bottom style="medium">
        <color theme="0"/>
      </bottom>
      <diagonal/>
    </border>
    <border>
      <left style="medium">
        <color theme="0"/>
      </left>
      <right/>
      <top style="medium">
        <color rgb="FF002060"/>
      </top>
      <bottom style="medium">
        <color theme="0"/>
      </bottom>
      <diagonal/>
    </border>
    <border>
      <left style="thin">
        <color indexed="64"/>
      </left>
      <right style="thin">
        <color rgb="FF053D5F"/>
      </right>
      <top style="thin">
        <color rgb="FF053D5F"/>
      </top>
      <bottom/>
      <diagonal/>
    </border>
    <border>
      <left style="thin">
        <color rgb="FF002060"/>
      </left>
      <right style="thin">
        <color rgb="FF002060"/>
      </right>
      <top style="thin">
        <color rgb="FF002060"/>
      </top>
      <bottom style="thin">
        <color rgb="FF002060"/>
      </bottom>
      <diagonal/>
    </border>
    <border>
      <left/>
      <right style="thin">
        <color rgb="FF053D5F"/>
      </right>
      <top style="thin">
        <color rgb="FF053D5F"/>
      </top>
      <bottom style="thin">
        <color rgb="FF053D5F"/>
      </bottom>
      <diagonal/>
    </border>
    <border>
      <left/>
      <right/>
      <top style="medium">
        <color theme="0"/>
      </top>
      <bottom/>
      <diagonal/>
    </border>
    <border>
      <left style="thin">
        <color rgb="FF053D5F"/>
      </left>
      <right style="thin">
        <color indexed="64"/>
      </right>
      <top style="thin">
        <color rgb="FF053D5F"/>
      </top>
      <bottom style="thin">
        <color rgb="FF053D5F"/>
      </bottom>
      <diagonal/>
    </border>
    <border>
      <left/>
      <right style="medium">
        <color theme="0"/>
      </right>
      <top style="medium">
        <color rgb="FF002060"/>
      </top>
      <bottom/>
      <diagonal/>
    </border>
    <border>
      <left style="medium">
        <color theme="0"/>
      </left>
      <right/>
      <top style="medium">
        <color theme="0"/>
      </top>
      <bottom style="medium">
        <color theme="0"/>
      </bottom>
      <diagonal/>
    </border>
    <border>
      <left style="medium">
        <color theme="0"/>
      </left>
      <right style="medium">
        <color rgb="FF002060"/>
      </right>
      <top style="medium">
        <color theme="0"/>
      </top>
      <bottom/>
      <diagonal/>
    </border>
    <border>
      <left/>
      <right/>
      <top/>
      <bottom style="thin">
        <color indexed="64"/>
      </bottom>
      <diagonal/>
    </border>
    <border>
      <left/>
      <right/>
      <top style="thin">
        <color rgb="FF002060"/>
      </top>
      <bottom/>
      <diagonal/>
    </border>
    <border>
      <left style="medium">
        <color indexed="64"/>
      </left>
      <right style="medium">
        <color theme="0"/>
      </right>
      <top style="medium">
        <color indexed="64"/>
      </top>
      <bottom/>
      <diagonal/>
    </border>
    <border>
      <left style="medium">
        <color theme="0"/>
      </left>
      <right/>
      <top style="medium">
        <color indexed="64"/>
      </top>
      <bottom/>
      <diagonal/>
    </border>
    <border>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theme="0"/>
      </right>
      <top/>
      <bottom/>
      <diagonal/>
    </border>
    <border>
      <left style="medium">
        <color indexed="64"/>
      </left>
      <right/>
      <top style="medium">
        <color indexed="64"/>
      </top>
      <bottom/>
      <diagonal/>
    </border>
    <border>
      <left/>
      <right/>
      <top style="medium">
        <color indexed="64"/>
      </top>
      <bottom/>
      <diagonal/>
    </border>
    <border>
      <left/>
      <right style="medium">
        <color theme="0"/>
      </right>
      <top/>
      <bottom style="medium">
        <color indexed="64"/>
      </bottom>
      <diagonal/>
    </border>
    <border>
      <left/>
      <right style="medium">
        <color indexed="64"/>
      </right>
      <top style="medium">
        <color indexed="64"/>
      </top>
      <bottom/>
      <diagonal/>
    </border>
    <border>
      <left style="medium">
        <color theme="0"/>
      </left>
      <right style="medium">
        <color indexed="64"/>
      </right>
      <top/>
      <bottom/>
      <diagonal/>
    </border>
    <border>
      <left style="thin">
        <color indexed="64"/>
      </left>
      <right/>
      <top style="thin">
        <color indexed="64"/>
      </top>
      <bottom style="thin">
        <color indexed="64"/>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0"/>
      </left>
      <right style="medium">
        <color theme="1"/>
      </right>
      <top style="medium">
        <color theme="0"/>
      </top>
      <bottom style="medium">
        <color theme="0"/>
      </bottom>
      <diagonal/>
    </border>
    <border>
      <left style="medium">
        <color theme="0"/>
      </left>
      <right style="medium">
        <color theme="1"/>
      </right>
      <top/>
      <bottom style="medium">
        <color theme="0"/>
      </bottom>
      <diagonal/>
    </border>
    <border>
      <left style="medium">
        <color theme="0"/>
      </left>
      <right style="medium">
        <color theme="1"/>
      </right>
      <top/>
      <bottom/>
      <diagonal/>
    </border>
  </borders>
  <cellStyleXfs count="4">
    <xf numFmtId="0" fontId="0" fillId="0" borderId="0"/>
    <xf numFmtId="43" fontId="2" fillId="0" borderId="0" applyFont="0" applyFill="0" applyBorder="0" applyAlignment="0" applyProtection="0"/>
    <xf numFmtId="43" fontId="2" fillId="0" borderId="0" applyFont="0" applyFill="0" applyBorder="0" applyAlignment="0" applyProtection="0"/>
    <xf numFmtId="0" fontId="25" fillId="0" borderId="0" applyNumberFormat="0" applyFill="0" applyBorder="0" applyAlignment="0" applyProtection="0"/>
  </cellStyleXfs>
  <cellXfs count="497">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left" vertical="center" wrapText="1"/>
    </xf>
    <xf numFmtId="0" fontId="1" fillId="3"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0" fillId="4" borderId="0" xfId="0" applyFill="1" applyAlignment="1">
      <alignment horizontal="left" vertical="center" wrapText="1"/>
    </xf>
    <xf numFmtId="0" fontId="1" fillId="4" borderId="0" xfId="0" applyFont="1" applyFill="1" applyAlignment="1">
      <alignment horizontal="left" vertical="center" wrapText="1"/>
    </xf>
    <xf numFmtId="0" fontId="0" fillId="0" borderId="0" xfId="0" applyAlignment="1">
      <alignment horizontal="left" wrapText="1"/>
    </xf>
    <xf numFmtId="0" fontId="0" fillId="4" borderId="0" xfId="0" applyFill="1"/>
    <xf numFmtId="0" fontId="4" fillId="4" borderId="0" xfId="0" applyFont="1" applyFill="1" applyProtection="1">
      <protection locked="0"/>
    </xf>
    <xf numFmtId="0" fontId="4" fillId="4" borderId="0" xfId="0" applyFont="1" applyFill="1" applyAlignment="1" applyProtection="1">
      <alignment horizontal="left" wrapText="1"/>
      <protection locked="0"/>
    </xf>
    <xf numFmtId="4" fontId="0" fillId="4" borderId="0" xfId="0" applyNumberFormat="1" applyFill="1"/>
    <xf numFmtId="0" fontId="0" fillId="0" borderId="3" xfId="0" applyBorder="1" applyAlignment="1">
      <alignment vertical="top"/>
    </xf>
    <xf numFmtId="4" fontId="0" fillId="0" borderId="3" xfId="0" applyNumberFormat="1" applyBorder="1" applyAlignment="1">
      <alignment vertical="top"/>
    </xf>
    <xf numFmtId="0" fontId="4" fillId="0" borderId="1" xfId="0" applyFont="1" applyBorder="1" applyAlignment="1" applyProtection="1">
      <alignment horizontal="left" vertical="top" wrapText="1"/>
      <protection locked="0"/>
    </xf>
    <xf numFmtId="4" fontId="0" fillId="0" borderId="1" xfId="0" applyNumberFormat="1" applyBorder="1" applyAlignment="1">
      <alignment vertical="top"/>
    </xf>
    <xf numFmtId="0" fontId="0" fillId="0" borderId="1" xfId="0" applyBorder="1" applyAlignment="1">
      <alignment vertical="top"/>
    </xf>
    <xf numFmtId="0" fontId="4" fillId="0" borderId="1" xfId="0" applyFont="1" applyBorder="1" applyAlignment="1" applyProtection="1">
      <alignment vertical="top"/>
      <protection locked="0"/>
    </xf>
    <xf numFmtId="0" fontId="0" fillId="2" borderId="1" xfId="0" applyFill="1" applyBorder="1" applyAlignment="1">
      <alignment vertical="top"/>
    </xf>
    <xf numFmtId="0" fontId="0" fillId="0" borderId="1" xfId="0" applyBorder="1" applyAlignment="1">
      <alignment horizontal="right" vertical="top" wrapText="1"/>
    </xf>
    <xf numFmtId="0" fontId="0" fillId="2" borderId="1" xfId="0" applyFill="1" applyBorder="1" applyAlignment="1">
      <alignment horizontal="right" vertical="top" wrapText="1"/>
    </xf>
    <xf numFmtId="3" fontId="0" fillId="0" borderId="1" xfId="0" applyNumberFormat="1" applyBorder="1" applyAlignment="1">
      <alignment horizontal="right" vertical="top" wrapText="1"/>
    </xf>
    <xf numFmtId="4" fontId="0" fillId="0" borderId="1" xfId="0" applyNumberFormat="1" applyBorder="1" applyAlignment="1">
      <alignment horizontal="right" vertical="top" wrapText="1"/>
    </xf>
    <xf numFmtId="0" fontId="4" fillId="0" borderId="1" xfId="0" applyFont="1" applyBorder="1" applyAlignment="1" applyProtection="1">
      <alignment horizontal="left" vertical="top"/>
      <protection locked="0"/>
    </xf>
    <xf numFmtId="2" fontId="0" fillId="0" borderId="1" xfId="0" applyNumberFormat="1" applyBorder="1" applyAlignment="1">
      <alignment horizontal="right" vertical="top" wrapText="1"/>
    </xf>
    <xf numFmtId="0" fontId="0" fillId="0" borderId="1" xfId="0" applyBorder="1" applyAlignment="1">
      <alignment horizontal="left" vertical="top" wrapText="1"/>
    </xf>
    <xf numFmtId="0" fontId="0" fillId="2" borderId="0" xfId="0" applyFill="1" applyAlignment="1">
      <alignment horizontal="right" vertical="top" wrapText="1"/>
    </xf>
    <xf numFmtId="3" fontId="0" fillId="0" borderId="1" xfId="0" applyNumberFormat="1" applyBorder="1" applyAlignment="1">
      <alignment horizontal="left" vertical="top" wrapText="1"/>
    </xf>
    <xf numFmtId="3" fontId="0" fillId="2" borderId="1" xfId="0" applyNumberFormat="1" applyFill="1" applyBorder="1" applyAlignment="1">
      <alignment horizontal="right" vertical="top" wrapText="1"/>
    </xf>
    <xf numFmtId="3" fontId="0" fillId="2" borderId="1" xfId="0" applyNumberFormat="1" applyFill="1" applyBorder="1" applyAlignment="1">
      <alignment horizontal="left" vertical="top" wrapText="1"/>
    </xf>
    <xf numFmtId="0" fontId="0" fillId="2" borderId="1" xfId="0" applyFill="1" applyBorder="1" applyAlignment="1">
      <alignment horizontal="left" vertical="top" wrapText="1"/>
    </xf>
    <xf numFmtId="0" fontId="3" fillId="0" borderId="5" xfId="0" applyFont="1" applyBorder="1" applyAlignment="1">
      <alignment horizontal="right" vertical="top"/>
    </xf>
    <xf numFmtId="2" fontId="0" fillId="2" borderId="1" xfId="0" applyNumberFormat="1" applyFill="1" applyBorder="1" applyAlignment="1">
      <alignment horizontal="right" vertical="top" wrapText="1"/>
    </xf>
    <xf numFmtId="164" fontId="3" fillId="4" borderId="0" xfId="0" applyNumberFormat="1" applyFont="1" applyFill="1" applyAlignment="1">
      <alignment horizontal="right" vertical="top"/>
    </xf>
    <xf numFmtId="0" fontId="0" fillId="0" borderId="4" xfId="0" applyBorder="1" applyAlignment="1">
      <alignment vertical="top"/>
    </xf>
    <xf numFmtId="0" fontId="4" fillId="0" borderId="2" xfId="0" applyFont="1" applyBorder="1" applyAlignment="1" applyProtection="1">
      <alignment vertical="top"/>
      <protection locked="0"/>
    </xf>
    <xf numFmtId="0" fontId="4" fillId="0" borderId="4" xfId="0" applyFont="1" applyBorder="1" applyAlignment="1" applyProtection="1">
      <alignment horizontal="left" vertical="top" wrapText="1"/>
      <protection locked="0"/>
    </xf>
    <xf numFmtId="0" fontId="0" fillId="2" borderId="4" xfId="0" applyFill="1" applyBorder="1" applyAlignment="1">
      <alignment vertical="top"/>
    </xf>
    <xf numFmtId="4" fontId="0" fillId="0" borderId="4" xfId="0" applyNumberFormat="1" applyBorder="1" applyAlignment="1">
      <alignment vertical="top"/>
    </xf>
    <xf numFmtId="0" fontId="0" fillId="4" borderId="0" xfId="0" applyFill="1" applyAlignment="1">
      <alignment vertical="top"/>
    </xf>
    <xf numFmtId="0" fontId="4" fillId="4" borderId="0" xfId="0" applyFont="1" applyFill="1" applyAlignment="1" applyProtection="1">
      <alignment vertical="top"/>
      <protection locked="0"/>
    </xf>
    <xf numFmtId="0" fontId="4" fillId="4" borderId="0" xfId="0" applyFont="1" applyFill="1" applyAlignment="1" applyProtection="1">
      <alignment horizontal="left" vertical="top" wrapText="1"/>
      <protection locked="0"/>
    </xf>
    <xf numFmtId="4" fontId="0" fillId="4" borderId="0" xfId="0" applyNumberFormat="1" applyFill="1" applyAlignment="1">
      <alignment vertical="top"/>
    </xf>
    <xf numFmtId="4" fontId="1" fillId="4" borderId="0" xfId="0" applyNumberFormat="1" applyFont="1" applyFill="1" applyAlignment="1">
      <alignment vertical="top"/>
    </xf>
    <xf numFmtId="4" fontId="1" fillId="0" borderId="1" xfId="0" applyNumberFormat="1" applyFont="1" applyBorder="1" applyAlignment="1">
      <alignment horizontal="right" vertical="top"/>
    </xf>
    <xf numFmtId="165" fontId="0" fillId="0" borderId="2" xfId="0" applyNumberFormat="1" applyBorder="1" applyAlignment="1">
      <alignment horizontal="right" vertical="top"/>
    </xf>
    <xf numFmtId="165" fontId="3" fillId="0" borderId="1" xfId="0" applyNumberFormat="1" applyFont="1" applyBorder="1" applyAlignment="1">
      <alignment horizontal="right" vertical="top"/>
    </xf>
    <xf numFmtId="165" fontId="3" fillId="0" borderId="5" xfId="0" applyNumberFormat="1" applyFont="1" applyBorder="1" applyAlignment="1">
      <alignment horizontal="right" vertical="top"/>
    </xf>
    <xf numFmtId="165" fontId="0" fillId="0" borderId="1" xfId="0" applyNumberFormat="1" applyBorder="1" applyAlignment="1">
      <alignment vertical="top"/>
    </xf>
    <xf numFmtId="165" fontId="0" fillId="0" borderId="1" xfId="0" applyNumberFormat="1" applyBorder="1" applyAlignment="1">
      <alignment horizontal="right" vertical="top"/>
    </xf>
    <xf numFmtId="165" fontId="3" fillId="4" borderId="1" xfId="1" applyNumberFormat="1" applyFont="1" applyFill="1" applyBorder="1" applyAlignment="1">
      <alignment horizontal="right" vertical="center"/>
    </xf>
    <xf numFmtId="165" fontId="3" fillId="5" borderId="1" xfId="0" applyNumberFormat="1" applyFont="1" applyFill="1" applyBorder="1" applyAlignment="1">
      <alignment horizontal="right" vertical="center"/>
    </xf>
    <xf numFmtId="165" fontId="3" fillId="4" borderId="1" xfId="1" applyNumberFormat="1" applyFont="1" applyFill="1" applyBorder="1" applyAlignment="1">
      <alignment vertical="top"/>
    </xf>
    <xf numFmtId="165" fontId="3" fillId="4" borderId="1" xfId="1" applyNumberFormat="1" applyFont="1" applyFill="1" applyBorder="1" applyAlignment="1">
      <alignment horizontal="right" vertical="top"/>
    </xf>
    <xf numFmtId="165" fontId="3" fillId="4" borderId="1" xfId="0" applyNumberFormat="1" applyFont="1" applyFill="1" applyBorder="1" applyAlignment="1">
      <alignment horizontal="right" vertical="top"/>
    </xf>
    <xf numFmtId="165" fontId="3" fillId="0" borderId="0" xfId="0" applyNumberFormat="1" applyFont="1" applyAlignment="1">
      <alignment horizontal="right" vertical="top"/>
    </xf>
    <xf numFmtId="165" fontId="3" fillId="0" borderId="5" xfId="0" applyNumberFormat="1" applyFont="1" applyBorder="1" applyAlignment="1">
      <alignment horizontal="right"/>
    </xf>
    <xf numFmtId="165" fontId="3" fillId="0" borderId="7" xfId="0" applyNumberFormat="1" applyFont="1" applyBorder="1" applyAlignment="1">
      <alignment vertical="top" wrapText="1"/>
    </xf>
    <xf numFmtId="165" fontId="3" fillId="0" borderId="1" xfId="0" applyNumberFormat="1" applyFont="1" applyBorder="1"/>
    <xf numFmtId="4" fontId="1" fillId="0" borderId="1" xfId="0" applyNumberFormat="1" applyFont="1" applyBorder="1" applyAlignment="1">
      <alignment horizontal="right" vertical="top" wrapText="1"/>
    </xf>
    <xf numFmtId="0" fontId="0" fillId="0" borderId="1" xfId="0" applyBorder="1"/>
    <xf numFmtId="0" fontId="4" fillId="0" borderId="1" xfId="0" applyFont="1" applyBorder="1" applyProtection="1">
      <protection locked="0"/>
    </xf>
    <xf numFmtId="0" fontId="4" fillId="0" borderId="1" xfId="0" applyFont="1" applyBorder="1" applyAlignment="1" applyProtection="1">
      <alignment horizontal="left" wrapText="1"/>
      <protection locked="0"/>
    </xf>
    <xf numFmtId="4" fontId="0" fillId="0" borderId="1" xfId="0" applyNumberFormat="1" applyBorder="1"/>
    <xf numFmtId="0" fontId="0" fillId="2" borderId="1" xfId="0" applyFill="1" applyBorder="1"/>
    <xf numFmtId="0" fontId="1" fillId="4" borderId="0" xfId="0" applyFont="1" applyFill="1" applyAlignment="1">
      <alignment horizontal="right" vertical="top"/>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0" borderId="23" xfId="0" applyBorder="1" applyAlignment="1">
      <alignment horizontal="left" vertical="top"/>
    </xf>
    <xf numFmtId="165" fontId="1" fillId="0" borderId="24" xfId="0" applyNumberFormat="1" applyFont="1" applyBorder="1"/>
    <xf numFmtId="4" fontId="1" fillId="4" borderId="11" xfId="0" applyNumberFormat="1" applyFont="1" applyFill="1" applyBorder="1"/>
    <xf numFmtId="0" fontId="11" fillId="7" borderId="16" xfId="0" applyFont="1" applyFill="1" applyBorder="1" applyAlignment="1" applyProtection="1">
      <alignment vertical="top" wrapText="1"/>
      <protection locked="0"/>
    </xf>
    <xf numFmtId="0" fontId="11" fillId="7" borderId="12" xfId="0" applyFont="1" applyFill="1" applyBorder="1" applyAlignment="1" applyProtection="1">
      <alignment horizontal="center" vertical="top" wrapText="1"/>
      <protection locked="0"/>
    </xf>
    <xf numFmtId="0" fontId="11" fillId="7" borderId="37" xfId="0" applyFont="1" applyFill="1" applyBorder="1" applyAlignment="1" applyProtection="1">
      <alignment horizontal="center" vertical="top" wrapText="1"/>
      <protection locked="0"/>
    </xf>
    <xf numFmtId="49" fontId="11" fillId="7" borderId="45" xfId="0" applyNumberFormat="1" applyFont="1" applyFill="1" applyBorder="1" applyAlignment="1" applyProtection="1">
      <alignment horizontal="left" vertical="top"/>
      <protection locked="0"/>
    </xf>
    <xf numFmtId="49" fontId="11" fillId="7" borderId="39" xfId="0" applyNumberFormat="1" applyFont="1" applyFill="1" applyBorder="1" applyAlignment="1" applyProtection="1">
      <alignment horizontal="left" vertical="top"/>
      <protection locked="0"/>
    </xf>
    <xf numFmtId="0" fontId="1" fillId="3" borderId="51"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3" borderId="53" xfId="0" applyFont="1" applyFill="1" applyBorder="1" applyAlignment="1">
      <alignment horizontal="center" vertical="center" wrapText="1"/>
    </xf>
    <xf numFmtId="49" fontId="4" fillId="0" borderId="54" xfId="0" applyNumberFormat="1" applyFont="1" applyBorder="1" applyProtection="1">
      <protection locked="0"/>
    </xf>
    <xf numFmtId="4" fontId="1" fillId="0" borderId="55" xfId="0" applyNumberFormat="1" applyFont="1" applyBorder="1"/>
    <xf numFmtId="4" fontId="1" fillId="4" borderId="58" xfId="0" applyNumberFormat="1" applyFont="1" applyFill="1" applyBorder="1"/>
    <xf numFmtId="0" fontId="0" fillId="0" borderId="54" xfId="0" applyBorder="1" applyAlignment="1">
      <alignment vertical="top"/>
    </xf>
    <xf numFmtId="4" fontId="1" fillId="0" borderId="55" xfId="0" applyNumberFormat="1" applyFont="1" applyBorder="1" applyAlignment="1">
      <alignment vertical="top"/>
    </xf>
    <xf numFmtId="49" fontId="11" fillId="4" borderId="39" xfId="0" applyNumberFormat="1" applyFont="1" applyFill="1" applyBorder="1" applyAlignment="1" applyProtection="1">
      <alignment horizontal="left" vertical="top"/>
      <protection locked="0"/>
    </xf>
    <xf numFmtId="3" fontId="0" fillId="0" borderId="0" xfId="0" applyNumberFormat="1" applyAlignment="1" applyProtection="1">
      <alignment horizontal="right"/>
      <protection locked="0"/>
    </xf>
    <xf numFmtId="3" fontId="0" fillId="0" borderId="1" xfId="0" applyNumberFormat="1" applyBorder="1" applyAlignment="1">
      <alignment horizontal="right" vertical="top"/>
    </xf>
    <xf numFmtId="0" fontId="0" fillId="8" borderId="54" xfId="0" applyFill="1" applyBorder="1" applyAlignment="1">
      <alignment vertical="top"/>
    </xf>
    <xf numFmtId="0" fontId="4" fillId="8" borderId="1" xfId="0" applyFont="1" applyFill="1" applyBorder="1" applyAlignment="1" applyProtection="1">
      <alignment vertical="top"/>
      <protection locked="0"/>
    </xf>
    <xf numFmtId="0" fontId="4" fillId="8" borderId="1" xfId="0" applyFont="1" applyFill="1" applyBorder="1" applyAlignment="1" applyProtection="1">
      <alignment horizontal="left" vertical="top" wrapText="1"/>
      <protection locked="0"/>
    </xf>
    <xf numFmtId="0" fontId="0" fillId="8" borderId="1" xfId="0" applyFill="1" applyBorder="1" applyAlignment="1">
      <alignment vertical="top"/>
    </xf>
    <xf numFmtId="3" fontId="0" fillId="8" borderId="1" xfId="0" applyNumberFormat="1" applyFill="1" applyBorder="1" applyAlignment="1">
      <alignment horizontal="right" vertical="top"/>
    </xf>
    <xf numFmtId="4" fontId="0" fillId="8" borderId="1" xfId="0" applyNumberFormat="1" applyFill="1" applyBorder="1" applyAlignment="1">
      <alignment vertical="top"/>
    </xf>
    <xf numFmtId="165" fontId="3" fillId="8" borderId="1" xfId="1" applyNumberFormat="1" applyFont="1" applyFill="1" applyBorder="1" applyAlignment="1">
      <alignment horizontal="right" vertical="top"/>
    </xf>
    <xf numFmtId="4" fontId="1" fillId="8" borderId="55" xfId="0" applyNumberFormat="1" applyFont="1" applyFill="1" applyBorder="1" applyAlignment="1">
      <alignment vertical="top"/>
    </xf>
    <xf numFmtId="0" fontId="0" fillId="9" borderId="54" xfId="0" applyFill="1" applyBorder="1" applyAlignment="1">
      <alignment vertical="top"/>
    </xf>
    <xf numFmtId="0" fontId="4" fillId="9" borderId="1" xfId="0" applyFont="1" applyFill="1" applyBorder="1" applyAlignment="1" applyProtection="1">
      <alignment vertical="top"/>
      <protection locked="0"/>
    </xf>
    <xf numFmtId="0" fontId="4" fillId="9" borderId="1" xfId="0" applyFont="1" applyFill="1" applyBorder="1" applyAlignment="1" applyProtection="1">
      <alignment horizontal="left" vertical="top" wrapText="1"/>
      <protection locked="0"/>
    </xf>
    <xf numFmtId="3" fontId="0" fillId="9" borderId="1" xfId="0" applyNumberFormat="1" applyFill="1" applyBorder="1" applyAlignment="1">
      <alignment horizontal="right" vertical="top"/>
    </xf>
    <xf numFmtId="0" fontId="0" fillId="9" borderId="1" xfId="0" applyFill="1" applyBorder="1" applyAlignment="1">
      <alignment vertical="top"/>
    </xf>
    <xf numFmtId="4" fontId="0" fillId="9" borderId="1" xfId="0" applyNumberFormat="1" applyFill="1" applyBorder="1" applyAlignment="1">
      <alignment vertical="top"/>
    </xf>
    <xf numFmtId="165" fontId="3" fillId="9" borderId="1" xfId="1" applyNumberFormat="1" applyFont="1" applyFill="1" applyBorder="1" applyAlignment="1">
      <alignment horizontal="right" vertical="top"/>
    </xf>
    <xf numFmtId="4" fontId="1" fillId="9" borderId="55" xfId="0" applyNumberFormat="1" applyFont="1" applyFill="1" applyBorder="1" applyAlignment="1">
      <alignment vertical="top"/>
    </xf>
    <xf numFmtId="165" fontId="3" fillId="9" borderId="1" xfId="0" applyNumberFormat="1" applyFont="1" applyFill="1" applyBorder="1" applyAlignment="1">
      <alignment horizontal="right" vertical="top"/>
    </xf>
    <xf numFmtId="3" fontId="11" fillId="7" borderId="12" xfId="0" applyNumberFormat="1" applyFont="1" applyFill="1" applyBorder="1" applyAlignment="1" applyProtection="1">
      <alignment horizontal="center" vertical="top" wrapText="1"/>
      <protection locked="0"/>
    </xf>
    <xf numFmtId="49" fontId="11" fillId="10" borderId="39" xfId="0" applyNumberFormat="1" applyFont="1" applyFill="1" applyBorder="1" applyAlignment="1" applyProtection="1">
      <alignment horizontal="left" vertical="top"/>
      <protection locked="0"/>
    </xf>
    <xf numFmtId="3" fontId="11" fillId="11" borderId="12" xfId="0" applyNumberFormat="1" applyFont="1" applyFill="1" applyBorder="1" applyAlignment="1" applyProtection="1">
      <alignment horizontal="center" vertical="top" wrapText="1"/>
      <protection locked="0"/>
    </xf>
    <xf numFmtId="49" fontId="11" fillId="10" borderId="45" xfId="0" applyNumberFormat="1" applyFont="1" applyFill="1" applyBorder="1" applyAlignment="1" applyProtection="1">
      <alignment horizontal="left" vertical="top"/>
      <protection locked="0"/>
    </xf>
    <xf numFmtId="0" fontId="11" fillId="10" borderId="12" xfId="0" applyFont="1" applyFill="1" applyBorder="1" applyAlignment="1" applyProtection="1">
      <alignment horizontal="center" vertical="top" wrapText="1"/>
      <protection locked="0"/>
    </xf>
    <xf numFmtId="1" fontId="11" fillId="10" borderId="12" xfId="0" applyNumberFormat="1" applyFont="1" applyFill="1" applyBorder="1" applyAlignment="1" applyProtection="1">
      <alignment horizontal="center" vertical="top" wrapText="1"/>
      <protection locked="0"/>
    </xf>
    <xf numFmtId="0" fontId="11" fillId="10" borderId="16" xfId="0" applyFont="1" applyFill="1" applyBorder="1" applyAlignment="1" applyProtection="1">
      <alignment vertical="top" wrapText="1"/>
      <protection locked="0"/>
    </xf>
    <xf numFmtId="0" fontId="11" fillId="10" borderId="37" xfId="0" applyFont="1" applyFill="1" applyBorder="1" applyAlignment="1" applyProtection="1">
      <alignment horizontal="center" vertical="top" wrapText="1"/>
      <protection locked="0"/>
    </xf>
    <xf numFmtId="0" fontId="0" fillId="0" borderId="3" xfId="0" applyBorder="1" applyAlignment="1">
      <alignment horizontal="left" vertical="top" wrapText="1"/>
    </xf>
    <xf numFmtId="0" fontId="10" fillId="4" borderId="27" xfId="0" applyFont="1" applyFill="1" applyBorder="1" applyAlignment="1">
      <alignment vertical="center"/>
    </xf>
    <xf numFmtId="0" fontId="0" fillId="4" borderId="38" xfId="0" applyFill="1" applyBorder="1"/>
    <xf numFmtId="0" fontId="0" fillId="4" borderId="0" xfId="0" applyFill="1" applyAlignment="1">
      <alignment horizontal="right" vertical="top"/>
    </xf>
    <xf numFmtId="14" fontId="0" fillId="4" borderId="38" xfId="0" applyNumberFormat="1" applyFill="1" applyBorder="1"/>
    <xf numFmtId="0" fontId="8" fillId="6" borderId="28" xfId="0" applyFont="1" applyFill="1" applyBorder="1" applyAlignment="1">
      <alignment vertical="top"/>
    </xf>
    <xf numFmtId="0" fontId="8" fillId="6" borderId="29" xfId="0" applyFont="1" applyFill="1" applyBorder="1" applyAlignment="1">
      <alignment vertical="top"/>
    </xf>
    <xf numFmtId="0" fontId="0" fillId="6" borderId="29" xfId="0" applyFill="1" applyBorder="1" applyAlignment="1">
      <alignment horizontal="left" vertical="center"/>
    </xf>
    <xf numFmtId="0" fontId="8" fillId="6" borderId="30" xfId="0" applyFont="1" applyFill="1" applyBorder="1" applyAlignment="1">
      <alignment vertical="top"/>
    </xf>
    <xf numFmtId="0" fontId="0" fillId="4" borderId="31" xfId="0" applyFill="1" applyBorder="1"/>
    <xf numFmtId="0" fontId="0" fillId="4" borderId="32" xfId="0" applyFill="1" applyBorder="1"/>
    <xf numFmtId="0" fontId="1" fillId="4" borderId="0" xfId="0" applyFont="1" applyFill="1"/>
    <xf numFmtId="0" fontId="0" fillId="4" borderId="0" xfId="0" applyFill="1" applyAlignment="1">
      <alignment horizontal="left" vertical="top"/>
    </xf>
    <xf numFmtId="0" fontId="13" fillId="6" borderId="59"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4" xfId="0" applyFont="1" applyFill="1" applyBorder="1" applyAlignment="1">
      <alignment horizontal="center" vertical="center" wrapText="1"/>
    </xf>
    <xf numFmtId="49" fontId="11" fillId="7" borderId="60" xfId="0" applyNumberFormat="1" applyFont="1" applyFill="1" applyBorder="1" applyAlignment="1">
      <alignment horizontal="left" vertical="top"/>
    </xf>
    <xf numFmtId="49" fontId="11" fillId="7" borderId="39" xfId="0" applyNumberFormat="1" applyFont="1" applyFill="1" applyBorder="1" applyAlignment="1">
      <alignment horizontal="left" vertical="top"/>
    </xf>
    <xf numFmtId="49" fontId="11" fillId="7" borderId="37" xfId="0" applyNumberFormat="1" applyFont="1" applyFill="1" applyBorder="1" applyAlignment="1">
      <alignment horizontal="left" vertical="top"/>
    </xf>
    <xf numFmtId="4" fontId="16" fillId="0" borderId="32" xfId="0" applyNumberFormat="1" applyFont="1" applyBorder="1" applyAlignment="1">
      <alignment horizontal="right" vertical="center"/>
    </xf>
    <xf numFmtId="49" fontId="11" fillId="10" borderId="60" xfId="0" applyNumberFormat="1" applyFont="1" applyFill="1" applyBorder="1" applyAlignment="1">
      <alignment horizontal="left" vertical="top"/>
    </xf>
    <xf numFmtId="49" fontId="11" fillId="10" borderId="39" xfId="0" applyNumberFormat="1" applyFont="1" applyFill="1" applyBorder="1" applyAlignment="1">
      <alignment horizontal="left" vertical="top"/>
    </xf>
    <xf numFmtId="49" fontId="11" fillId="10" borderId="37" xfId="0" applyNumberFormat="1" applyFont="1" applyFill="1" applyBorder="1" applyAlignment="1">
      <alignment horizontal="left" vertical="top"/>
    </xf>
    <xf numFmtId="4" fontId="1" fillId="10" borderId="46" xfId="0" applyNumberFormat="1" applyFont="1" applyFill="1" applyBorder="1" applyAlignment="1">
      <alignment horizontal="right" vertical="center" wrapText="1"/>
    </xf>
    <xf numFmtId="4" fontId="1" fillId="7" borderId="46" xfId="0" applyNumberFormat="1" applyFont="1" applyFill="1" applyBorder="1" applyAlignment="1">
      <alignment horizontal="right" vertical="center" wrapText="1"/>
    </xf>
    <xf numFmtId="0" fontId="11" fillId="4" borderId="0" xfId="0" applyFont="1" applyFill="1" applyAlignment="1">
      <alignment vertical="top" wrapText="1"/>
    </xf>
    <xf numFmtId="49" fontId="11" fillId="4" borderId="60" xfId="0" applyNumberFormat="1" applyFont="1" applyFill="1" applyBorder="1" applyAlignment="1">
      <alignment horizontal="left" vertical="top"/>
    </xf>
    <xf numFmtId="49" fontId="11" fillId="4" borderId="37" xfId="0" applyNumberFormat="1" applyFont="1" applyFill="1" applyBorder="1" applyAlignment="1">
      <alignment horizontal="left" vertical="top"/>
    </xf>
    <xf numFmtId="4" fontId="1" fillId="4" borderId="46" xfId="0" applyNumberFormat="1" applyFont="1" applyFill="1" applyBorder="1" applyAlignment="1">
      <alignment horizontal="right" vertical="center" wrapText="1"/>
    </xf>
    <xf numFmtId="49" fontId="11" fillId="11" borderId="60" xfId="0" applyNumberFormat="1" applyFont="1" applyFill="1" applyBorder="1" applyAlignment="1">
      <alignment horizontal="left" vertical="top"/>
    </xf>
    <xf numFmtId="49" fontId="11" fillId="11" borderId="37" xfId="0" applyNumberFormat="1" applyFont="1" applyFill="1" applyBorder="1" applyAlignment="1">
      <alignment horizontal="left" vertical="top"/>
    </xf>
    <xf numFmtId="4" fontId="9" fillId="6" borderId="50" xfId="0" applyNumberFormat="1" applyFont="1" applyFill="1" applyBorder="1" applyAlignment="1">
      <alignment horizontal="center" vertical="center"/>
    </xf>
    <xf numFmtId="0" fontId="1" fillId="4" borderId="0" xfId="0" applyFont="1" applyFill="1" applyAlignment="1">
      <alignment horizontal="center" vertical="center"/>
    </xf>
    <xf numFmtId="0" fontId="1" fillId="4" borderId="0" xfId="0" applyFont="1" applyFill="1" applyAlignment="1">
      <alignment horizontal="right" vertical="center"/>
    </xf>
    <xf numFmtId="4" fontId="9" fillId="4" borderId="0" xfId="0" applyNumberFormat="1" applyFont="1" applyFill="1" applyAlignment="1">
      <alignment horizontal="center" vertical="center"/>
    </xf>
    <xf numFmtId="0" fontId="0" fillId="4" borderId="33" xfId="0" applyFill="1" applyBorder="1"/>
    <xf numFmtId="0" fontId="0" fillId="4" borderId="34" xfId="0" applyFill="1" applyBorder="1"/>
    <xf numFmtId="0" fontId="0" fillId="4" borderId="35" xfId="0" applyFill="1" applyBorder="1"/>
    <xf numFmtId="0" fontId="11" fillId="4" borderId="0" xfId="0" applyFont="1" applyFill="1" applyAlignment="1">
      <alignment vertical="top"/>
    </xf>
    <xf numFmtId="0" fontId="11" fillId="4" borderId="0" xfId="0" quotePrefix="1" applyFont="1" applyFill="1" applyAlignment="1">
      <alignment horizontal="right" vertical="top"/>
    </xf>
    <xf numFmtId="0" fontId="0" fillId="4" borderId="0" xfId="0" applyFill="1" applyAlignment="1">
      <alignment horizontal="right"/>
    </xf>
    <xf numFmtId="0" fontId="11" fillId="4" borderId="0" xfId="0" quotePrefix="1" applyFont="1" applyFill="1" applyAlignment="1">
      <alignment vertical="top"/>
    </xf>
    <xf numFmtId="14" fontId="0" fillId="4" borderId="38" xfId="0" applyNumberFormat="1" applyFill="1" applyBorder="1" applyAlignment="1" applyProtection="1">
      <alignment vertical="top"/>
      <protection locked="0"/>
    </xf>
    <xf numFmtId="4" fontId="1" fillId="7" borderId="46" xfId="0" applyNumberFormat="1" applyFont="1" applyFill="1" applyBorder="1" applyAlignment="1">
      <alignment horizontal="right" vertical="top" wrapText="1"/>
    </xf>
    <xf numFmtId="4" fontId="1" fillId="10" borderId="46" xfId="0" applyNumberFormat="1" applyFont="1" applyFill="1" applyBorder="1" applyAlignment="1">
      <alignment horizontal="right" vertical="top" wrapText="1"/>
    </xf>
    <xf numFmtId="0" fontId="11" fillId="4" borderId="0" xfId="0" quotePrefix="1" applyFont="1" applyFill="1" applyAlignment="1">
      <alignment vertical="top" wrapText="1"/>
    </xf>
    <xf numFmtId="0" fontId="0" fillId="4" borderId="0" xfId="0" quotePrefix="1" applyFill="1" applyAlignment="1">
      <alignment vertical="top"/>
    </xf>
    <xf numFmtId="0" fontId="0" fillId="4" borderId="0" xfId="0" applyFill="1" applyAlignment="1">
      <alignment vertical="top" wrapText="1"/>
    </xf>
    <xf numFmtId="0" fontId="17" fillId="0" borderId="0" xfId="0" applyFont="1"/>
    <xf numFmtId="0" fontId="17" fillId="0" borderId="0" xfId="0" applyFont="1" applyAlignment="1">
      <alignment horizontal="center" vertical="center" wrapText="1"/>
    </xf>
    <xf numFmtId="0" fontId="18" fillId="0" borderId="0" xfId="0" applyFont="1" applyAlignment="1">
      <alignment vertical="center"/>
    </xf>
    <xf numFmtId="0" fontId="18" fillId="0" borderId="0" xfId="0" applyFont="1" applyAlignment="1">
      <alignment horizontal="right" vertical="center"/>
    </xf>
    <xf numFmtId="165" fontId="18" fillId="0" borderId="0" xfId="0" applyNumberFormat="1" applyFont="1" applyAlignment="1">
      <alignment vertical="center"/>
    </xf>
    <xf numFmtId="4" fontId="18" fillId="0" borderId="0" xfId="0" applyNumberFormat="1" applyFont="1" applyAlignment="1">
      <alignment vertical="center"/>
    </xf>
    <xf numFmtId="165" fontId="18" fillId="0" borderId="0" xfId="0" applyNumberFormat="1" applyFont="1" applyAlignment="1">
      <alignment horizontal="right" vertical="center"/>
    </xf>
    <xf numFmtId="165" fontId="18" fillId="0" borderId="0" xfId="1" applyNumberFormat="1" applyFont="1" applyFill="1" applyBorder="1" applyAlignment="1" applyProtection="1">
      <alignment horizontal="right" vertical="center"/>
    </xf>
    <xf numFmtId="165" fontId="18" fillId="0" borderId="0" xfId="1" applyNumberFormat="1" applyFont="1" applyFill="1" applyBorder="1" applyAlignment="1" applyProtection="1">
      <alignment vertical="center"/>
    </xf>
    <xf numFmtId="0" fontId="18" fillId="0" borderId="0" xfId="0" applyFont="1"/>
    <xf numFmtId="165" fontId="18" fillId="0" borderId="0" xfId="0" applyNumberFormat="1" applyFont="1" applyAlignment="1">
      <alignment vertical="top"/>
    </xf>
    <xf numFmtId="165" fontId="18" fillId="0" borderId="0" xfId="1" applyNumberFormat="1" applyFont="1" applyFill="1" applyBorder="1" applyAlignment="1" applyProtection="1">
      <alignment horizontal="right" vertical="top"/>
    </xf>
    <xf numFmtId="4" fontId="19" fillId="0" borderId="0" xfId="0" applyNumberFormat="1" applyFont="1" applyAlignment="1">
      <alignment vertical="center"/>
    </xf>
    <xf numFmtId="0" fontId="19" fillId="0" borderId="0" xfId="0" applyFont="1" applyAlignment="1">
      <alignment vertical="center"/>
    </xf>
    <xf numFmtId="0" fontId="19" fillId="0" borderId="0" xfId="0" applyFont="1"/>
    <xf numFmtId="0" fontId="20" fillId="0" borderId="0" xfId="0" applyFont="1"/>
    <xf numFmtId="3" fontId="0" fillId="0" borderId="4" xfId="0" applyNumberFormat="1" applyBorder="1" applyAlignment="1">
      <alignment vertical="top"/>
    </xf>
    <xf numFmtId="0" fontId="0" fillId="0" borderId="1" xfId="0" applyBorder="1" applyAlignment="1">
      <alignment horizontal="right" vertical="top"/>
    </xf>
    <xf numFmtId="165" fontId="19" fillId="0" borderId="0" xfId="0" applyNumberFormat="1" applyFont="1"/>
    <xf numFmtId="49" fontId="11" fillId="0" borderId="39" xfId="0" applyNumberFormat="1" applyFont="1" applyBorder="1" applyAlignment="1" applyProtection="1">
      <alignment horizontal="left" vertical="top"/>
      <protection locked="0"/>
    </xf>
    <xf numFmtId="3" fontId="0" fillId="0" borderId="1" xfId="0" applyNumberFormat="1" applyBorder="1" applyAlignment="1">
      <alignment vertical="top"/>
    </xf>
    <xf numFmtId="49" fontId="11" fillId="11" borderId="39" xfId="0" applyNumberFormat="1" applyFont="1" applyFill="1" applyBorder="1" applyAlignment="1" applyProtection="1">
      <alignment horizontal="left" vertical="top"/>
      <protection locked="0"/>
    </xf>
    <xf numFmtId="165" fontId="0" fillId="0" borderId="1" xfId="0" applyNumberFormat="1" applyBorder="1"/>
    <xf numFmtId="0" fontId="17" fillId="0" borderId="0" xfId="0" applyFont="1" applyAlignment="1">
      <alignment horizontal="center" vertical="center"/>
    </xf>
    <xf numFmtId="165" fontId="17" fillId="0" borderId="0" xfId="0" applyNumberFormat="1" applyFont="1" applyAlignment="1">
      <alignment horizontal="right" vertical="top"/>
    </xf>
    <xf numFmtId="49" fontId="18" fillId="0" borderId="0" xfId="0" applyNumberFormat="1" applyFont="1" applyAlignment="1">
      <alignment horizontal="left" vertical="top"/>
    </xf>
    <xf numFmtId="165" fontId="18" fillId="0" borderId="0" xfId="0" applyNumberFormat="1" applyFont="1"/>
    <xf numFmtId="165" fontId="3" fillId="0" borderId="62" xfId="0" applyNumberFormat="1" applyFont="1" applyBorder="1" applyAlignment="1">
      <alignment vertical="top" wrapText="1"/>
    </xf>
    <xf numFmtId="49" fontId="11" fillId="7" borderId="0" xfId="0" applyNumberFormat="1" applyFont="1" applyFill="1" applyAlignment="1">
      <alignment horizontal="left" vertical="top"/>
    </xf>
    <xf numFmtId="4" fontId="1" fillId="7" borderId="0" xfId="0" applyNumberFormat="1" applyFont="1" applyFill="1" applyAlignment="1">
      <alignment horizontal="right" vertical="center" wrapText="1"/>
    </xf>
    <xf numFmtId="49" fontId="11" fillId="4" borderId="0" xfId="0" applyNumberFormat="1" applyFont="1" applyFill="1" applyAlignment="1">
      <alignment horizontal="left" vertical="top"/>
    </xf>
    <xf numFmtId="4" fontId="1" fillId="4" borderId="0" xfId="0" applyNumberFormat="1" applyFont="1" applyFill="1" applyAlignment="1">
      <alignment horizontal="right" vertical="center" wrapText="1"/>
    </xf>
    <xf numFmtId="3" fontId="11" fillId="7" borderId="0" xfId="0" applyNumberFormat="1" applyFont="1" applyFill="1" applyAlignment="1">
      <alignment horizontal="center" vertical="top" wrapText="1"/>
    </xf>
    <xf numFmtId="2" fontId="0" fillId="2" borderId="1" xfId="0" applyNumberFormat="1" applyFill="1" applyBorder="1" applyAlignment="1">
      <alignment horizontal="left" vertical="top" wrapText="1"/>
    </xf>
    <xf numFmtId="0" fontId="0" fillId="0" borderId="63" xfId="0" applyBorder="1" applyAlignment="1">
      <alignment wrapText="1"/>
    </xf>
    <xf numFmtId="0" fontId="0" fillId="0" borderId="63" xfId="0" applyBorder="1" applyAlignment="1">
      <alignment horizontal="left" vertical="top" wrapText="1"/>
    </xf>
    <xf numFmtId="0" fontId="0" fillId="2" borderId="63" xfId="0" applyFill="1" applyBorder="1" applyAlignment="1">
      <alignment horizontal="right" vertical="top" wrapText="1"/>
    </xf>
    <xf numFmtId="165" fontId="3" fillId="0" borderId="63" xfId="0" applyNumberFormat="1" applyFont="1" applyBorder="1" applyAlignment="1">
      <alignment horizontal="right" vertical="top"/>
    </xf>
    <xf numFmtId="0" fontId="23" fillId="0" borderId="0" xfId="0" applyFont="1" applyAlignment="1">
      <alignment horizontal="center" vertical="center" wrapText="1"/>
    </xf>
    <xf numFmtId="165" fontId="24" fillId="0" borderId="0" xfId="0" applyNumberFormat="1" applyFont="1" applyAlignment="1">
      <alignment horizontal="right" vertical="top"/>
    </xf>
    <xf numFmtId="4" fontId="24" fillId="0" borderId="0" xfId="0" applyNumberFormat="1" applyFont="1" applyAlignment="1">
      <alignment vertical="center"/>
    </xf>
    <xf numFmtId="165" fontId="24" fillId="0" borderId="0" xfId="0" applyNumberFormat="1" applyFont="1" applyAlignment="1">
      <alignment vertical="center"/>
    </xf>
    <xf numFmtId="165" fontId="24" fillId="0" borderId="0" xfId="0" applyNumberFormat="1" applyFont="1" applyAlignment="1">
      <alignment horizontal="right" vertical="center"/>
    </xf>
    <xf numFmtId="165" fontId="24" fillId="0" borderId="0" xfId="1" applyNumberFormat="1" applyFont="1" applyFill="1" applyBorder="1" applyAlignment="1" applyProtection="1">
      <alignment horizontal="right" vertical="center"/>
    </xf>
    <xf numFmtId="165" fontId="24" fillId="0" borderId="0" xfId="1" applyNumberFormat="1" applyFont="1" applyFill="1" applyBorder="1" applyAlignment="1" applyProtection="1">
      <alignment vertical="center"/>
    </xf>
    <xf numFmtId="165" fontId="24" fillId="0" borderId="0" xfId="0" applyNumberFormat="1" applyFont="1" applyAlignment="1">
      <alignment vertical="top"/>
    </xf>
    <xf numFmtId="165" fontId="24" fillId="0" borderId="0" xfId="0" applyNumberFormat="1" applyFont="1"/>
    <xf numFmtId="0" fontId="24" fillId="0" borderId="0" xfId="0" applyFont="1"/>
    <xf numFmtId="165" fontId="24" fillId="0" borderId="0" xfId="1" applyNumberFormat="1" applyFont="1" applyFill="1" applyBorder="1" applyAlignment="1" applyProtection="1">
      <alignment horizontal="right" vertical="top"/>
    </xf>
    <xf numFmtId="2" fontId="0" fillId="2" borderId="0" xfId="0" applyNumberFormat="1" applyFill="1" applyAlignment="1">
      <alignment horizontal="left" vertical="top" wrapText="1"/>
    </xf>
    <xf numFmtId="49" fontId="11" fillId="7" borderId="29" xfId="0" applyNumberFormat="1" applyFont="1" applyFill="1" applyBorder="1" applyAlignment="1">
      <alignment horizontal="left" vertical="top"/>
    </xf>
    <xf numFmtId="4" fontId="1" fillId="7" borderId="29" xfId="0" applyNumberFormat="1" applyFont="1" applyFill="1" applyBorder="1" applyAlignment="1">
      <alignment horizontal="right" vertical="center" wrapText="1"/>
    </xf>
    <xf numFmtId="0" fontId="21" fillId="4" borderId="0" xfId="0" applyFont="1" applyFill="1"/>
    <xf numFmtId="49" fontId="11" fillId="7" borderId="12" xfId="0" applyNumberFormat="1" applyFont="1" applyFill="1" applyBorder="1" applyAlignment="1" applyProtection="1">
      <alignment horizontal="center" vertical="top"/>
      <protection locked="0"/>
    </xf>
    <xf numFmtId="49" fontId="11" fillId="10" borderId="12" xfId="0" applyNumberFormat="1" applyFont="1" applyFill="1" applyBorder="1" applyAlignment="1" applyProtection="1">
      <alignment horizontal="center" vertical="top"/>
      <protection locked="0"/>
    </xf>
    <xf numFmtId="49" fontId="11" fillId="0" borderId="12" xfId="0" applyNumberFormat="1" applyFont="1" applyBorder="1" applyAlignment="1" applyProtection="1">
      <alignment horizontal="center" vertical="top"/>
      <protection locked="0"/>
    </xf>
    <xf numFmtId="49" fontId="11" fillId="11" borderId="12" xfId="0" applyNumberFormat="1" applyFont="1" applyFill="1" applyBorder="1" applyAlignment="1" applyProtection="1">
      <alignment horizontal="center" vertical="top"/>
      <protection locked="0"/>
    </xf>
    <xf numFmtId="49" fontId="11" fillId="4" borderId="12" xfId="0" applyNumberFormat="1" applyFont="1" applyFill="1" applyBorder="1" applyAlignment="1" applyProtection="1">
      <alignment horizontal="center" vertical="top"/>
      <protection locked="0"/>
    </xf>
    <xf numFmtId="49" fontId="11" fillId="7" borderId="65" xfId="0" applyNumberFormat="1" applyFont="1" applyFill="1" applyBorder="1" applyAlignment="1">
      <alignment horizontal="left" vertical="top"/>
    </xf>
    <xf numFmtId="3" fontId="11" fillId="7" borderId="29" xfId="0" applyNumberFormat="1" applyFont="1" applyFill="1" applyBorder="1" applyAlignment="1">
      <alignment horizontal="center" vertical="top" wrapText="1"/>
    </xf>
    <xf numFmtId="0" fontId="25" fillId="0" borderId="0" xfId="3"/>
    <xf numFmtId="0" fontId="0" fillId="0" borderId="1" xfId="0" applyBorder="1" applyAlignment="1">
      <alignment wrapText="1"/>
    </xf>
    <xf numFmtId="49" fontId="11" fillId="7" borderId="60" xfId="0" applyNumberFormat="1" applyFont="1" applyFill="1" applyBorder="1" applyAlignment="1" applyProtection="1">
      <alignment horizontal="left" vertical="top"/>
      <protection locked="0"/>
    </xf>
    <xf numFmtId="49" fontId="11" fillId="10" borderId="60" xfId="0" applyNumberFormat="1" applyFont="1" applyFill="1" applyBorder="1" applyAlignment="1" applyProtection="1">
      <alignment horizontal="left" vertical="top"/>
      <protection locked="0"/>
    </xf>
    <xf numFmtId="49" fontId="11" fillId="4" borderId="60" xfId="0" applyNumberFormat="1" applyFont="1" applyFill="1" applyBorder="1" applyAlignment="1" applyProtection="1">
      <alignment horizontal="left" vertical="top"/>
      <protection locked="0"/>
    </xf>
    <xf numFmtId="0" fontId="23" fillId="0" borderId="0" xfId="0" applyFont="1"/>
    <xf numFmtId="0" fontId="3" fillId="0" borderId="1" xfId="0" applyFont="1" applyBorder="1"/>
    <xf numFmtId="49" fontId="11" fillId="11" borderId="60" xfId="0" applyNumberFormat="1" applyFont="1" applyFill="1" applyBorder="1" applyAlignment="1" applyProtection="1">
      <alignment horizontal="left" vertical="top"/>
      <protection locked="0"/>
    </xf>
    <xf numFmtId="0" fontId="11" fillId="4" borderId="32" xfId="0" applyFont="1" applyFill="1" applyBorder="1" applyAlignment="1">
      <alignment vertical="top" wrapText="1"/>
    </xf>
    <xf numFmtId="3" fontId="11" fillId="7" borderId="39" xfId="0" applyNumberFormat="1" applyFont="1" applyFill="1" applyBorder="1" applyAlignment="1" applyProtection="1">
      <alignment horizontal="center" vertical="top"/>
      <protection locked="0"/>
    </xf>
    <xf numFmtId="3" fontId="11" fillId="10" borderId="39" xfId="0" applyNumberFormat="1" applyFont="1" applyFill="1" applyBorder="1" applyAlignment="1" applyProtection="1">
      <alignment horizontal="center" vertical="top"/>
      <protection locked="0"/>
    </xf>
    <xf numFmtId="3" fontId="11" fillId="0" borderId="39" xfId="0" applyNumberFormat="1" applyFont="1" applyBorder="1" applyAlignment="1" applyProtection="1">
      <alignment horizontal="center" vertical="top"/>
      <protection locked="0"/>
    </xf>
    <xf numFmtId="3" fontId="11" fillId="11" borderId="39" xfId="0" applyNumberFormat="1" applyFont="1" applyFill="1" applyBorder="1" applyAlignment="1" applyProtection="1">
      <alignment horizontal="center" vertical="top"/>
      <protection locked="0"/>
    </xf>
    <xf numFmtId="3" fontId="11" fillId="4" borderId="39" xfId="0" applyNumberFormat="1" applyFont="1" applyFill="1" applyBorder="1" applyAlignment="1" applyProtection="1">
      <alignment horizontal="center" vertical="top"/>
      <protection locked="0"/>
    </xf>
    <xf numFmtId="0" fontId="26" fillId="0" borderId="0" xfId="0" applyFont="1" applyAlignment="1">
      <alignment vertical="center"/>
    </xf>
    <xf numFmtId="0" fontId="0" fillId="0" borderId="0" xfId="0" applyProtection="1">
      <protection locked="0"/>
    </xf>
    <xf numFmtId="0" fontId="24" fillId="0" borderId="0" xfId="0" applyFont="1" applyAlignment="1">
      <alignment vertical="center"/>
    </xf>
    <xf numFmtId="0" fontId="24" fillId="0" borderId="0" xfId="0" applyFont="1" applyAlignment="1">
      <alignment horizontal="right" vertical="center"/>
    </xf>
    <xf numFmtId="49" fontId="11" fillId="4" borderId="68" xfId="0" applyNumberFormat="1" applyFont="1" applyFill="1" applyBorder="1" applyAlignment="1" applyProtection="1">
      <alignment horizontal="left" vertical="top"/>
      <protection locked="0"/>
    </xf>
    <xf numFmtId="49" fontId="11" fillId="10" borderId="68" xfId="0" applyNumberFormat="1" applyFont="1" applyFill="1" applyBorder="1" applyAlignment="1" applyProtection="1">
      <alignment horizontal="left" vertical="top"/>
      <protection locked="0"/>
    </xf>
    <xf numFmtId="0" fontId="23" fillId="0" borderId="0" xfId="0" applyFont="1" applyAlignment="1">
      <alignment horizontal="center" vertical="center"/>
    </xf>
    <xf numFmtId="49" fontId="24" fillId="0" borderId="0" xfId="0" applyNumberFormat="1" applyFont="1" applyAlignment="1">
      <alignment horizontal="left" vertical="top"/>
    </xf>
    <xf numFmtId="0" fontId="23" fillId="0" borderId="0" xfId="0" applyFont="1" applyProtection="1">
      <protection locked="0"/>
    </xf>
    <xf numFmtId="0" fontId="24" fillId="0" borderId="0" xfId="0" applyFont="1" applyAlignment="1" applyProtection="1">
      <alignment vertical="center"/>
      <protection locked="0"/>
    </xf>
    <xf numFmtId="0" fontId="24" fillId="0" borderId="0" xfId="0" applyFont="1" applyAlignment="1" applyProtection="1">
      <alignment horizontal="right" vertical="center"/>
      <protection locked="0"/>
    </xf>
    <xf numFmtId="4" fontId="24" fillId="0" borderId="0" xfId="0" applyNumberFormat="1" applyFont="1" applyAlignment="1" applyProtection="1">
      <alignment vertical="center"/>
      <protection locked="0"/>
    </xf>
    <xf numFmtId="0" fontId="24" fillId="0" borderId="0" xfId="0" applyFont="1" applyProtection="1">
      <protection locked="0"/>
    </xf>
    <xf numFmtId="4" fontId="23" fillId="0" borderId="0" xfId="0" applyNumberFormat="1" applyFont="1" applyProtection="1">
      <protection locked="0"/>
    </xf>
    <xf numFmtId="4" fontId="16" fillId="4" borderId="69" xfId="0" applyNumberFormat="1" applyFont="1" applyFill="1" applyBorder="1" applyAlignment="1">
      <alignment horizontal="right" vertical="center"/>
    </xf>
    <xf numFmtId="0" fontId="25" fillId="0" borderId="0" xfId="3" applyProtection="1">
      <protection locked="0"/>
    </xf>
    <xf numFmtId="49" fontId="0" fillId="4" borderId="0" xfId="0" applyNumberFormat="1" applyFill="1" applyAlignment="1" applyProtection="1">
      <alignment horizontal="left" vertical="top"/>
      <protection locked="0"/>
    </xf>
    <xf numFmtId="49" fontId="0" fillId="4" borderId="70" xfId="0" applyNumberFormat="1" applyFill="1" applyBorder="1" applyAlignment="1" applyProtection="1">
      <alignment horizontal="left" vertical="top"/>
      <protection locked="0"/>
    </xf>
    <xf numFmtId="49" fontId="0" fillId="4" borderId="71" xfId="0" applyNumberFormat="1" applyFill="1" applyBorder="1" applyAlignment="1">
      <alignment horizontal="left" vertical="top"/>
    </xf>
    <xf numFmtId="0" fontId="0" fillId="4" borderId="71" xfId="0" applyFill="1" applyBorder="1"/>
    <xf numFmtId="49" fontId="0" fillId="4" borderId="0" xfId="0" applyNumberFormat="1" applyFill="1" applyAlignment="1">
      <alignment horizontal="left" vertical="top"/>
    </xf>
    <xf numFmtId="49" fontId="0" fillId="4" borderId="38" xfId="0" applyNumberFormat="1" applyFill="1" applyBorder="1"/>
    <xf numFmtId="3" fontId="24" fillId="0" borderId="0" xfId="0" applyNumberFormat="1" applyFont="1" applyProtection="1">
      <protection locked="0"/>
    </xf>
    <xf numFmtId="165" fontId="24" fillId="0" borderId="0" xfId="0" applyNumberFormat="1" applyFont="1" applyProtection="1">
      <protection locked="0"/>
    </xf>
    <xf numFmtId="3" fontId="24" fillId="0" borderId="0" xfId="0" applyNumberFormat="1" applyFont="1" applyAlignment="1">
      <alignment horizontal="right" vertical="center"/>
    </xf>
    <xf numFmtId="4" fontId="24" fillId="0" borderId="0" xfId="0" applyNumberFormat="1" applyFont="1"/>
    <xf numFmtId="49" fontId="11" fillId="10" borderId="68" xfId="0" applyNumberFormat="1" applyFont="1" applyFill="1" applyBorder="1" applyAlignment="1">
      <alignment horizontal="left" vertical="top"/>
    </xf>
    <xf numFmtId="49" fontId="11" fillId="4" borderId="68" xfId="0" applyNumberFormat="1" applyFont="1" applyFill="1" applyBorder="1" applyAlignment="1">
      <alignment horizontal="left" vertical="top"/>
    </xf>
    <xf numFmtId="0" fontId="32" fillId="4" borderId="0" xfId="0" applyFont="1" applyFill="1" applyAlignment="1">
      <alignment vertical="top"/>
    </xf>
    <xf numFmtId="49" fontId="11" fillId="4" borderId="39" xfId="0" applyNumberFormat="1" applyFont="1" applyFill="1" applyBorder="1" applyAlignment="1">
      <alignment horizontal="left" vertical="top"/>
    </xf>
    <xf numFmtId="49" fontId="11" fillId="4" borderId="39" xfId="0" applyNumberFormat="1" applyFont="1" applyFill="1" applyBorder="1" applyAlignment="1">
      <alignment horizontal="center" vertical="top"/>
    </xf>
    <xf numFmtId="3" fontId="11" fillId="4" borderId="39" xfId="0" applyNumberFormat="1" applyFont="1" applyFill="1" applyBorder="1" applyAlignment="1">
      <alignment horizontal="center" vertical="top"/>
    </xf>
    <xf numFmtId="3" fontId="11" fillId="7" borderId="67" xfId="0" applyNumberFormat="1" applyFont="1" applyFill="1" applyBorder="1" applyAlignment="1">
      <alignment horizontal="center" vertical="top" wrapText="1"/>
    </xf>
    <xf numFmtId="4" fontId="16" fillId="4" borderId="0" xfId="0" applyNumberFormat="1" applyFont="1" applyFill="1" applyAlignment="1">
      <alignment horizontal="right" vertical="center"/>
    </xf>
    <xf numFmtId="49" fontId="27" fillId="7" borderId="39" xfId="0" applyNumberFormat="1" applyFont="1" applyFill="1" applyBorder="1" applyAlignment="1">
      <alignment horizontal="center" vertical="top"/>
    </xf>
    <xf numFmtId="3" fontId="27" fillId="7" borderId="39" xfId="0" applyNumberFormat="1" applyFont="1" applyFill="1" applyBorder="1" applyAlignment="1">
      <alignment horizontal="center" vertical="top"/>
    </xf>
    <xf numFmtId="3" fontId="27" fillId="7" borderId="37" xfId="0" applyNumberFormat="1" applyFont="1" applyFill="1" applyBorder="1" applyAlignment="1">
      <alignment horizontal="center" vertical="top" wrapText="1"/>
    </xf>
    <xf numFmtId="49" fontId="27" fillId="10" borderId="39" xfId="0" applyNumberFormat="1" applyFont="1" applyFill="1" applyBorder="1" applyAlignment="1">
      <alignment horizontal="center" vertical="top"/>
    </xf>
    <xf numFmtId="3" fontId="27" fillId="10" borderId="39" xfId="0" applyNumberFormat="1" applyFont="1" applyFill="1" applyBorder="1" applyAlignment="1">
      <alignment horizontal="center" vertical="top"/>
    </xf>
    <xf numFmtId="3" fontId="27" fillId="11" borderId="37" xfId="0" applyNumberFormat="1" applyFont="1" applyFill="1" applyBorder="1" applyAlignment="1">
      <alignment horizontal="center" vertical="top" wrapText="1"/>
    </xf>
    <xf numFmtId="49" fontId="27" fillId="0" borderId="39" xfId="0" applyNumberFormat="1" applyFont="1" applyBorder="1" applyAlignment="1">
      <alignment horizontal="center" vertical="top"/>
    </xf>
    <xf numFmtId="3" fontId="27" fillId="4" borderId="39" xfId="0" applyNumberFormat="1" applyFont="1" applyFill="1" applyBorder="1" applyAlignment="1">
      <alignment horizontal="center" vertical="top"/>
    </xf>
    <xf numFmtId="49" fontId="27" fillId="11" borderId="39" xfId="0" applyNumberFormat="1" applyFont="1" applyFill="1" applyBorder="1" applyAlignment="1">
      <alignment horizontal="center" vertical="top"/>
    </xf>
    <xf numFmtId="3" fontId="27" fillId="11" borderId="39" xfId="0" applyNumberFormat="1" applyFont="1" applyFill="1" applyBorder="1" applyAlignment="1">
      <alignment horizontal="center" vertical="top"/>
    </xf>
    <xf numFmtId="49" fontId="27" fillId="7" borderId="45" xfId="0" applyNumberFormat="1" applyFont="1" applyFill="1" applyBorder="1" applyAlignment="1">
      <alignment horizontal="left" vertical="top"/>
    </xf>
    <xf numFmtId="4" fontId="28" fillId="0" borderId="32" xfId="0" applyNumberFormat="1" applyFont="1" applyBorder="1" applyAlignment="1">
      <alignment horizontal="right" vertical="center"/>
    </xf>
    <xf numFmtId="49" fontId="27" fillId="10" borderId="45" xfId="0" applyNumberFormat="1" applyFont="1" applyFill="1" applyBorder="1" applyAlignment="1">
      <alignment horizontal="left" vertical="top"/>
    </xf>
    <xf numFmtId="4" fontId="28" fillId="10" borderId="32" xfId="0" applyNumberFormat="1" applyFont="1" applyFill="1" applyBorder="1" applyAlignment="1">
      <alignment horizontal="right" vertical="center"/>
    </xf>
    <xf numFmtId="49" fontId="27" fillId="4" borderId="45" xfId="0" applyNumberFormat="1" applyFont="1" applyFill="1" applyBorder="1" applyAlignment="1">
      <alignment horizontal="left" vertical="top"/>
    </xf>
    <xf numFmtId="49" fontId="27" fillId="11" borderId="45" xfId="0" applyNumberFormat="1" applyFont="1" applyFill="1" applyBorder="1" applyAlignment="1">
      <alignment horizontal="left" vertical="top"/>
    </xf>
    <xf numFmtId="0" fontId="21" fillId="4" borderId="0" xfId="0" quotePrefix="1" applyFont="1" applyFill="1" applyAlignment="1">
      <alignment vertical="top" wrapText="1"/>
    </xf>
    <xf numFmtId="0" fontId="0" fillId="0" borderId="77" xfId="0" applyBorder="1" applyProtection="1">
      <protection locked="0"/>
    </xf>
    <xf numFmtId="0" fontId="0" fillId="0" borderId="56" xfId="0" applyBorder="1" applyProtection="1">
      <protection locked="0"/>
    </xf>
    <xf numFmtId="0" fontId="0" fillId="0" borderId="57" xfId="0" applyBorder="1" applyProtection="1">
      <protection locked="0"/>
    </xf>
    <xf numFmtId="0" fontId="0" fillId="10" borderId="77" xfId="0" applyFill="1" applyBorder="1" applyProtection="1">
      <protection locked="0"/>
    </xf>
    <xf numFmtId="0" fontId="0" fillId="10" borderId="0" xfId="0" applyFill="1" applyProtection="1">
      <protection locked="0"/>
    </xf>
    <xf numFmtId="0" fontId="0" fillId="0" borderId="78" xfId="0" applyBorder="1"/>
    <xf numFmtId="0" fontId="0" fillId="10" borderId="78" xfId="0" applyFill="1" applyBorder="1"/>
    <xf numFmtId="0" fontId="0" fillId="0" borderId="58" xfId="0" applyBorder="1"/>
    <xf numFmtId="0" fontId="13" fillId="6" borderId="72"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4" borderId="0" xfId="0" applyFill="1" applyProtection="1">
      <protection locked="0"/>
    </xf>
    <xf numFmtId="0" fontId="0" fillId="0" borderId="78" xfId="0" applyBorder="1" applyProtection="1">
      <protection locked="0"/>
    </xf>
    <xf numFmtId="0" fontId="0" fillId="10" borderId="78" xfId="0" applyFill="1" applyBorder="1" applyProtection="1">
      <protection locked="0"/>
    </xf>
    <xf numFmtId="0" fontId="0" fillId="0" borderId="58" xfId="0" applyBorder="1" applyProtection="1">
      <protection locked="0"/>
    </xf>
    <xf numFmtId="0" fontId="35" fillId="4" borderId="0" xfId="0" applyFont="1" applyFill="1" applyProtection="1">
      <protection locked="0"/>
    </xf>
    <xf numFmtId="0" fontId="34" fillId="4" borderId="0" xfId="0" applyFont="1" applyFill="1" applyAlignment="1">
      <alignment horizontal="center" vertical="center" wrapText="1"/>
    </xf>
    <xf numFmtId="0" fontId="35" fillId="4" borderId="0" xfId="0" applyFont="1" applyFill="1"/>
    <xf numFmtId="0" fontId="0" fillId="0" borderId="0" xfId="0" applyAlignment="1">
      <alignment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0" fillId="0" borderId="0" xfId="0" applyAlignment="1">
      <alignment horizontal="left" vertical="top"/>
    </xf>
    <xf numFmtId="0" fontId="4" fillId="0" borderId="1" xfId="0" applyFont="1" applyBorder="1" applyAlignment="1">
      <alignment vertical="top"/>
    </xf>
    <xf numFmtId="0" fontId="4" fillId="0" borderId="1" xfId="0" applyFont="1" applyBorder="1" applyAlignment="1">
      <alignment horizontal="left" vertical="top"/>
    </xf>
    <xf numFmtId="0" fontId="11" fillId="0" borderId="1" xfId="0" applyFont="1" applyBorder="1"/>
    <xf numFmtId="0" fontId="4" fillId="0" borderId="2" xfId="0" applyFont="1" applyBorder="1" applyAlignment="1">
      <alignment vertical="top" wrapText="1"/>
    </xf>
    <xf numFmtId="0" fontId="4" fillId="0" borderId="4" xfId="0" applyFont="1" applyBorder="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0" fontId="0" fillId="0" borderId="0" xfId="0" applyAlignment="1">
      <alignment vertical="top"/>
    </xf>
    <xf numFmtId="0" fontId="0" fillId="0" borderId="0" xfId="0" applyAlignment="1">
      <alignment vertical="top" wrapText="1"/>
    </xf>
    <xf numFmtId="0" fontId="17" fillId="0" borderId="0" xfId="0" quotePrefix="1" applyFont="1"/>
    <xf numFmtId="0" fontId="0" fillId="0" borderId="8" xfId="0" applyBorder="1" applyAlignment="1">
      <alignment horizontal="left" vertical="top" wrapText="1"/>
    </xf>
    <xf numFmtId="0" fontId="1" fillId="3" borderId="3" xfId="0" applyFont="1" applyFill="1" applyBorder="1" applyAlignment="1">
      <alignment horizontal="center" vertical="center" wrapText="1"/>
    </xf>
    <xf numFmtId="0" fontId="1" fillId="0" borderId="0" xfId="0" applyFont="1" applyAlignment="1">
      <alignment vertical="top"/>
    </xf>
    <xf numFmtId="0" fontId="1" fillId="0" borderId="0" xfId="0" applyFont="1" applyAlignment="1">
      <alignment horizontal="left" vertical="top"/>
    </xf>
    <xf numFmtId="0" fontId="0" fillId="4" borderId="0" xfId="0" applyFill="1" applyAlignment="1">
      <alignment horizontal="left" vertical="top" wrapText="1"/>
    </xf>
    <xf numFmtId="0" fontId="11" fillId="4" borderId="0" xfId="0" quotePrefix="1" applyFont="1" applyFill="1" applyAlignment="1">
      <alignment horizontal="left" vertical="top" wrapText="1"/>
    </xf>
    <xf numFmtId="43" fontId="0" fillId="0" borderId="0" xfId="1" applyFont="1" applyAlignment="1" applyProtection="1">
      <alignment wrapText="1"/>
    </xf>
    <xf numFmtId="0" fontId="25" fillId="4" borderId="0" xfId="3" applyFill="1" applyBorder="1" applyProtection="1">
      <protection locked="0"/>
    </xf>
    <xf numFmtId="0" fontId="0" fillId="4" borderId="77" xfId="0" applyFill="1" applyBorder="1"/>
    <xf numFmtId="0" fontId="25" fillId="4" borderId="0" xfId="3" applyFill="1" applyBorder="1" applyProtection="1"/>
    <xf numFmtId="0" fontId="0" fillId="4" borderId="78" xfId="0" applyFill="1" applyBorder="1"/>
    <xf numFmtId="0" fontId="12" fillId="4" borderId="0" xfId="0" applyFont="1" applyFill="1" applyAlignment="1">
      <alignment horizontal="left" vertical="top"/>
    </xf>
    <xf numFmtId="0" fontId="12" fillId="4" borderId="0" xfId="0" applyFont="1" applyFill="1" applyAlignment="1">
      <alignment horizontal="center" vertical="top"/>
    </xf>
    <xf numFmtId="0" fontId="12" fillId="4" borderId="0" xfId="0" applyFont="1" applyFill="1" applyAlignment="1">
      <alignment horizontal="right" vertical="top"/>
    </xf>
    <xf numFmtId="4" fontId="12" fillId="4" borderId="0" xfId="0" applyNumberFormat="1" applyFont="1" applyFill="1" applyAlignment="1">
      <alignment horizontal="center" vertical="top"/>
    </xf>
    <xf numFmtId="0" fontId="29" fillId="4" borderId="0" xfId="0" applyFont="1" applyFill="1" applyAlignment="1">
      <alignment vertical="top"/>
    </xf>
    <xf numFmtId="0" fontId="1" fillId="4" borderId="0" xfId="0" applyFont="1" applyFill="1" applyAlignment="1">
      <alignment horizontal="center" vertical="top"/>
    </xf>
    <xf numFmtId="4" fontId="9" fillId="4" borderId="0" xfId="0" applyNumberFormat="1" applyFont="1" applyFill="1" applyAlignment="1">
      <alignment horizontal="center" vertical="top"/>
    </xf>
    <xf numFmtId="0" fontId="0" fillId="4" borderId="56" xfId="0" applyFill="1" applyBorder="1"/>
    <xf numFmtId="0" fontId="0" fillId="4" borderId="57" xfId="0" applyFill="1" applyBorder="1"/>
    <xf numFmtId="0" fontId="0" fillId="4" borderId="58" xfId="0" applyFill="1" applyBorder="1"/>
    <xf numFmtId="0" fontId="11" fillId="4" borderId="0" xfId="0" applyFont="1" applyFill="1" applyAlignment="1">
      <alignment horizontal="center" vertical="top"/>
    </xf>
    <xf numFmtId="4" fontId="1" fillId="4" borderId="0" xfId="0" applyNumberFormat="1" applyFont="1" applyFill="1" applyAlignment="1">
      <alignment horizontal="center" vertical="top"/>
    </xf>
    <xf numFmtId="0" fontId="1" fillId="4" borderId="0" xfId="0" applyFont="1" applyFill="1" applyAlignment="1">
      <alignment vertical="top"/>
    </xf>
    <xf numFmtId="0" fontId="11" fillId="4" borderId="0" xfId="0" applyFont="1" applyFill="1" applyAlignment="1">
      <alignment horizontal="center" vertical="top" wrapText="1"/>
    </xf>
    <xf numFmtId="4" fontId="1" fillId="4" borderId="0" xfId="0" applyNumberFormat="1" applyFont="1" applyFill="1" applyAlignment="1">
      <alignment horizontal="center" vertical="top" wrapText="1"/>
    </xf>
    <xf numFmtId="0" fontId="29" fillId="4" borderId="0" xfId="0" applyFont="1" applyFill="1"/>
    <xf numFmtId="1" fontId="11" fillId="4" borderId="0" xfId="0" applyNumberFormat="1" applyFont="1" applyFill="1" applyAlignment="1">
      <alignment horizontal="center" vertical="top"/>
    </xf>
    <xf numFmtId="0" fontId="25" fillId="4" borderId="0" xfId="3" applyFill="1" applyProtection="1"/>
    <xf numFmtId="0" fontId="0" fillId="4" borderId="0" xfId="0" quotePrefix="1" applyFill="1" applyAlignment="1">
      <alignment horizontal="right" vertical="top"/>
    </xf>
    <xf numFmtId="0" fontId="0" fillId="4" borderId="77" xfId="0" applyFill="1" applyBorder="1" applyAlignment="1">
      <alignment vertical="top"/>
    </xf>
    <xf numFmtId="0" fontId="0" fillId="4" borderId="78" xfId="0" applyFill="1" applyBorder="1" applyAlignment="1">
      <alignment vertical="top"/>
    </xf>
    <xf numFmtId="0" fontId="15" fillId="4" borderId="0" xfId="0" applyFont="1" applyFill="1" applyAlignment="1">
      <alignment vertical="center"/>
    </xf>
    <xf numFmtId="0" fontId="14" fillId="4" borderId="0" xfId="0" applyFont="1" applyFill="1" applyAlignment="1">
      <alignment horizontal="right" vertical="center"/>
    </xf>
    <xf numFmtId="0" fontId="8" fillId="4" borderId="28" xfId="0" applyFont="1" applyFill="1" applyBorder="1" applyAlignment="1">
      <alignment vertical="top"/>
    </xf>
    <xf numFmtId="0" fontId="8" fillId="4" borderId="29" xfId="0" applyFont="1" applyFill="1" applyBorder="1" applyAlignment="1">
      <alignment vertical="top"/>
    </xf>
    <xf numFmtId="0" fontId="0" fillId="4" borderId="29" xfId="0" applyFill="1" applyBorder="1" applyAlignment="1">
      <alignment horizontal="left" vertical="center"/>
    </xf>
    <xf numFmtId="0" fontId="8" fillId="4" borderId="30" xfId="0" applyFont="1" applyFill="1" applyBorder="1" applyAlignment="1">
      <alignment vertical="top"/>
    </xf>
    <xf numFmtId="0" fontId="0" fillId="4" borderId="80" xfId="0" applyFill="1" applyBorder="1" applyAlignment="1">
      <alignment vertical="top"/>
    </xf>
    <xf numFmtId="0" fontId="0" fillId="4" borderId="81" xfId="0" applyFill="1" applyBorder="1"/>
    <xf numFmtId="0" fontId="0" fillId="4" borderId="83" xfId="0" applyFill="1" applyBorder="1" applyAlignment="1">
      <alignment vertical="top"/>
    </xf>
    <xf numFmtId="0" fontId="13" fillId="6" borderId="13"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4" fontId="1" fillId="7" borderId="17" xfId="0" applyNumberFormat="1" applyFont="1" applyFill="1" applyBorder="1" applyAlignment="1">
      <alignment horizontal="right" vertical="top" wrapText="1"/>
    </xf>
    <xf numFmtId="4" fontId="1" fillId="10" borderId="17" xfId="0" applyNumberFormat="1" applyFont="1" applyFill="1" applyBorder="1" applyAlignment="1">
      <alignment horizontal="right" vertical="top" wrapText="1"/>
    </xf>
    <xf numFmtId="4" fontId="9" fillId="6" borderId="26" xfId="0" applyNumberFormat="1" applyFont="1" applyFill="1" applyBorder="1" applyAlignment="1">
      <alignment horizontal="center" vertical="center"/>
    </xf>
    <xf numFmtId="0" fontId="11" fillId="4" borderId="0" xfId="0" applyFont="1" applyFill="1"/>
    <xf numFmtId="0" fontId="0" fillId="0" borderId="78" xfId="0" applyBorder="1" applyAlignment="1">
      <alignment vertical="top"/>
    </xf>
    <xf numFmtId="0" fontId="0" fillId="10" borderId="78" xfId="0" applyFill="1" applyBorder="1" applyAlignment="1">
      <alignment vertical="top"/>
    </xf>
    <xf numFmtId="0" fontId="0" fillId="10" borderId="58" xfId="0" applyFill="1" applyBorder="1" applyAlignment="1">
      <alignment vertical="top"/>
    </xf>
    <xf numFmtId="0" fontId="0" fillId="0" borderId="84" xfId="0" applyBorder="1" applyAlignment="1">
      <alignment vertical="top"/>
    </xf>
    <xf numFmtId="0" fontId="0" fillId="0" borderId="58" xfId="0" applyBorder="1" applyAlignment="1">
      <alignment vertical="top"/>
    </xf>
    <xf numFmtId="14" fontId="0" fillId="4" borderId="38" xfId="0" applyNumberFormat="1" applyFill="1" applyBorder="1" applyAlignment="1">
      <alignment vertical="top"/>
    </xf>
    <xf numFmtId="0" fontId="0" fillId="4" borderId="70" xfId="0" applyFill="1" applyBorder="1" applyAlignment="1">
      <alignment vertical="top"/>
    </xf>
    <xf numFmtId="4" fontId="11" fillId="7" borderId="12" xfId="0" applyNumberFormat="1" applyFont="1" applyFill="1" applyBorder="1" applyAlignment="1" applyProtection="1">
      <alignment horizontal="center" vertical="top" wrapText="1"/>
      <protection locked="0"/>
    </xf>
    <xf numFmtId="4" fontId="11" fillId="10" borderId="12" xfId="0" applyNumberFormat="1" applyFont="1" applyFill="1" applyBorder="1" applyAlignment="1" applyProtection="1">
      <alignment horizontal="center" vertical="top" wrapText="1"/>
      <protection locked="0"/>
    </xf>
    <xf numFmtId="4" fontId="11" fillId="11" borderId="12" xfId="0" applyNumberFormat="1" applyFont="1" applyFill="1" applyBorder="1" applyAlignment="1" applyProtection="1">
      <alignment horizontal="center" vertical="top" wrapText="1"/>
      <protection locked="0"/>
    </xf>
    <xf numFmtId="4" fontId="11" fillId="4" borderId="12" xfId="0" applyNumberFormat="1" applyFont="1" applyFill="1" applyBorder="1" applyAlignment="1" applyProtection="1">
      <alignment horizontal="center" vertical="top" wrapText="1"/>
      <protection locked="0"/>
    </xf>
    <xf numFmtId="4" fontId="0" fillId="0" borderId="1" xfId="0" applyNumberFormat="1" applyBorder="1" applyAlignment="1">
      <alignment horizontal="right" vertical="top"/>
    </xf>
    <xf numFmtId="4" fontId="11" fillId="7" borderId="39" xfId="0" applyNumberFormat="1" applyFont="1" applyFill="1" applyBorder="1" applyAlignment="1" applyProtection="1">
      <alignment horizontal="center" vertical="top"/>
      <protection locked="0"/>
    </xf>
    <xf numFmtId="4" fontId="11" fillId="10" borderId="39" xfId="0" applyNumberFormat="1" applyFont="1" applyFill="1" applyBorder="1" applyAlignment="1" applyProtection="1">
      <alignment horizontal="center" vertical="top"/>
      <protection locked="0"/>
    </xf>
    <xf numFmtId="4" fontId="11" fillId="0" borderId="39" xfId="0" applyNumberFormat="1" applyFont="1" applyBorder="1" applyAlignment="1" applyProtection="1">
      <alignment horizontal="center" vertical="top"/>
      <protection locked="0"/>
    </xf>
    <xf numFmtId="4" fontId="11" fillId="11" borderId="39" xfId="0" applyNumberFormat="1" applyFont="1" applyFill="1" applyBorder="1" applyAlignment="1" applyProtection="1">
      <alignment horizontal="center" vertical="top"/>
      <protection locked="0"/>
    </xf>
    <xf numFmtId="4" fontId="11" fillId="4" borderId="39" xfId="0" applyNumberFormat="1" applyFont="1" applyFill="1" applyBorder="1" applyAlignment="1" applyProtection="1">
      <alignment horizontal="center" vertical="top"/>
      <protection locked="0"/>
    </xf>
    <xf numFmtId="165" fontId="0" fillId="0" borderId="0" xfId="0" applyNumberFormat="1"/>
    <xf numFmtId="0" fontId="0" fillId="2" borderId="85" xfId="0" applyFill="1" applyBorder="1" applyAlignment="1">
      <alignment horizontal="right" vertical="top" wrapText="1"/>
    </xf>
    <xf numFmtId="0" fontId="0" fillId="2" borderId="86" xfId="0" applyFill="1" applyBorder="1" applyAlignment="1">
      <alignment horizontal="right" vertical="top" wrapText="1"/>
    </xf>
    <xf numFmtId="4" fontId="0" fillId="0" borderId="1" xfId="0" quotePrefix="1" applyNumberFormat="1" applyBorder="1" applyAlignment="1">
      <alignment horizontal="right" vertical="top"/>
    </xf>
    <xf numFmtId="4" fontId="0" fillId="0" borderId="8" xfId="0" applyNumberFormat="1" applyBorder="1" applyAlignment="1">
      <alignment horizontal="right" vertical="top" wrapText="1"/>
    </xf>
    <xf numFmtId="4" fontId="0" fillId="0" borderId="87" xfId="0" applyNumberFormat="1" applyBorder="1" applyAlignment="1">
      <alignment horizontal="right" vertical="top" wrapText="1"/>
    </xf>
    <xf numFmtId="4" fontId="0" fillId="0" borderId="63" xfId="0" applyNumberFormat="1" applyBorder="1" applyAlignment="1">
      <alignment horizontal="right" vertical="top" wrapText="1"/>
    </xf>
    <xf numFmtId="0" fontId="26" fillId="0" borderId="0" xfId="0" applyFont="1" applyAlignment="1">
      <alignment horizontal="right" vertical="center"/>
    </xf>
    <xf numFmtId="0" fontId="1" fillId="3" borderId="1" xfId="0" applyFont="1" applyFill="1" applyBorder="1" applyAlignment="1" applyProtection="1">
      <alignment horizontal="center" vertical="center" wrapText="1"/>
      <protection locked="0"/>
    </xf>
    <xf numFmtId="166" fontId="3" fillId="0" borderId="5" xfId="1" applyNumberFormat="1" applyFont="1" applyBorder="1" applyAlignment="1" applyProtection="1">
      <alignment horizontal="center"/>
      <protection locked="0"/>
    </xf>
    <xf numFmtId="166" fontId="3" fillId="5" borderId="5" xfId="1" applyNumberFormat="1" applyFont="1" applyFill="1" applyBorder="1" applyAlignment="1" applyProtection="1">
      <alignment horizontal="center" wrapText="1"/>
      <protection locked="0"/>
    </xf>
    <xf numFmtId="43" fontId="0" fillId="0" borderId="0" xfId="1" applyFont="1" applyAlignment="1" applyProtection="1">
      <alignment wrapText="1"/>
      <protection locked="0"/>
    </xf>
    <xf numFmtId="43" fontId="1" fillId="3" borderId="1" xfId="1" applyFont="1" applyFill="1" applyBorder="1" applyAlignment="1" applyProtection="1">
      <alignment horizontal="center" vertical="center" wrapText="1"/>
      <protection locked="0"/>
    </xf>
    <xf numFmtId="166" fontId="0" fillId="0" borderId="1" xfId="1" applyNumberFormat="1" applyFont="1" applyBorder="1" applyAlignment="1" applyProtection="1">
      <alignment vertical="top" wrapText="1"/>
      <protection locked="0"/>
    </xf>
    <xf numFmtId="166" fontId="0" fillId="0" borderId="1" xfId="1" applyNumberFormat="1" applyFont="1" applyBorder="1" applyAlignment="1" applyProtection="1">
      <alignment horizontal="right" vertical="top" wrapText="1"/>
      <protection locked="0"/>
    </xf>
    <xf numFmtId="166" fontId="3" fillId="4" borderId="1" xfId="1" applyNumberFormat="1" applyFont="1" applyFill="1" applyBorder="1" applyAlignment="1" applyProtection="1">
      <alignment horizontal="right" vertical="center" wrapText="1"/>
      <protection locked="0"/>
    </xf>
    <xf numFmtId="166" fontId="3" fillId="5" borderId="1" xfId="1" applyNumberFormat="1" applyFont="1" applyFill="1" applyBorder="1" applyAlignment="1" applyProtection="1">
      <alignment horizontal="right" vertical="center" wrapText="1"/>
      <protection locked="0"/>
    </xf>
    <xf numFmtId="166" fontId="3" fillId="4" borderId="1" xfId="1" applyNumberFormat="1" applyFont="1" applyFill="1" applyBorder="1" applyAlignment="1" applyProtection="1">
      <alignment vertical="top" wrapText="1"/>
      <protection locked="0"/>
    </xf>
    <xf numFmtId="166" fontId="0" fillId="0" borderId="1" xfId="1" applyNumberFormat="1" applyFont="1" applyBorder="1" applyAlignment="1" applyProtection="1">
      <alignment vertical="top"/>
      <protection locked="0"/>
    </xf>
    <xf numFmtId="166" fontId="3" fillId="4" borderId="1" xfId="1" applyNumberFormat="1" applyFont="1" applyFill="1" applyBorder="1" applyAlignment="1" applyProtection="1">
      <alignment horizontal="right" vertical="top"/>
      <protection locked="0"/>
    </xf>
    <xf numFmtId="166" fontId="3" fillId="4" borderId="1" xfId="1" applyNumberFormat="1" applyFont="1" applyFill="1" applyBorder="1" applyAlignment="1" applyProtection="1">
      <alignment horizontal="right" vertical="top" wrapText="1"/>
      <protection locked="0"/>
    </xf>
    <xf numFmtId="166" fontId="0" fillId="0" borderId="0" xfId="1" applyNumberFormat="1" applyFont="1" applyAlignment="1" applyProtection="1">
      <alignment wrapText="1"/>
      <protection locked="0"/>
    </xf>
    <xf numFmtId="166" fontId="1" fillId="3" borderId="1" xfId="1" applyNumberFormat="1" applyFont="1" applyFill="1" applyBorder="1" applyAlignment="1" applyProtection="1">
      <alignment horizontal="center" vertical="center" wrapText="1"/>
      <protection locked="0"/>
    </xf>
    <xf numFmtId="166" fontId="0" fillId="0" borderId="2" xfId="1" applyNumberFormat="1" applyFont="1" applyBorder="1" applyAlignment="1" applyProtection="1">
      <alignment horizontal="right" vertical="top" wrapText="1"/>
      <protection locked="0"/>
    </xf>
    <xf numFmtId="166" fontId="3" fillId="0" borderId="1" xfId="1" applyNumberFormat="1" applyFont="1" applyBorder="1" applyAlignment="1" applyProtection="1">
      <alignment horizontal="right" vertical="top" wrapText="1"/>
      <protection locked="0"/>
    </xf>
    <xf numFmtId="166" fontId="3" fillId="0" borderId="5" xfId="1" applyNumberFormat="1" applyFont="1" applyBorder="1" applyAlignment="1" applyProtection="1">
      <alignment horizontal="right" vertical="top" wrapText="1"/>
      <protection locked="0"/>
    </xf>
    <xf numFmtId="166" fontId="3" fillId="0" borderId="0" xfId="1" applyNumberFormat="1" applyFont="1" applyAlignment="1" applyProtection="1">
      <alignment horizontal="right" vertical="top" wrapText="1"/>
      <protection locked="0"/>
    </xf>
    <xf numFmtId="166" fontId="3" fillId="0" borderId="7" xfId="1" applyNumberFormat="1" applyFont="1" applyBorder="1" applyAlignment="1" applyProtection="1">
      <alignment vertical="top" wrapText="1"/>
      <protection locked="0"/>
    </xf>
    <xf numFmtId="166" fontId="3" fillId="0" borderId="6" xfId="1" applyNumberFormat="1" applyFont="1" applyBorder="1" applyAlignment="1" applyProtection="1">
      <alignment vertical="top" wrapText="1"/>
      <protection locked="0"/>
    </xf>
    <xf numFmtId="166" fontId="3" fillId="0" borderId="1" xfId="1" applyNumberFormat="1" applyFont="1" applyBorder="1" applyAlignment="1" applyProtection="1">
      <alignment vertical="top" wrapText="1"/>
      <protection locked="0"/>
    </xf>
    <xf numFmtId="166" fontId="3" fillId="0" borderId="5" xfId="1" applyNumberFormat="1" applyFont="1" applyBorder="1" applyAlignment="1" applyProtection="1">
      <alignment horizontal="right" vertical="top"/>
      <protection locked="0"/>
    </xf>
    <xf numFmtId="166" fontId="3" fillId="0" borderId="5" xfId="1" applyNumberFormat="1" applyFont="1" applyBorder="1" applyAlignment="1" applyProtection="1">
      <alignment horizontal="right"/>
      <protection locked="0"/>
    </xf>
    <xf numFmtId="166" fontId="3" fillId="0" borderId="1" xfId="1" applyNumberFormat="1" applyFont="1" applyBorder="1" applyAlignment="1" applyProtection="1">
      <alignment horizontal="right" vertical="top"/>
      <protection locked="0"/>
    </xf>
    <xf numFmtId="166" fontId="3" fillId="0" borderId="64" xfId="1" applyNumberFormat="1" applyFont="1" applyBorder="1" applyAlignment="1" applyProtection="1">
      <alignment horizontal="right" vertical="top"/>
      <protection locked="0"/>
    </xf>
    <xf numFmtId="166" fontId="3" fillId="0" borderId="66" xfId="1" applyNumberFormat="1" applyFont="1" applyBorder="1" applyAlignment="1" applyProtection="1">
      <alignment horizontal="right" vertical="top"/>
      <protection locked="0"/>
    </xf>
    <xf numFmtId="0" fontId="0" fillId="0" borderId="0" xfId="0" applyAlignment="1" applyProtection="1">
      <alignment wrapText="1"/>
      <protection locked="0"/>
    </xf>
    <xf numFmtId="0" fontId="11" fillId="0" borderId="1" xfId="0" applyFont="1" applyBorder="1" applyProtection="1">
      <protection locked="0"/>
    </xf>
    <xf numFmtId="0" fontId="25" fillId="0" borderId="0" xfId="3" applyAlignment="1" applyProtection="1">
      <alignment horizontal="left" vertical="top"/>
      <protection locked="0"/>
    </xf>
    <xf numFmtId="4" fontId="16" fillId="0" borderId="46" xfId="0" applyNumberFormat="1" applyFont="1" applyBorder="1" applyAlignment="1">
      <alignment horizontal="right" vertical="center"/>
    </xf>
    <xf numFmtId="4" fontId="16" fillId="10" borderId="88" xfId="0" applyNumberFormat="1" applyFont="1" applyFill="1" applyBorder="1" applyAlignment="1">
      <alignment horizontal="right" vertical="center"/>
    </xf>
    <xf numFmtId="4" fontId="16" fillId="0" borderId="89" xfId="0" applyNumberFormat="1" applyFont="1" applyBorder="1" applyAlignment="1">
      <alignment horizontal="right" vertical="center"/>
    </xf>
    <xf numFmtId="4" fontId="16" fillId="10" borderId="89" xfId="0" applyNumberFormat="1" applyFont="1" applyFill="1" applyBorder="1" applyAlignment="1">
      <alignment horizontal="right" vertical="center"/>
    </xf>
    <xf numFmtId="4" fontId="16" fillId="0" borderId="90" xfId="0" applyNumberFormat="1" applyFont="1" applyBorder="1" applyAlignment="1">
      <alignment horizontal="right" vertical="center"/>
    </xf>
    <xf numFmtId="4" fontId="16" fillId="0" borderId="88" xfId="0" applyNumberFormat="1" applyFont="1" applyBorder="1" applyAlignment="1">
      <alignment horizontal="right" vertical="center"/>
    </xf>
    <xf numFmtId="49" fontId="4" fillId="10" borderId="60" xfId="0" applyNumberFormat="1" applyFont="1" applyFill="1" applyBorder="1" applyAlignment="1">
      <alignment horizontal="left" vertical="top"/>
    </xf>
    <xf numFmtId="49" fontId="4" fillId="7" borderId="60" xfId="0" applyNumberFormat="1" applyFont="1" applyFill="1" applyBorder="1" applyAlignment="1">
      <alignment horizontal="left" vertical="top"/>
    </xf>
    <xf numFmtId="0" fontId="39" fillId="4" borderId="0" xfId="0" applyFont="1" applyFill="1" applyAlignment="1">
      <alignment vertical="top"/>
    </xf>
    <xf numFmtId="0" fontId="39" fillId="4" borderId="0" xfId="0" applyFont="1" applyFill="1" applyAlignment="1">
      <alignment horizontal="center" vertical="top"/>
    </xf>
    <xf numFmtId="0" fontId="38" fillId="4" borderId="0" xfId="3" applyFont="1" applyFill="1" applyBorder="1" applyAlignment="1" applyProtection="1">
      <alignment vertical="top"/>
    </xf>
    <xf numFmtId="0" fontId="38" fillId="4" borderId="0" xfId="3" applyFont="1" applyFill="1" applyBorder="1" applyAlignment="1" applyProtection="1">
      <alignment horizontal="left" vertical="top"/>
    </xf>
    <xf numFmtId="0" fontId="40" fillId="4" borderId="0" xfId="3" applyFont="1" applyFill="1" applyBorder="1" applyAlignment="1">
      <alignment vertical="top"/>
    </xf>
    <xf numFmtId="0" fontId="40" fillId="4" borderId="0" xfId="3" applyFont="1" applyFill="1" applyBorder="1" applyAlignment="1">
      <alignment horizontal="left" vertical="top"/>
    </xf>
    <xf numFmtId="0" fontId="40" fillId="4" borderId="0" xfId="3" applyFont="1" applyFill="1"/>
    <xf numFmtId="0" fontId="40" fillId="4" borderId="0" xfId="3" quotePrefix="1" applyFont="1" applyFill="1" applyBorder="1" applyAlignment="1">
      <alignment horizontal="left" vertical="top"/>
    </xf>
    <xf numFmtId="0" fontId="0" fillId="0" borderId="0" xfId="0" applyAlignment="1">
      <alignment horizontal="right"/>
    </xf>
    <xf numFmtId="0" fontId="11" fillId="4" borderId="0" xfId="0" applyFont="1" applyFill="1" applyAlignment="1">
      <alignment horizontal="left" vertical="top" wrapText="1"/>
    </xf>
    <xf numFmtId="0" fontId="1" fillId="4" borderId="0" xfId="0" applyFont="1" applyFill="1" applyAlignment="1">
      <alignment horizontal="right" vertical="top"/>
    </xf>
    <xf numFmtId="0" fontId="0" fillId="4" borderId="0" xfId="0" applyFill="1" applyAlignment="1">
      <alignment horizontal="left" vertical="top" wrapText="1"/>
    </xf>
    <xf numFmtId="0" fontId="11" fillId="4" borderId="0" xfId="0" applyFont="1" applyFill="1" applyAlignment="1">
      <alignment horizontal="left" vertical="top"/>
    </xf>
    <xf numFmtId="0" fontId="1" fillId="4" borderId="0" xfId="0" quotePrefix="1" applyFont="1" applyFill="1" applyAlignment="1">
      <alignment horizontal="left" vertical="top"/>
    </xf>
    <xf numFmtId="0" fontId="11" fillId="4" borderId="0" xfId="0" quotePrefix="1" applyFont="1" applyFill="1" applyAlignment="1">
      <alignment horizontal="left" vertical="top" wrapText="1"/>
    </xf>
    <xf numFmtId="0" fontId="25" fillId="4" borderId="0" xfId="3" applyFill="1" applyBorder="1" applyAlignment="1" applyProtection="1">
      <alignment horizontal="left" vertical="top"/>
    </xf>
    <xf numFmtId="0" fontId="11" fillId="4" borderId="0" xfId="0" applyFont="1" applyFill="1" applyAlignment="1">
      <alignment horizontal="left" vertical="center" wrapText="1"/>
    </xf>
    <xf numFmtId="0" fontId="15" fillId="4" borderId="0" xfId="0" applyFont="1" applyFill="1" applyAlignment="1">
      <alignment horizontal="left" vertical="center"/>
    </xf>
    <xf numFmtId="0" fontId="0" fillId="4" borderId="0" xfId="0" applyFill="1" applyAlignment="1">
      <alignment horizontal="right" vertical="top"/>
    </xf>
    <xf numFmtId="0" fontId="1" fillId="6" borderId="18" xfId="0" applyFont="1" applyFill="1" applyBorder="1" applyAlignment="1">
      <alignment horizontal="right" vertical="center"/>
    </xf>
    <xf numFmtId="0" fontId="1" fillId="6" borderId="19" xfId="0" applyFont="1" applyFill="1" applyBorder="1" applyAlignment="1">
      <alignment horizontal="right" vertical="center"/>
    </xf>
    <xf numFmtId="0" fontId="1" fillId="6" borderId="25" xfId="0" applyFont="1" applyFill="1" applyBorder="1" applyAlignment="1">
      <alignment horizontal="right" vertical="center"/>
    </xf>
    <xf numFmtId="0" fontId="0" fillId="4" borderId="56" xfId="0" applyFill="1" applyBorder="1" applyAlignment="1">
      <alignment horizontal="left" vertical="top"/>
    </xf>
    <xf numFmtId="0" fontId="0" fillId="4" borderId="57" xfId="0" applyFill="1" applyBorder="1" applyAlignment="1">
      <alignment horizontal="left" vertical="top"/>
    </xf>
    <xf numFmtId="0" fontId="0" fillId="4" borderId="82" xfId="0" applyFill="1" applyBorder="1" applyAlignment="1">
      <alignment horizontal="left" vertical="top"/>
    </xf>
    <xf numFmtId="0" fontId="0" fillId="10" borderId="77" xfId="0" applyFill="1" applyBorder="1" applyAlignment="1">
      <alignment horizontal="left" vertical="top"/>
    </xf>
    <xf numFmtId="0" fontId="0" fillId="10" borderId="0" xfId="0" applyFill="1" applyAlignment="1">
      <alignment horizontal="left" vertical="top"/>
    </xf>
    <xf numFmtId="0" fontId="0" fillId="10" borderId="79" xfId="0" applyFill="1" applyBorder="1" applyAlignment="1">
      <alignment horizontal="left" vertical="top"/>
    </xf>
    <xf numFmtId="0" fontId="37" fillId="0" borderId="77" xfId="0" applyFont="1" applyBorder="1" applyAlignment="1">
      <alignment horizontal="left" vertical="top"/>
    </xf>
    <xf numFmtId="0" fontId="33" fillId="0" borderId="0" xfId="0" applyFont="1" applyAlignment="1">
      <alignment horizontal="left" vertical="top"/>
    </xf>
    <xf numFmtId="0" fontId="33" fillId="0" borderId="79" xfId="0" applyFont="1" applyBorder="1" applyAlignment="1">
      <alignment horizontal="left" vertical="top"/>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0" fillId="0" borderId="77" xfId="0" applyBorder="1" applyAlignment="1">
      <alignment horizontal="left" vertical="top"/>
    </xf>
    <xf numFmtId="0" fontId="0" fillId="0" borderId="0" xfId="0" applyAlignment="1">
      <alignment horizontal="left" vertical="top"/>
    </xf>
    <xf numFmtId="0" fontId="0" fillId="0" borderId="79" xfId="0" applyBorder="1" applyAlignment="1">
      <alignment horizontal="left" vertical="top"/>
    </xf>
    <xf numFmtId="0" fontId="0" fillId="0" borderId="56" xfId="0" applyBorder="1" applyAlignment="1">
      <alignment horizontal="left" vertical="top"/>
    </xf>
    <xf numFmtId="0" fontId="0" fillId="0" borderId="57" xfId="0" applyBorder="1" applyAlignment="1">
      <alignment horizontal="left" vertical="top"/>
    </xf>
    <xf numFmtId="0" fontId="0" fillId="0" borderId="82" xfId="0" applyBorder="1" applyAlignment="1">
      <alignment horizontal="left" vertical="top"/>
    </xf>
    <xf numFmtId="0" fontId="0" fillId="10" borderId="56" xfId="0" applyFill="1" applyBorder="1" applyAlignment="1">
      <alignment horizontal="left" vertical="top"/>
    </xf>
    <xf numFmtId="0" fontId="0" fillId="10" borderId="57" xfId="0" applyFill="1" applyBorder="1" applyAlignment="1">
      <alignment horizontal="left" vertical="top"/>
    </xf>
    <xf numFmtId="0" fontId="0" fillId="10" borderId="82" xfId="0" applyFill="1" applyBorder="1" applyAlignment="1">
      <alignment horizontal="left" vertical="top"/>
    </xf>
    <xf numFmtId="0" fontId="1" fillId="6" borderId="47" xfId="0" applyFont="1" applyFill="1" applyBorder="1" applyAlignment="1">
      <alignment horizontal="right" vertical="center"/>
    </xf>
    <xf numFmtId="0" fontId="1" fillId="6" borderId="48" xfId="0" applyFont="1" applyFill="1" applyBorder="1" applyAlignment="1">
      <alignment horizontal="right" vertical="center"/>
    </xf>
    <xf numFmtId="0" fontId="1" fillId="6" borderId="49" xfId="0" applyFont="1" applyFill="1" applyBorder="1" applyAlignment="1">
      <alignment horizontal="right"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31" fillId="4" borderId="0" xfId="0" applyFont="1" applyFill="1" applyAlignment="1">
      <alignment horizontal="left" vertical="top" wrapText="1"/>
    </xf>
    <xf numFmtId="0" fontId="13" fillId="6" borderId="61" xfId="0" applyFont="1" applyFill="1" applyBorder="1" applyAlignment="1">
      <alignment horizontal="center" vertical="center" wrapText="1"/>
    </xf>
    <xf numFmtId="0" fontId="11" fillId="4" borderId="0" xfId="0" quotePrefix="1" applyFont="1" applyFill="1" applyAlignment="1">
      <alignment horizontal="right" vertical="top"/>
    </xf>
    <xf numFmtId="0" fontId="21" fillId="4" borderId="0" xfId="0" quotePrefix="1" applyFont="1" applyFill="1" applyAlignment="1">
      <alignment horizontal="left" vertical="top" wrapText="1"/>
    </xf>
    <xf numFmtId="0" fontId="13" fillId="6" borderId="73" xfId="0" applyFont="1" applyFill="1" applyBorder="1" applyAlignment="1">
      <alignment horizontal="center" vertical="center" wrapText="1"/>
    </xf>
    <xf numFmtId="0" fontId="0" fillId="0" borderId="0" xfId="0" applyAlignment="1" applyProtection="1">
      <alignment horizontal="center"/>
      <protection locked="0"/>
    </xf>
    <xf numFmtId="0" fontId="0" fillId="10" borderId="0" xfId="0" applyFill="1" applyAlignment="1" applyProtection="1">
      <alignment horizontal="center"/>
      <protection locked="0"/>
    </xf>
    <xf numFmtId="0" fontId="0" fillId="0" borderId="57" xfId="0" applyBorder="1" applyAlignment="1" applyProtection="1">
      <alignment horizontal="center"/>
      <protection locked="0"/>
    </xf>
    <xf numFmtId="0" fontId="11" fillId="4" borderId="32" xfId="0" applyFont="1" applyFill="1" applyBorder="1" applyAlignment="1">
      <alignment horizontal="left" vertical="top" wrapText="1"/>
    </xf>
    <xf numFmtId="0" fontId="1" fillId="4" borderId="56" xfId="0" applyFont="1" applyFill="1" applyBorder="1" applyAlignment="1">
      <alignment horizontal="right" vertical="top"/>
    </xf>
    <xf numFmtId="0" fontId="1" fillId="4" borderId="57" xfId="0" applyFont="1" applyFill="1" applyBorder="1" applyAlignment="1">
      <alignment horizontal="right" vertical="top"/>
    </xf>
    <xf numFmtId="0" fontId="1" fillId="4" borderId="9" xfId="0" applyFont="1" applyFill="1" applyBorder="1" applyAlignment="1">
      <alignment horizontal="right" vertical="top"/>
    </xf>
    <xf numFmtId="0" fontId="1" fillId="4" borderId="10" xfId="0" applyFont="1" applyFill="1" applyBorder="1" applyAlignment="1">
      <alignment horizontal="right" vertical="top"/>
    </xf>
    <xf numFmtId="0" fontId="32" fillId="0" borderId="0" xfId="0" applyFont="1" applyAlignment="1">
      <alignment horizontal="left" vertical="top" wrapText="1"/>
    </xf>
    <xf numFmtId="0" fontId="0" fillId="0" borderId="0" xfId="0" applyAlignment="1">
      <alignment horizontal="left" vertical="top" wrapText="1"/>
    </xf>
  </cellXfs>
  <cellStyles count="4">
    <cellStyle name="Comma" xfId="1" builtinId="3"/>
    <cellStyle name="Comma 2" xfId="2" xr:uid="{7BAE7299-786D-4FF3-8E79-E3C6D7C49FC4}"/>
    <cellStyle name="Hyperlink" xfId="3" builtinId="8"/>
    <cellStyle name="Normal" xfId="0" builtinId="0"/>
  </cellStyles>
  <dxfs count="49">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Figure 1.</a:t>
            </a:r>
            <a:r>
              <a:rPr lang="en-GB" sz="1200" b="1" baseline="0"/>
              <a:t> </a:t>
            </a:r>
            <a:r>
              <a:rPr lang="en-GB" sz="1200" b="1"/>
              <a:t>Energy</a:t>
            </a:r>
            <a:r>
              <a:rPr lang="en-GB" sz="1200" b="1" baseline="0"/>
              <a:t> consumption and its carbon footprint</a:t>
            </a:r>
            <a:endParaRPr lang="en-GB" sz="1200" b="1"/>
          </a:p>
        </c:rich>
      </c:tx>
      <c:layout>
        <c:manualLayout>
          <c:xMode val="edge"/>
          <c:yMode val="edge"/>
          <c:x val="4.9203014600697127E-2"/>
          <c:y val="3.2066791717673342E-2"/>
        </c:manualLayout>
      </c:layout>
      <c:overlay val="0"/>
      <c:spPr>
        <a:noFill/>
        <a:ln>
          <a:noFill/>
        </a:ln>
        <a:effectLst/>
      </c:spPr>
    </c:title>
    <c:autoTitleDeleted val="0"/>
    <c:plotArea>
      <c:layout>
        <c:manualLayout>
          <c:layoutTarget val="inner"/>
          <c:xMode val="edge"/>
          <c:yMode val="edge"/>
          <c:x val="6.5603616726693903E-2"/>
          <c:y val="0.12453610029018486"/>
          <c:w val="0.46520844720027343"/>
          <c:h val="0.8243794300698174"/>
        </c:manualLayout>
      </c:layout>
      <c:doughnutChart>
        <c:varyColors val="1"/>
        <c:ser>
          <c:idx val="0"/>
          <c:order val="0"/>
          <c:spPr>
            <a:ln w="6350"/>
          </c:spPr>
          <c:dPt>
            <c:idx val="0"/>
            <c:bubble3D val="0"/>
            <c:spPr>
              <a:solidFill>
                <a:schemeClr val="accent1"/>
              </a:solidFill>
              <a:ln w="6350">
                <a:solidFill>
                  <a:schemeClr val="lt1"/>
                </a:solidFill>
              </a:ln>
              <a:effectLst/>
            </c:spPr>
            <c:extLst>
              <c:ext xmlns:c16="http://schemas.microsoft.com/office/drawing/2014/chart" uri="{C3380CC4-5D6E-409C-BE32-E72D297353CC}">
                <c16:uniqueId val="{00000001-07AF-46F0-B11D-CCB264BE2814}"/>
              </c:ext>
            </c:extLst>
          </c:dPt>
          <c:dPt>
            <c:idx val="1"/>
            <c:bubble3D val="0"/>
            <c:spPr>
              <a:solidFill>
                <a:schemeClr val="accent2"/>
              </a:solidFill>
              <a:ln w="6350">
                <a:solidFill>
                  <a:schemeClr val="lt1"/>
                </a:solidFill>
              </a:ln>
              <a:effectLst/>
            </c:spPr>
            <c:extLst>
              <c:ext xmlns:c16="http://schemas.microsoft.com/office/drawing/2014/chart" uri="{C3380CC4-5D6E-409C-BE32-E72D297353CC}">
                <c16:uniqueId val="{00000003-07AF-46F0-B11D-CCB264BE2814}"/>
              </c:ext>
            </c:extLst>
          </c:dPt>
          <c:dPt>
            <c:idx val="2"/>
            <c:bubble3D val="0"/>
            <c:spPr>
              <a:solidFill>
                <a:schemeClr val="accent3"/>
              </a:solidFill>
              <a:ln w="6350">
                <a:solidFill>
                  <a:schemeClr val="lt1"/>
                </a:solidFill>
              </a:ln>
              <a:effectLst/>
            </c:spPr>
            <c:extLst>
              <c:ext xmlns:c16="http://schemas.microsoft.com/office/drawing/2014/chart" uri="{C3380CC4-5D6E-409C-BE32-E72D297353CC}">
                <c16:uniqueId val="{00000005-07AF-46F0-B11D-CCB264BE2814}"/>
              </c:ext>
            </c:extLst>
          </c:dPt>
          <c:dPt>
            <c:idx val="3"/>
            <c:bubble3D val="0"/>
            <c:spPr>
              <a:solidFill>
                <a:schemeClr val="accent4"/>
              </a:solidFill>
              <a:ln w="6350">
                <a:solidFill>
                  <a:schemeClr val="lt1"/>
                </a:solidFill>
              </a:ln>
              <a:effectLst/>
            </c:spPr>
            <c:extLst>
              <c:ext xmlns:c16="http://schemas.microsoft.com/office/drawing/2014/chart" uri="{C3380CC4-5D6E-409C-BE32-E72D297353CC}">
                <c16:uniqueId val="{00000007-07AF-46F0-B11D-CCB264BE2814}"/>
              </c:ext>
            </c:extLst>
          </c:dPt>
          <c:dPt>
            <c:idx val="4"/>
            <c:bubble3D val="0"/>
            <c:spPr>
              <a:solidFill>
                <a:schemeClr val="accent5"/>
              </a:solidFill>
              <a:ln w="6350">
                <a:solidFill>
                  <a:schemeClr val="lt1"/>
                </a:solidFill>
              </a:ln>
              <a:effectLst/>
            </c:spPr>
            <c:extLst>
              <c:ext xmlns:c16="http://schemas.microsoft.com/office/drawing/2014/chart" uri="{C3380CC4-5D6E-409C-BE32-E72D297353CC}">
                <c16:uniqueId val="{00000009-07AF-46F0-B11D-CCB264BE2814}"/>
              </c:ext>
            </c:extLst>
          </c:dPt>
          <c:dPt>
            <c:idx val="5"/>
            <c:bubble3D val="0"/>
            <c:spPr>
              <a:solidFill>
                <a:schemeClr val="accent6"/>
              </a:solidFill>
              <a:ln w="6350">
                <a:solidFill>
                  <a:schemeClr val="lt1"/>
                </a:solidFill>
              </a:ln>
              <a:effectLst/>
            </c:spPr>
            <c:extLst>
              <c:ext xmlns:c16="http://schemas.microsoft.com/office/drawing/2014/chart" uri="{C3380CC4-5D6E-409C-BE32-E72D297353CC}">
                <c16:uniqueId val="{0000000B-07AF-46F0-B11D-CCB264BE2814}"/>
              </c:ext>
            </c:extLst>
          </c:dPt>
          <c:dPt>
            <c:idx val="6"/>
            <c:bubble3D val="0"/>
            <c:spPr>
              <a:solidFill>
                <a:schemeClr val="accent1">
                  <a:lumMod val="60000"/>
                </a:schemeClr>
              </a:solidFill>
              <a:ln w="6350">
                <a:solidFill>
                  <a:schemeClr val="lt1"/>
                </a:solidFill>
              </a:ln>
              <a:effectLst/>
            </c:spPr>
            <c:extLst>
              <c:ext xmlns:c16="http://schemas.microsoft.com/office/drawing/2014/chart" uri="{C3380CC4-5D6E-409C-BE32-E72D297353CC}">
                <c16:uniqueId val="{0000000D-07AF-46F0-B11D-CCB264BE2814}"/>
              </c:ext>
            </c:extLst>
          </c:dPt>
          <c:dPt>
            <c:idx val="7"/>
            <c:bubble3D val="0"/>
            <c:spPr>
              <a:solidFill>
                <a:schemeClr val="accent2">
                  <a:lumMod val="60000"/>
                </a:schemeClr>
              </a:solidFill>
              <a:ln w="6350">
                <a:solidFill>
                  <a:schemeClr val="lt1"/>
                </a:solidFill>
              </a:ln>
              <a:effectLst/>
            </c:spPr>
            <c:extLst>
              <c:ext xmlns:c16="http://schemas.microsoft.com/office/drawing/2014/chart" uri="{C3380CC4-5D6E-409C-BE32-E72D297353CC}">
                <c16:uniqueId val="{0000000F-07AF-46F0-B11D-CCB264BE2814}"/>
              </c:ext>
            </c:extLst>
          </c:dPt>
          <c:dPt>
            <c:idx val="8"/>
            <c:bubble3D val="0"/>
            <c:spPr>
              <a:solidFill>
                <a:schemeClr val="accent3">
                  <a:lumMod val="60000"/>
                </a:schemeClr>
              </a:solidFill>
              <a:ln w="6350">
                <a:solidFill>
                  <a:schemeClr val="lt1"/>
                </a:solidFill>
              </a:ln>
              <a:effectLst/>
            </c:spPr>
            <c:extLst>
              <c:ext xmlns:c16="http://schemas.microsoft.com/office/drawing/2014/chart" uri="{C3380CC4-5D6E-409C-BE32-E72D297353CC}">
                <c16:uniqueId val="{00000011-07AF-46F0-B11D-CCB264BE2814}"/>
              </c:ext>
            </c:extLst>
          </c:dPt>
          <c:dPt>
            <c:idx val="9"/>
            <c:bubble3D val="0"/>
            <c:spPr>
              <a:solidFill>
                <a:schemeClr val="accent4">
                  <a:lumMod val="60000"/>
                </a:schemeClr>
              </a:solidFill>
              <a:ln w="6350">
                <a:solidFill>
                  <a:schemeClr val="lt1"/>
                </a:solidFill>
              </a:ln>
              <a:effectLst/>
            </c:spPr>
            <c:extLst>
              <c:ext xmlns:c16="http://schemas.microsoft.com/office/drawing/2014/chart" uri="{C3380CC4-5D6E-409C-BE32-E72D297353CC}">
                <c16:uniqueId val="{00000013-07AF-46F0-B11D-CCB264BE2814}"/>
              </c:ext>
            </c:extLst>
          </c:dPt>
          <c:cat>
            <c:numRef>
              <c:f>'WSA-CC-Energy'!$I$13:$I$22</c:f>
              <c:numCache>
                <c:formatCode>General</c:formatCode>
                <c:ptCount val="10"/>
              </c:numCache>
            </c:numRef>
          </c:cat>
          <c:val>
            <c:numRef>
              <c:f>'WSA-CC-Energy'!$M$13:$M$22</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E3-4DBA-A4E6-BAD568199356}"/>
            </c:ext>
          </c:extLst>
        </c:ser>
        <c:dLbls>
          <c:showLegendKey val="0"/>
          <c:showVal val="0"/>
          <c:showCatName val="0"/>
          <c:showSerName val="0"/>
          <c:showPercent val="0"/>
          <c:showBubbleSize val="0"/>
          <c:showLeaderLines val="0"/>
        </c:dLbls>
        <c:firstSliceAng val="0"/>
        <c:holeSize val="0"/>
      </c:doughnutChart>
      <c:spPr>
        <a:noFill/>
        <a:ln>
          <a:noFill/>
        </a:ln>
        <a:effectLst/>
      </c:spPr>
    </c:plotArea>
    <c:legend>
      <c:legendPos val="b"/>
      <c:layout>
        <c:manualLayout>
          <c:xMode val="edge"/>
          <c:yMode val="edge"/>
          <c:x val="0.64144924768955203"/>
          <c:y val="0.11131263416571796"/>
          <c:w val="0.35855075231044792"/>
          <c:h val="0.8672856174350358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Figure 2.</a:t>
            </a:r>
            <a:r>
              <a:rPr lang="en-GB" sz="1200" b="1" baseline="0"/>
              <a:t> </a:t>
            </a:r>
            <a:r>
              <a:rPr lang="en-GB" sz="1200" b="1"/>
              <a:t>Water</a:t>
            </a:r>
            <a:r>
              <a:rPr lang="en-GB" sz="1200" b="1" baseline="0"/>
              <a:t> consumption and its carbon footprint</a:t>
            </a:r>
            <a:endParaRPr lang="en-GB" sz="1200" b="1"/>
          </a:p>
        </c:rich>
      </c:tx>
      <c:layout>
        <c:manualLayout>
          <c:xMode val="edge"/>
          <c:yMode val="edge"/>
          <c:x val="4.9203014600697127E-2"/>
          <c:y val="3.2066791717673342E-2"/>
        </c:manualLayout>
      </c:layout>
      <c:overlay val="0"/>
      <c:spPr>
        <a:noFill/>
        <a:ln>
          <a:noFill/>
        </a:ln>
        <a:effectLst/>
      </c:spPr>
    </c:title>
    <c:autoTitleDeleted val="0"/>
    <c:plotArea>
      <c:layout>
        <c:manualLayout>
          <c:layoutTarget val="inner"/>
          <c:xMode val="edge"/>
          <c:yMode val="edge"/>
          <c:x val="8.9710912037985091E-2"/>
          <c:y val="0.11202606969507398"/>
          <c:w val="0.41121934796416681"/>
          <c:h val="0.85311228010751383"/>
        </c:manualLayout>
      </c:layout>
      <c:doughnutChart>
        <c:varyColors val="1"/>
        <c:ser>
          <c:idx val="0"/>
          <c:order val="0"/>
          <c:spPr>
            <a:ln w="6350"/>
          </c:spPr>
          <c:dPt>
            <c:idx val="0"/>
            <c:bubble3D val="0"/>
            <c:spPr>
              <a:solidFill>
                <a:schemeClr val="accent1"/>
              </a:solidFill>
              <a:ln w="6350">
                <a:solidFill>
                  <a:schemeClr val="lt1"/>
                </a:solidFill>
              </a:ln>
              <a:effectLst/>
            </c:spPr>
            <c:extLst>
              <c:ext xmlns:c16="http://schemas.microsoft.com/office/drawing/2014/chart" uri="{C3380CC4-5D6E-409C-BE32-E72D297353CC}">
                <c16:uniqueId val="{00000001-F01A-4DB3-964E-47DA832D64E5}"/>
              </c:ext>
            </c:extLst>
          </c:dPt>
          <c:dPt>
            <c:idx val="1"/>
            <c:bubble3D val="0"/>
            <c:spPr>
              <a:solidFill>
                <a:schemeClr val="accent2"/>
              </a:solidFill>
              <a:ln w="6350">
                <a:solidFill>
                  <a:schemeClr val="lt1"/>
                </a:solidFill>
              </a:ln>
              <a:effectLst/>
            </c:spPr>
            <c:extLst>
              <c:ext xmlns:c16="http://schemas.microsoft.com/office/drawing/2014/chart" uri="{C3380CC4-5D6E-409C-BE32-E72D297353CC}">
                <c16:uniqueId val="{00000003-F01A-4DB3-964E-47DA832D64E5}"/>
              </c:ext>
            </c:extLst>
          </c:dPt>
          <c:dPt>
            <c:idx val="2"/>
            <c:bubble3D val="0"/>
            <c:spPr>
              <a:solidFill>
                <a:schemeClr val="accent3"/>
              </a:solidFill>
              <a:ln w="6350">
                <a:solidFill>
                  <a:schemeClr val="lt1"/>
                </a:solidFill>
              </a:ln>
              <a:effectLst/>
            </c:spPr>
            <c:extLst>
              <c:ext xmlns:c16="http://schemas.microsoft.com/office/drawing/2014/chart" uri="{C3380CC4-5D6E-409C-BE32-E72D297353CC}">
                <c16:uniqueId val="{00000005-F01A-4DB3-964E-47DA832D64E5}"/>
              </c:ext>
            </c:extLst>
          </c:dPt>
          <c:dPt>
            <c:idx val="3"/>
            <c:bubble3D val="0"/>
            <c:spPr>
              <a:solidFill>
                <a:schemeClr val="accent4"/>
              </a:solidFill>
              <a:ln w="6350">
                <a:solidFill>
                  <a:schemeClr val="lt1"/>
                </a:solidFill>
              </a:ln>
              <a:effectLst/>
            </c:spPr>
            <c:extLst>
              <c:ext xmlns:c16="http://schemas.microsoft.com/office/drawing/2014/chart" uri="{C3380CC4-5D6E-409C-BE32-E72D297353CC}">
                <c16:uniqueId val="{00000007-F01A-4DB3-964E-47DA832D64E5}"/>
              </c:ext>
            </c:extLst>
          </c:dPt>
          <c:dPt>
            <c:idx val="4"/>
            <c:bubble3D val="0"/>
            <c:spPr>
              <a:solidFill>
                <a:schemeClr val="accent5"/>
              </a:solidFill>
              <a:ln w="6350">
                <a:solidFill>
                  <a:schemeClr val="lt1"/>
                </a:solidFill>
              </a:ln>
              <a:effectLst/>
            </c:spPr>
            <c:extLst>
              <c:ext xmlns:c16="http://schemas.microsoft.com/office/drawing/2014/chart" uri="{C3380CC4-5D6E-409C-BE32-E72D297353CC}">
                <c16:uniqueId val="{00000009-F01A-4DB3-964E-47DA832D64E5}"/>
              </c:ext>
            </c:extLst>
          </c:dPt>
          <c:dPt>
            <c:idx val="5"/>
            <c:bubble3D val="0"/>
            <c:spPr>
              <a:solidFill>
                <a:schemeClr val="accent6"/>
              </a:solidFill>
              <a:ln w="6350">
                <a:solidFill>
                  <a:schemeClr val="lt1"/>
                </a:solidFill>
              </a:ln>
              <a:effectLst/>
            </c:spPr>
            <c:extLst>
              <c:ext xmlns:c16="http://schemas.microsoft.com/office/drawing/2014/chart" uri="{C3380CC4-5D6E-409C-BE32-E72D297353CC}">
                <c16:uniqueId val="{0000000B-F01A-4DB3-964E-47DA832D64E5}"/>
              </c:ext>
            </c:extLst>
          </c:dPt>
          <c:dPt>
            <c:idx val="6"/>
            <c:bubble3D val="0"/>
            <c:spPr>
              <a:solidFill>
                <a:schemeClr val="accent1">
                  <a:lumMod val="60000"/>
                </a:schemeClr>
              </a:solidFill>
              <a:ln w="6350">
                <a:solidFill>
                  <a:schemeClr val="lt1"/>
                </a:solidFill>
              </a:ln>
              <a:effectLst/>
            </c:spPr>
            <c:extLst>
              <c:ext xmlns:c16="http://schemas.microsoft.com/office/drawing/2014/chart" uri="{C3380CC4-5D6E-409C-BE32-E72D297353CC}">
                <c16:uniqueId val="{0000000D-F01A-4DB3-964E-47DA832D64E5}"/>
              </c:ext>
            </c:extLst>
          </c:dPt>
          <c:dPt>
            <c:idx val="7"/>
            <c:bubble3D val="0"/>
            <c:spPr>
              <a:solidFill>
                <a:schemeClr val="accent2">
                  <a:lumMod val="60000"/>
                </a:schemeClr>
              </a:solidFill>
              <a:ln w="6350">
                <a:solidFill>
                  <a:schemeClr val="lt1"/>
                </a:solidFill>
              </a:ln>
              <a:effectLst/>
            </c:spPr>
            <c:extLst>
              <c:ext xmlns:c16="http://schemas.microsoft.com/office/drawing/2014/chart" uri="{C3380CC4-5D6E-409C-BE32-E72D297353CC}">
                <c16:uniqueId val="{0000000F-F01A-4DB3-964E-47DA832D64E5}"/>
              </c:ext>
            </c:extLst>
          </c:dPt>
          <c:dPt>
            <c:idx val="8"/>
            <c:bubble3D val="0"/>
            <c:spPr>
              <a:solidFill>
                <a:schemeClr val="accent3">
                  <a:lumMod val="60000"/>
                </a:schemeClr>
              </a:solidFill>
              <a:ln w="6350">
                <a:solidFill>
                  <a:schemeClr val="lt1"/>
                </a:solidFill>
              </a:ln>
              <a:effectLst/>
            </c:spPr>
            <c:extLst>
              <c:ext xmlns:c16="http://schemas.microsoft.com/office/drawing/2014/chart" uri="{C3380CC4-5D6E-409C-BE32-E72D297353CC}">
                <c16:uniqueId val="{00000011-F01A-4DB3-964E-47DA832D64E5}"/>
              </c:ext>
            </c:extLst>
          </c:dPt>
          <c:dPt>
            <c:idx val="9"/>
            <c:bubble3D val="0"/>
            <c:spPr>
              <a:solidFill>
                <a:schemeClr val="accent4">
                  <a:lumMod val="60000"/>
                </a:schemeClr>
              </a:solidFill>
              <a:ln w="6350">
                <a:solidFill>
                  <a:schemeClr val="lt1"/>
                </a:solidFill>
              </a:ln>
              <a:effectLst/>
            </c:spPr>
            <c:extLst>
              <c:ext xmlns:c16="http://schemas.microsoft.com/office/drawing/2014/chart" uri="{C3380CC4-5D6E-409C-BE32-E72D297353CC}">
                <c16:uniqueId val="{00000013-F01A-4DB3-964E-47DA832D64E5}"/>
              </c:ext>
            </c:extLst>
          </c:dPt>
          <c:cat>
            <c:numRef>
              <c:f>'WSA-CC-Water'!$I$13:$I$22</c:f>
              <c:numCache>
                <c:formatCode>@</c:formatCode>
                <c:ptCount val="10"/>
              </c:numCache>
            </c:numRef>
          </c:cat>
          <c:val>
            <c:numRef>
              <c:f>'WSA-CC-Water'!$M$13:$M$22</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F01A-4DB3-964E-47DA832D64E5}"/>
            </c:ext>
          </c:extLst>
        </c:ser>
        <c:dLbls>
          <c:showLegendKey val="0"/>
          <c:showVal val="0"/>
          <c:showCatName val="0"/>
          <c:showSerName val="0"/>
          <c:showPercent val="0"/>
          <c:showBubbleSize val="0"/>
          <c:showLeaderLines val="0"/>
        </c:dLbls>
        <c:firstSliceAng val="0"/>
        <c:holeSize val="0"/>
      </c:doughnutChart>
      <c:spPr>
        <a:noFill/>
        <a:ln>
          <a:noFill/>
        </a:ln>
        <a:effectLst/>
      </c:spPr>
    </c:plotArea>
    <c:legend>
      <c:legendPos val="b"/>
      <c:layout>
        <c:manualLayout>
          <c:xMode val="edge"/>
          <c:yMode val="edge"/>
          <c:x val="0.63979077653559546"/>
          <c:y val="0.11444014063436171"/>
          <c:w val="0.36020922346440459"/>
          <c:h val="0.8641581109663922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Figure 3.</a:t>
            </a:r>
            <a:r>
              <a:rPr lang="en-GB" sz="1200" b="1" baseline="0"/>
              <a:t> </a:t>
            </a:r>
            <a:r>
              <a:rPr lang="en-GB" sz="1200" b="1"/>
              <a:t>Material </a:t>
            </a:r>
            <a:r>
              <a:rPr lang="en-GB" sz="1200" b="1" baseline="0"/>
              <a:t>consumption and its carbon footprint</a:t>
            </a:r>
            <a:endParaRPr lang="en-GB" sz="1200" b="1"/>
          </a:p>
        </c:rich>
      </c:tx>
      <c:layout>
        <c:manualLayout>
          <c:xMode val="edge"/>
          <c:yMode val="edge"/>
          <c:x val="4.9203014600697127E-2"/>
          <c:y val="3.2066791717673342E-2"/>
        </c:manualLayout>
      </c:layout>
      <c:overlay val="0"/>
      <c:spPr>
        <a:noFill/>
        <a:ln>
          <a:noFill/>
        </a:ln>
        <a:effectLst/>
      </c:spPr>
    </c:title>
    <c:autoTitleDeleted val="0"/>
    <c:plotArea>
      <c:layout>
        <c:manualLayout>
          <c:layoutTarget val="inner"/>
          <c:xMode val="edge"/>
          <c:yMode val="edge"/>
          <c:x val="0.10535570329711409"/>
          <c:y val="0.1267466895166226"/>
          <c:w val="0.39395216636587033"/>
          <c:h val="0.8165038127263694"/>
        </c:manualLayout>
      </c:layout>
      <c:doughnutChart>
        <c:varyColors val="1"/>
        <c:ser>
          <c:idx val="0"/>
          <c:order val="0"/>
          <c:spPr>
            <a:ln w="6350"/>
          </c:spPr>
          <c:dPt>
            <c:idx val="0"/>
            <c:bubble3D val="0"/>
            <c:spPr>
              <a:solidFill>
                <a:schemeClr val="accent1"/>
              </a:solidFill>
              <a:ln w="6350">
                <a:solidFill>
                  <a:schemeClr val="lt1"/>
                </a:solidFill>
              </a:ln>
              <a:effectLst/>
            </c:spPr>
            <c:extLst>
              <c:ext xmlns:c16="http://schemas.microsoft.com/office/drawing/2014/chart" uri="{C3380CC4-5D6E-409C-BE32-E72D297353CC}">
                <c16:uniqueId val="{00000001-8653-41FD-B335-B2C2AA3472A7}"/>
              </c:ext>
            </c:extLst>
          </c:dPt>
          <c:dPt>
            <c:idx val="1"/>
            <c:bubble3D val="0"/>
            <c:spPr>
              <a:solidFill>
                <a:schemeClr val="accent2"/>
              </a:solidFill>
              <a:ln w="6350">
                <a:solidFill>
                  <a:schemeClr val="lt1"/>
                </a:solidFill>
              </a:ln>
              <a:effectLst/>
            </c:spPr>
            <c:extLst>
              <c:ext xmlns:c16="http://schemas.microsoft.com/office/drawing/2014/chart" uri="{C3380CC4-5D6E-409C-BE32-E72D297353CC}">
                <c16:uniqueId val="{00000003-8653-41FD-B335-B2C2AA3472A7}"/>
              </c:ext>
            </c:extLst>
          </c:dPt>
          <c:dPt>
            <c:idx val="2"/>
            <c:bubble3D val="0"/>
            <c:spPr>
              <a:solidFill>
                <a:schemeClr val="accent3"/>
              </a:solidFill>
              <a:ln w="6350">
                <a:solidFill>
                  <a:schemeClr val="lt1"/>
                </a:solidFill>
              </a:ln>
              <a:effectLst/>
            </c:spPr>
            <c:extLst>
              <c:ext xmlns:c16="http://schemas.microsoft.com/office/drawing/2014/chart" uri="{C3380CC4-5D6E-409C-BE32-E72D297353CC}">
                <c16:uniqueId val="{00000005-8653-41FD-B335-B2C2AA3472A7}"/>
              </c:ext>
            </c:extLst>
          </c:dPt>
          <c:dPt>
            <c:idx val="3"/>
            <c:bubble3D val="0"/>
            <c:spPr>
              <a:solidFill>
                <a:schemeClr val="accent4"/>
              </a:solidFill>
              <a:ln w="6350">
                <a:solidFill>
                  <a:schemeClr val="lt1"/>
                </a:solidFill>
              </a:ln>
              <a:effectLst/>
            </c:spPr>
            <c:extLst>
              <c:ext xmlns:c16="http://schemas.microsoft.com/office/drawing/2014/chart" uri="{C3380CC4-5D6E-409C-BE32-E72D297353CC}">
                <c16:uniqueId val="{00000007-8653-41FD-B335-B2C2AA3472A7}"/>
              </c:ext>
            </c:extLst>
          </c:dPt>
          <c:dPt>
            <c:idx val="4"/>
            <c:bubble3D val="0"/>
            <c:spPr>
              <a:solidFill>
                <a:schemeClr val="accent5"/>
              </a:solidFill>
              <a:ln w="6350">
                <a:solidFill>
                  <a:schemeClr val="lt1"/>
                </a:solidFill>
              </a:ln>
              <a:effectLst/>
            </c:spPr>
            <c:extLst>
              <c:ext xmlns:c16="http://schemas.microsoft.com/office/drawing/2014/chart" uri="{C3380CC4-5D6E-409C-BE32-E72D297353CC}">
                <c16:uniqueId val="{00000009-8653-41FD-B335-B2C2AA3472A7}"/>
              </c:ext>
            </c:extLst>
          </c:dPt>
          <c:dPt>
            <c:idx val="5"/>
            <c:bubble3D val="0"/>
            <c:spPr>
              <a:solidFill>
                <a:schemeClr val="accent6"/>
              </a:solidFill>
              <a:ln w="6350">
                <a:solidFill>
                  <a:schemeClr val="lt1"/>
                </a:solidFill>
              </a:ln>
              <a:effectLst/>
            </c:spPr>
            <c:extLst>
              <c:ext xmlns:c16="http://schemas.microsoft.com/office/drawing/2014/chart" uri="{C3380CC4-5D6E-409C-BE32-E72D297353CC}">
                <c16:uniqueId val="{0000000B-8653-41FD-B335-B2C2AA3472A7}"/>
              </c:ext>
            </c:extLst>
          </c:dPt>
          <c:dPt>
            <c:idx val="6"/>
            <c:bubble3D val="0"/>
            <c:spPr>
              <a:solidFill>
                <a:schemeClr val="accent1">
                  <a:lumMod val="60000"/>
                </a:schemeClr>
              </a:solidFill>
              <a:ln w="6350">
                <a:solidFill>
                  <a:schemeClr val="lt1"/>
                </a:solidFill>
              </a:ln>
              <a:effectLst/>
            </c:spPr>
            <c:extLst>
              <c:ext xmlns:c16="http://schemas.microsoft.com/office/drawing/2014/chart" uri="{C3380CC4-5D6E-409C-BE32-E72D297353CC}">
                <c16:uniqueId val="{0000000D-8653-41FD-B335-B2C2AA3472A7}"/>
              </c:ext>
            </c:extLst>
          </c:dPt>
          <c:dPt>
            <c:idx val="7"/>
            <c:bubble3D val="0"/>
            <c:spPr>
              <a:solidFill>
                <a:schemeClr val="accent2">
                  <a:lumMod val="60000"/>
                </a:schemeClr>
              </a:solidFill>
              <a:ln w="6350">
                <a:solidFill>
                  <a:schemeClr val="lt1"/>
                </a:solidFill>
              </a:ln>
              <a:effectLst/>
            </c:spPr>
            <c:extLst>
              <c:ext xmlns:c16="http://schemas.microsoft.com/office/drawing/2014/chart" uri="{C3380CC4-5D6E-409C-BE32-E72D297353CC}">
                <c16:uniqueId val="{0000000F-8653-41FD-B335-B2C2AA3472A7}"/>
              </c:ext>
            </c:extLst>
          </c:dPt>
          <c:dPt>
            <c:idx val="10"/>
            <c:bubble3D val="0"/>
            <c:spPr>
              <a:solidFill>
                <a:schemeClr val="accent3">
                  <a:lumMod val="60000"/>
                </a:schemeClr>
              </a:solidFill>
              <a:ln w="6350">
                <a:solidFill>
                  <a:schemeClr val="lt1"/>
                </a:solidFill>
              </a:ln>
              <a:effectLst/>
            </c:spPr>
            <c:extLst>
              <c:ext xmlns:c16="http://schemas.microsoft.com/office/drawing/2014/chart" uri="{C3380CC4-5D6E-409C-BE32-E72D297353CC}">
                <c16:uniqueId val="{00000011-3695-48FB-9EAF-29B8EECB733F}"/>
              </c:ext>
            </c:extLst>
          </c:dPt>
          <c:dPt>
            <c:idx val="13"/>
            <c:bubble3D val="0"/>
            <c:spPr>
              <a:solidFill>
                <a:schemeClr val="accent4">
                  <a:lumMod val="60000"/>
                </a:schemeClr>
              </a:solidFill>
              <a:ln w="6350">
                <a:solidFill>
                  <a:schemeClr val="lt1"/>
                </a:solidFill>
              </a:ln>
              <a:effectLst/>
            </c:spPr>
            <c:extLst>
              <c:ext xmlns:c16="http://schemas.microsoft.com/office/drawing/2014/chart" uri="{C3380CC4-5D6E-409C-BE32-E72D297353CC}">
                <c16:uniqueId val="{00000013-2766-4FBF-9684-E991C3DE1676}"/>
              </c:ext>
            </c:extLst>
          </c:dPt>
          <c:cat>
            <c:strRef>
              <c:f>'WSA-CC-Material'!$I$13:$I$33</c:f>
              <c:strCache>
                <c:ptCount val="21"/>
                <c:pt idx="0">
                  <c:v>Aluminium cans &amp; foil (kg)</c:v>
                </c:pt>
                <c:pt idx="1">
                  <c:v>Scrap Metal (kg)</c:v>
                </c:pt>
                <c:pt idx="2">
                  <c:v>Soil/ clay (kg)</c:v>
                </c:pt>
                <c:pt idx="3">
                  <c:v>Plasterboard (kg)</c:v>
                </c:pt>
                <c:pt idx="4">
                  <c:v>Rubber/ Tyres (kg)</c:v>
                </c:pt>
                <c:pt idx="5">
                  <c:v>Wood (kg)</c:v>
                </c:pt>
                <c:pt idx="6">
                  <c:v>Glass (kg)</c:v>
                </c:pt>
                <c:pt idx="7">
                  <c:v>Raw Fabric (kg-unspecified)</c:v>
                </c:pt>
                <c:pt idx="8">
                  <c:v>Recycled Fabric (kg-unspecified)</c:v>
                </c:pt>
                <c:pt idx="9">
                  <c:v>Food &amp; Drink (kg)</c:v>
                </c:pt>
                <c:pt idx="10">
                  <c:v>Average Plastic (kg)</c:v>
                </c:pt>
                <c:pt idx="11">
                  <c:v>Plastic Film (kg)</c:v>
                </c:pt>
                <c:pt idx="12">
                  <c:v>Card Board (kg)</c:v>
                </c:pt>
                <c:pt idx="13">
                  <c:v>Paper (kg)</c:v>
                </c:pt>
                <c:pt idx="14">
                  <c:v>Fabric: Wool (m2)</c:v>
                </c:pt>
                <c:pt idx="15">
                  <c:v>Fabric: Acrylic (m2)</c:v>
                </c:pt>
                <c:pt idx="16">
                  <c:v>Fabric: Cotton (m2)</c:v>
                </c:pt>
                <c:pt idx="17">
                  <c:v>Fabric: Silk (m2)</c:v>
                </c:pt>
                <c:pt idx="18">
                  <c:v>Fabric: Nylon (m2)</c:v>
                </c:pt>
                <c:pt idx="19">
                  <c:v>Fabric: Polyester (m2)</c:v>
                </c:pt>
                <c:pt idx="20">
                  <c:v>Fabric: Linen (m2)</c:v>
                </c:pt>
              </c:strCache>
            </c:strRef>
          </c:cat>
          <c:val>
            <c:numRef>
              <c:f>'WSA-CC-Material'!$M$13:$M$33</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14-8653-41FD-B335-B2C2AA3472A7}"/>
            </c:ext>
          </c:extLst>
        </c:ser>
        <c:dLbls>
          <c:showLegendKey val="0"/>
          <c:showVal val="0"/>
          <c:showCatName val="0"/>
          <c:showSerName val="0"/>
          <c:showPercent val="0"/>
          <c:showBubbleSize val="0"/>
          <c:showLeaderLines val="0"/>
        </c:dLbls>
        <c:firstSliceAng val="0"/>
        <c:holeSize val="0"/>
      </c:doughnutChart>
      <c:spPr>
        <a:noFill/>
        <a:ln>
          <a:noFill/>
        </a:ln>
        <a:effectLst/>
      </c:spPr>
    </c:plotArea>
    <c:legend>
      <c:legendPos val="b"/>
      <c:layout>
        <c:manualLayout>
          <c:xMode val="edge"/>
          <c:yMode val="edge"/>
          <c:x val="0.6396924136928549"/>
          <c:y val="0.11444014063436171"/>
          <c:w val="0.36030758630714521"/>
          <c:h val="0.8641581109663922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Figure 4.</a:t>
            </a:r>
            <a:r>
              <a:rPr lang="en-GB" sz="1200" b="1" baseline="0"/>
              <a:t> </a:t>
            </a:r>
            <a:r>
              <a:rPr lang="en-GB" sz="1200" b="1"/>
              <a:t>Waste production,</a:t>
            </a:r>
            <a:r>
              <a:rPr lang="en-GB" sz="1200" b="1" baseline="0"/>
              <a:t> disposal, and its carbon footprint</a:t>
            </a:r>
            <a:endParaRPr lang="en-GB" sz="1200" b="1"/>
          </a:p>
        </c:rich>
      </c:tx>
      <c:layout>
        <c:manualLayout>
          <c:xMode val="edge"/>
          <c:yMode val="edge"/>
          <c:x val="4.9203014600697127E-2"/>
          <c:y val="3.2066791717673342E-2"/>
        </c:manualLayout>
      </c:layout>
      <c:overlay val="0"/>
      <c:spPr>
        <a:noFill/>
        <a:ln>
          <a:noFill/>
        </a:ln>
        <a:effectLst/>
      </c:spPr>
    </c:title>
    <c:autoTitleDeleted val="0"/>
    <c:plotArea>
      <c:layout>
        <c:manualLayout>
          <c:layoutTarget val="inner"/>
          <c:xMode val="edge"/>
          <c:yMode val="edge"/>
          <c:x val="0.10535570329711409"/>
          <c:y val="0.1267466895166226"/>
          <c:w val="0.39395216636587033"/>
          <c:h val="0.8165038127263694"/>
        </c:manualLayout>
      </c:layout>
      <c:doughnutChart>
        <c:varyColors val="1"/>
        <c:ser>
          <c:idx val="0"/>
          <c:order val="0"/>
          <c:spPr>
            <a:ln w="6350"/>
          </c:spPr>
          <c:dPt>
            <c:idx val="0"/>
            <c:bubble3D val="0"/>
            <c:spPr>
              <a:solidFill>
                <a:schemeClr val="accent1"/>
              </a:solidFill>
              <a:ln w="6350">
                <a:solidFill>
                  <a:schemeClr val="lt1"/>
                </a:solidFill>
              </a:ln>
              <a:effectLst/>
            </c:spPr>
            <c:extLst>
              <c:ext xmlns:c16="http://schemas.microsoft.com/office/drawing/2014/chart" uri="{C3380CC4-5D6E-409C-BE32-E72D297353CC}">
                <c16:uniqueId val="{00000001-8CF3-4AD6-AE4F-FB82B231A81C}"/>
              </c:ext>
            </c:extLst>
          </c:dPt>
          <c:dPt>
            <c:idx val="1"/>
            <c:bubble3D val="0"/>
            <c:spPr>
              <a:solidFill>
                <a:schemeClr val="accent2"/>
              </a:solidFill>
              <a:ln w="6350">
                <a:solidFill>
                  <a:schemeClr val="lt1"/>
                </a:solidFill>
              </a:ln>
              <a:effectLst/>
            </c:spPr>
            <c:extLst>
              <c:ext xmlns:c16="http://schemas.microsoft.com/office/drawing/2014/chart" uri="{C3380CC4-5D6E-409C-BE32-E72D297353CC}">
                <c16:uniqueId val="{00000003-8CF3-4AD6-AE4F-FB82B231A81C}"/>
              </c:ext>
            </c:extLst>
          </c:dPt>
          <c:dPt>
            <c:idx val="2"/>
            <c:bubble3D val="0"/>
            <c:spPr>
              <a:solidFill>
                <a:schemeClr val="accent3"/>
              </a:solidFill>
              <a:ln w="6350">
                <a:solidFill>
                  <a:schemeClr val="lt1"/>
                </a:solidFill>
              </a:ln>
              <a:effectLst/>
            </c:spPr>
            <c:extLst>
              <c:ext xmlns:c16="http://schemas.microsoft.com/office/drawing/2014/chart" uri="{C3380CC4-5D6E-409C-BE32-E72D297353CC}">
                <c16:uniqueId val="{00000005-8CF3-4AD6-AE4F-FB82B231A81C}"/>
              </c:ext>
            </c:extLst>
          </c:dPt>
          <c:dPt>
            <c:idx val="3"/>
            <c:bubble3D val="0"/>
            <c:spPr>
              <a:solidFill>
                <a:schemeClr val="accent4"/>
              </a:solidFill>
              <a:ln w="6350">
                <a:solidFill>
                  <a:schemeClr val="lt1"/>
                </a:solidFill>
              </a:ln>
              <a:effectLst/>
            </c:spPr>
            <c:extLst>
              <c:ext xmlns:c16="http://schemas.microsoft.com/office/drawing/2014/chart" uri="{C3380CC4-5D6E-409C-BE32-E72D297353CC}">
                <c16:uniqueId val="{00000007-8CF3-4AD6-AE4F-FB82B231A81C}"/>
              </c:ext>
            </c:extLst>
          </c:dPt>
          <c:dPt>
            <c:idx val="4"/>
            <c:bubble3D val="0"/>
            <c:spPr>
              <a:solidFill>
                <a:schemeClr val="accent5"/>
              </a:solidFill>
              <a:ln w="6350">
                <a:solidFill>
                  <a:schemeClr val="lt1"/>
                </a:solidFill>
              </a:ln>
              <a:effectLst/>
            </c:spPr>
            <c:extLst>
              <c:ext xmlns:c16="http://schemas.microsoft.com/office/drawing/2014/chart" uri="{C3380CC4-5D6E-409C-BE32-E72D297353CC}">
                <c16:uniqueId val="{00000009-8CF3-4AD6-AE4F-FB82B231A81C}"/>
              </c:ext>
            </c:extLst>
          </c:dPt>
          <c:dPt>
            <c:idx val="5"/>
            <c:bubble3D val="0"/>
            <c:spPr>
              <a:solidFill>
                <a:schemeClr val="accent6"/>
              </a:solidFill>
              <a:ln w="6350">
                <a:solidFill>
                  <a:schemeClr val="lt1"/>
                </a:solidFill>
              </a:ln>
              <a:effectLst/>
            </c:spPr>
            <c:extLst>
              <c:ext xmlns:c16="http://schemas.microsoft.com/office/drawing/2014/chart" uri="{C3380CC4-5D6E-409C-BE32-E72D297353CC}">
                <c16:uniqueId val="{0000000B-8CF3-4AD6-AE4F-FB82B231A81C}"/>
              </c:ext>
            </c:extLst>
          </c:dPt>
          <c:dPt>
            <c:idx val="6"/>
            <c:bubble3D val="0"/>
            <c:spPr>
              <a:solidFill>
                <a:schemeClr val="accent1">
                  <a:lumMod val="60000"/>
                </a:schemeClr>
              </a:solidFill>
              <a:ln w="6350">
                <a:solidFill>
                  <a:schemeClr val="lt1"/>
                </a:solidFill>
              </a:ln>
              <a:effectLst/>
            </c:spPr>
            <c:extLst>
              <c:ext xmlns:c16="http://schemas.microsoft.com/office/drawing/2014/chart" uri="{C3380CC4-5D6E-409C-BE32-E72D297353CC}">
                <c16:uniqueId val="{0000000D-8CF3-4AD6-AE4F-FB82B231A81C}"/>
              </c:ext>
            </c:extLst>
          </c:dPt>
          <c:dPt>
            <c:idx val="7"/>
            <c:bubble3D val="0"/>
            <c:spPr>
              <a:solidFill>
                <a:schemeClr val="accent2">
                  <a:lumMod val="60000"/>
                </a:schemeClr>
              </a:solidFill>
              <a:ln w="6350">
                <a:solidFill>
                  <a:schemeClr val="lt1"/>
                </a:solidFill>
              </a:ln>
              <a:effectLst/>
            </c:spPr>
            <c:extLst>
              <c:ext xmlns:c16="http://schemas.microsoft.com/office/drawing/2014/chart" uri="{C3380CC4-5D6E-409C-BE32-E72D297353CC}">
                <c16:uniqueId val="{0000000F-8CF3-4AD6-AE4F-FB82B231A81C}"/>
              </c:ext>
            </c:extLst>
          </c:dPt>
          <c:dPt>
            <c:idx val="10"/>
            <c:bubble3D val="0"/>
            <c:spPr>
              <a:solidFill>
                <a:schemeClr val="accent3">
                  <a:lumMod val="60000"/>
                </a:schemeClr>
              </a:solidFill>
              <a:ln w="6350">
                <a:solidFill>
                  <a:schemeClr val="lt1"/>
                </a:solidFill>
              </a:ln>
              <a:effectLst/>
            </c:spPr>
            <c:extLst>
              <c:ext xmlns:c16="http://schemas.microsoft.com/office/drawing/2014/chart" uri="{C3380CC4-5D6E-409C-BE32-E72D297353CC}">
                <c16:uniqueId val="{00000011-8CF3-4AD6-AE4F-FB82B231A81C}"/>
              </c:ext>
            </c:extLst>
          </c:dPt>
          <c:dPt>
            <c:idx val="13"/>
            <c:bubble3D val="0"/>
            <c:spPr>
              <a:solidFill>
                <a:schemeClr val="accent4">
                  <a:lumMod val="60000"/>
                </a:schemeClr>
              </a:solidFill>
              <a:ln w="6350">
                <a:solidFill>
                  <a:schemeClr val="lt1"/>
                </a:solidFill>
              </a:ln>
              <a:effectLst/>
            </c:spPr>
            <c:extLst>
              <c:ext xmlns:c16="http://schemas.microsoft.com/office/drawing/2014/chart" uri="{C3380CC4-5D6E-409C-BE32-E72D297353CC}">
                <c16:uniqueId val="{00000013-8CF3-4AD6-AE4F-FB82B231A81C}"/>
              </c:ext>
            </c:extLst>
          </c:dPt>
          <c:cat>
            <c:strRef>
              <c:f>'WSA-CC-Waste'!$I$13:$I$26</c:f>
              <c:strCache>
                <c:ptCount val="14"/>
                <c:pt idx="0">
                  <c:v>Water* in litres</c:v>
                </c:pt>
                <c:pt idx="1">
                  <c:v>Soil</c:v>
                </c:pt>
                <c:pt idx="2">
                  <c:v>Plasterboard</c:v>
                </c:pt>
                <c:pt idx="3">
                  <c:v>Rubber/ Tyres</c:v>
                </c:pt>
                <c:pt idx="4">
                  <c:v>Wood</c:v>
                </c:pt>
                <c:pt idx="5">
                  <c:v>Book</c:v>
                </c:pt>
                <c:pt idx="6">
                  <c:v>Glass</c:v>
                </c:pt>
                <c:pt idx="7">
                  <c:v>Fabric/ Clothing</c:v>
                </c:pt>
                <c:pt idx="8">
                  <c:v>Household Refuse</c:v>
                </c:pt>
                <c:pt idx="9">
                  <c:v>Food &amp; Drink</c:v>
                </c:pt>
                <c:pt idx="10">
                  <c:v>Commercial &amp; Industrial Refuse</c:v>
                </c:pt>
                <c:pt idx="11">
                  <c:v>All Metal</c:v>
                </c:pt>
                <c:pt idx="12">
                  <c:v>All Plastic</c:v>
                </c:pt>
                <c:pt idx="13">
                  <c:v>Paper &amp; Card Board</c:v>
                </c:pt>
              </c:strCache>
            </c:strRef>
          </c:cat>
          <c:val>
            <c:numRef>
              <c:f>'WSA-CC-Waste'!$M$13:$M$26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4-8CF3-4AD6-AE4F-FB82B231A81C}"/>
            </c:ext>
          </c:extLst>
        </c:ser>
        <c:dLbls>
          <c:showLegendKey val="0"/>
          <c:showVal val="0"/>
          <c:showCatName val="0"/>
          <c:showSerName val="0"/>
          <c:showPercent val="0"/>
          <c:showBubbleSize val="0"/>
          <c:showLeaderLines val="0"/>
        </c:dLbls>
        <c:firstSliceAng val="0"/>
        <c:holeSize val="0"/>
      </c:doughnutChart>
      <c:spPr>
        <a:noFill/>
        <a:ln>
          <a:noFill/>
        </a:ln>
        <a:effectLst/>
      </c:spPr>
    </c:plotArea>
    <c:legend>
      <c:legendPos val="b"/>
      <c:layout>
        <c:manualLayout>
          <c:xMode val="edge"/>
          <c:yMode val="edge"/>
          <c:x val="0.6396924136928549"/>
          <c:y val="0.11444014063436171"/>
          <c:w val="0.36030758630714521"/>
          <c:h val="0.8641581109663922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Figure 5.</a:t>
            </a:r>
            <a:r>
              <a:rPr lang="en-GB" sz="1200" b="1" baseline="0"/>
              <a:t> Carbon footprint from travel</a:t>
            </a:r>
            <a:endParaRPr lang="en-GB" sz="1200" b="1"/>
          </a:p>
        </c:rich>
      </c:tx>
      <c:layout>
        <c:manualLayout>
          <c:xMode val="edge"/>
          <c:yMode val="edge"/>
          <c:x val="4.9203014600697127E-2"/>
          <c:y val="3.2066791717673342E-2"/>
        </c:manualLayout>
      </c:layout>
      <c:overlay val="0"/>
      <c:spPr>
        <a:noFill/>
        <a:ln>
          <a:noFill/>
        </a:ln>
        <a:effectLst/>
      </c:spPr>
    </c:title>
    <c:autoTitleDeleted val="0"/>
    <c:plotArea>
      <c:layout>
        <c:manualLayout>
          <c:layoutTarget val="inner"/>
          <c:xMode val="edge"/>
          <c:yMode val="edge"/>
          <c:x val="0.10535570329711409"/>
          <c:y val="0.1267466895166226"/>
          <c:w val="0.39395216636587033"/>
          <c:h val="0.8165038127263694"/>
        </c:manualLayout>
      </c:layout>
      <c:doughnutChart>
        <c:varyColors val="1"/>
        <c:ser>
          <c:idx val="0"/>
          <c:order val="0"/>
          <c:spPr>
            <a:ln w="6350"/>
          </c:spPr>
          <c:dPt>
            <c:idx val="0"/>
            <c:bubble3D val="0"/>
            <c:spPr>
              <a:solidFill>
                <a:schemeClr val="accent1"/>
              </a:solidFill>
              <a:ln w="6350">
                <a:solidFill>
                  <a:schemeClr val="lt1"/>
                </a:solidFill>
              </a:ln>
              <a:effectLst/>
            </c:spPr>
            <c:extLst>
              <c:ext xmlns:c16="http://schemas.microsoft.com/office/drawing/2014/chart" uri="{C3380CC4-5D6E-409C-BE32-E72D297353CC}">
                <c16:uniqueId val="{00000001-A52B-48C2-85C9-F08A924B4691}"/>
              </c:ext>
            </c:extLst>
          </c:dPt>
          <c:dPt>
            <c:idx val="1"/>
            <c:bubble3D val="0"/>
            <c:spPr>
              <a:solidFill>
                <a:schemeClr val="accent2"/>
              </a:solidFill>
              <a:ln w="6350">
                <a:solidFill>
                  <a:schemeClr val="lt1"/>
                </a:solidFill>
              </a:ln>
              <a:effectLst/>
            </c:spPr>
            <c:extLst>
              <c:ext xmlns:c16="http://schemas.microsoft.com/office/drawing/2014/chart" uri="{C3380CC4-5D6E-409C-BE32-E72D297353CC}">
                <c16:uniqueId val="{00000003-A52B-48C2-85C9-F08A924B4691}"/>
              </c:ext>
            </c:extLst>
          </c:dPt>
          <c:dPt>
            <c:idx val="2"/>
            <c:bubble3D val="0"/>
            <c:spPr>
              <a:solidFill>
                <a:schemeClr val="accent3"/>
              </a:solidFill>
              <a:ln w="6350">
                <a:solidFill>
                  <a:schemeClr val="lt1"/>
                </a:solidFill>
              </a:ln>
              <a:effectLst/>
            </c:spPr>
            <c:extLst>
              <c:ext xmlns:c16="http://schemas.microsoft.com/office/drawing/2014/chart" uri="{C3380CC4-5D6E-409C-BE32-E72D297353CC}">
                <c16:uniqueId val="{00000005-A52B-48C2-85C9-F08A924B4691}"/>
              </c:ext>
            </c:extLst>
          </c:dPt>
          <c:dPt>
            <c:idx val="3"/>
            <c:bubble3D val="0"/>
            <c:spPr>
              <a:solidFill>
                <a:schemeClr val="accent4"/>
              </a:solidFill>
              <a:ln w="6350">
                <a:solidFill>
                  <a:schemeClr val="lt1"/>
                </a:solidFill>
              </a:ln>
              <a:effectLst/>
            </c:spPr>
            <c:extLst>
              <c:ext xmlns:c16="http://schemas.microsoft.com/office/drawing/2014/chart" uri="{C3380CC4-5D6E-409C-BE32-E72D297353CC}">
                <c16:uniqueId val="{00000007-A52B-48C2-85C9-F08A924B4691}"/>
              </c:ext>
            </c:extLst>
          </c:dPt>
          <c:dPt>
            <c:idx val="4"/>
            <c:bubble3D val="0"/>
            <c:spPr>
              <a:solidFill>
                <a:schemeClr val="accent5"/>
              </a:solidFill>
              <a:ln w="6350">
                <a:solidFill>
                  <a:schemeClr val="lt1"/>
                </a:solidFill>
              </a:ln>
              <a:effectLst/>
            </c:spPr>
            <c:extLst>
              <c:ext xmlns:c16="http://schemas.microsoft.com/office/drawing/2014/chart" uri="{C3380CC4-5D6E-409C-BE32-E72D297353CC}">
                <c16:uniqueId val="{00000009-A52B-48C2-85C9-F08A924B4691}"/>
              </c:ext>
            </c:extLst>
          </c:dPt>
          <c:dPt>
            <c:idx val="5"/>
            <c:bubble3D val="0"/>
            <c:spPr>
              <a:solidFill>
                <a:schemeClr val="accent6"/>
              </a:solidFill>
              <a:ln w="6350">
                <a:solidFill>
                  <a:schemeClr val="lt1"/>
                </a:solidFill>
              </a:ln>
              <a:effectLst/>
            </c:spPr>
            <c:extLst>
              <c:ext xmlns:c16="http://schemas.microsoft.com/office/drawing/2014/chart" uri="{C3380CC4-5D6E-409C-BE32-E72D297353CC}">
                <c16:uniqueId val="{0000000B-A52B-48C2-85C9-F08A924B4691}"/>
              </c:ext>
            </c:extLst>
          </c:dPt>
          <c:dPt>
            <c:idx val="6"/>
            <c:bubble3D val="0"/>
            <c:spPr>
              <a:solidFill>
                <a:schemeClr val="accent1">
                  <a:lumMod val="60000"/>
                </a:schemeClr>
              </a:solidFill>
              <a:ln w="6350">
                <a:solidFill>
                  <a:schemeClr val="lt1"/>
                </a:solidFill>
              </a:ln>
              <a:effectLst/>
            </c:spPr>
            <c:extLst>
              <c:ext xmlns:c16="http://schemas.microsoft.com/office/drawing/2014/chart" uri="{C3380CC4-5D6E-409C-BE32-E72D297353CC}">
                <c16:uniqueId val="{0000000D-A52B-48C2-85C9-F08A924B4691}"/>
              </c:ext>
            </c:extLst>
          </c:dPt>
          <c:dPt>
            <c:idx val="7"/>
            <c:bubble3D val="0"/>
            <c:spPr>
              <a:solidFill>
                <a:schemeClr val="accent2">
                  <a:lumMod val="60000"/>
                </a:schemeClr>
              </a:solidFill>
              <a:ln w="6350">
                <a:solidFill>
                  <a:schemeClr val="lt1"/>
                </a:solidFill>
              </a:ln>
              <a:effectLst/>
            </c:spPr>
            <c:extLst>
              <c:ext xmlns:c16="http://schemas.microsoft.com/office/drawing/2014/chart" uri="{C3380CC4-5D6E-409C-BE32-E72D297353CC}">
                <c16:uniqueId val="{0000000F-A52B-48C2-85C9-F08A924B4691}"/>
              </c:ext>
            </c:extLst>
          </c:dPt>
          <c:dPt>
            <c:idx val="10"/>
            <c:bubble3D val="0"/>
            <c:spPr>
              <a:solidFill>
                <a:schemeClr val="accent3">
                  <a:lumMod val="60000"/>
                </a:schemeClr>
              </a:solidFill>
              <a:ln w="6350">
                <a:solidFill>
                  <a:schemeClr val="lt1"/>
                </a:solidFill>
              </a:ln>
              <a:effectLst/>
            </c:spPr>
            <c:extLst>
              <c:ext xmlns:c16="http://schemas.microsoft.com/office/drawing/2014/chart" uri="{C3380CC4-5D6E-409C-BE32-E72D297353CC}">
                <c16:uniqueId val="{00000011-A52B-48C2-85C9-F08A924B4691}"/>
              </c:ext>
            </c:extLst>
          </c:dPt>
          <c:cat>
            <c:strRef>
              <c:f>'WSA-CC-Travel'!$I$13:$I$23</c:f>
              <c:strCache>
                <c:ptCount val="11"/>
                <c:pt idx="0">
                  <c:v>Air travel for an average passenger</c:v>
                </c:pt>
                <c:pt idx="1">
                  <c:v>Sea travel</c:v>
                </c:pt>
                <c:pt idx="2">
                  <c:v>Diesel car</c:v>
                </c:pt>
                <c:pt idx="3">
                  <c:v>Petrol car</c:v>
                </c:pt>
                <c:pt idx="4">
                  <c:v>Hybrid car</c:v>
                </c:pt>
                <c:pt idx="5">
                  <c:v>Plug-in hybrid electric vehicle</c:v>
                </c:pt>
                <c:pt idx="6">
                  <c:v>Battery electric vehicle</c:v>
                </c:pt>
                <c:pt idx="7">
                  <c:v>Motorbike</c:v>
                </c:pt>
                <c:pt idx="8">
                  <c:v>Taxi per passenger</c:v>
                </c:pt>
                <c:pt idx="9">
                  <c:v>Bus per passenger</c:v>
                </c:pt>
                <c:pt idx="10">
                  <c:v>Rail per passenger</c:v>
                </c:pt>
              </c:strCache>
            </c:strRef>
          </c:cat>
          <c:val>
            <c:numRef>
              <c:f>'WSA-CC-Travel'!$M$13:$M$23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4-A52B-48C2-85C9-F08A924B4691}"/>
            </c:ext>
          </c:extLst>
        </c:ser>
        <c:dLbls>
          <c:showLegendKey val="0"/>
          <c:showVal val="0"/>
          <c:showCatName val="0"/>
          <c:showSerName val="0"/>
          <c:showPercent val="0"/>
          <c:showBubbleSize val="0"/>
          <c:showLeaderLines val="0"/>
        </c:dLbls>
        <c:firstSliceAng val="0"/>
        <c:holeSize val="0"/>
      </c:doughnutChart>
      <c:spPr>
        <a:noFill/>
        <a:ln>
          <a:noFill/>
        </a:ln>
        <a:effectLst/>
      </c:spPr>
    </c:plotArea>
    <c:legend>
      <c:legendPos val="b"/>
      <c:layout>
        <c:manualLayout>
          <c:xMode val="edge"/>
          <c:yMode val="edge"/>
          <c:x val="0.6396924136928549"/>
          <c:y val="0.11444014063436171"/>
          <c:w val="0.36030758630714521"/>
          <c:h val="0.8641581109663922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Figure 6.</a:t>
            </a:r>
            <a:r>
              <a:rPr lang="en-GB" sz="1200" b="1" baseline="0"/>
              <a:t> carbon footprint from freight</a:t>
            </a:r>
            <a:endParaRPr lang="en-GB" sz="1200" b="1"/>
          </a:p>
        </c:rich>
      </c:tx>
      <c:layout>
        <c:manualLayout>
          <c:xMode val="edge"/>
          <c:yMode val="edge"/>
          <c:x val="4.9203014600697127E-2"/>
          <c:y val="3.2066791717673342E-2"/>
        </c:manualLayout>
      </c:layout>
      <c:overlay val="0"/>
      <c:spPr>
        <a:noFill/>
        <a:ln>
          <a:noFill/>
        </a:ln>
        <a:effectLst/>
      </c:spPr>
    </c:title>
    <c:autoTitleDeleted val="0"/>
    <c:plotArea>
      <c:layout>
        <c:manualLayout>
          <c:layoutTarget val="inner"/>
          <c:xMode val="edge"/>
          <c:yMode val="edge"/>
          <c:x val="0.10535570329711409"/>
          <c:y val="0.1267466895166226"/>
          <c:w val="0.39395216636587033"/>
          <c:h val="0.8165038127263694"/>
        </c:manualLayout>
      </c:layout>
      <c:doughnutChart>
        <c:varyColors val="1"/>
        <c:ser>
          <c:idx val="0"/>
          <c:order val="0"/>
          <c:spPr>
            <a:ln w="6350"/>
          </c:spPr>
          <c:dPt>
            <c:idx val="0"/>
            <c:bubble3D val="0"/>
            <c:spPr>
              <a:solidFill>
                <a:schemeClr val="accent1"/>
              </a:solidFill>
              <a:ln w="6350">
                <a:solidFill>
                  <a:schemeClr val="lt1"/>
                </a:solidFill>
              </a:ln>
              <a:effectLst/>
            </c:spPr>
            <c:extLst>
              <c:ext xmlns:c16="http://schemas.microsoft.com/office/drawing/2014/chart" uri="{C3380CC4-5D6E-409C-BE32-E72D297353CC}">
                <c16:uniqueId val="{00000001-FE1D-41E2-A3F4-202DA1408531}"/>
              </c:ext>
            </c:extLst>
          </c:dPt>
          <c:dPt>
            <c:idx val="1"/>
            <c:bubble3D val="0"/>
            <c:spPr>
              <a:solidFill>
                <a:schemeClr val="accent2"/>
              </a:solidFill>
              <a:ln w="6350">
                <a:solidFill>
                  <a:schemeClr val="lt1"/>
                </a:solidFill>
              </a:ln>
              <a:effectLst/>
            </c:spPr>
            <c:extLst>
              <c:ext xmlns:c16="http://schemas.microsoft.com/office/drawing/2014/chart" uri="{C3380CC4-5D6E-409C-BE32-E72D297353CC}">
                <c16:uniqueId val="{00000003-FE1D-41E2-A3F4-202DA1408531}"/>
              </c:ext>
            </c:extLst>
          </c:dPt>
          <c:dPt>
            <c:idx val="4"/>
            <c:bubble3D val="0"/>
            <c:spPr>
              <a:solidFill>
                <a:schemeClr val="accent3"/>
              </a:solidFill>
              <a:ln w="6350">
                <a:solidFill>
                  <a:schemeClr val="lt1"/>
                </a:solidFill>
              </a:ln>
              <a:effectLst/>
            </c:spPr>
            <c:extLst>
              <c:ext xmlns:c16="http://schemas.microsoft.com/office/drawing/2014/chart" uri="{C3380CC4-5D6E-409C-BE32-E72D297353CC}">
                <c16:uniqueId val="{00000009-FE1D-41E2-A3F4-202DA1408531}"/>
              </c:ext>
            </c:extLst>
          </c:dPt>
          <c:dPt>
            <c:idx val="5"/>
            <c:bubble3D val="0"/>
            <c:spPr>
              <a:solidFill>
                <a:schemeClr val="accent4"/>
              </a:solidFill>
              <a:ln w="6350">
                <a:solidFill>
                  <a:schemeClr val="lt1"/>
                </a:solidFill>
              </a:ln>
              <a:effectLst/>
            </c:spPr>
            <c:extLst>
              <c:ext xmlns:c16="http://schemas.microsoft.com/office/drawing/2014/chart" uri="{C3380CC4-5D6E-409C-BE32-E72D297353CC}">
                <c16:uniqueId val="{0000000B-FE1D-41E2-A3F4-202DA1408531}"/>
              </c:ext>
            </c:extLst>
          </c:dPt>
          <c:dPt>
            <c:idx val="6"/>
            <c:bubble3D val="0"/>
            <c:spPr>
              <a:solidFill>
                <a:schemeClr val="accent5"/>
              </a:solidFill>
              <a:ln w="6350">
                <a:solidFill>
                  <a:schemeClr val="lt1"/>
                </a:solidFill>
              </a:ln>
              <a:effectLst/>
            </c:spPr>
            <c:extLst>
              <c:ext xmlns:c16="http://schemas.microsoft.com/office/drawing/2014/chart" uri="{C3380CC4-5D6E-409C-BE32-E72D297353CC}">
                <c16:uniqueId val="{0000000D-FE1D-41E2-A3F4-202DA1408531}"/>
              </c:ext>
            </c:extLst>
          </c:dPt>
          <c:dPt>
            <c:idx val="7"/>
            <c:bubble3D val="0"/>
            <c:spPr>
              <a:solidFill>
                <a:schemeClr val="accent6"/>
              </a:solidFill>
              <a:ln w="6350">
                <a:solidFill>
                  <a:schemeClr val="lt1"/>
                </a:solidFill>
              </a:ln>
              <a:effectLst/>
            </c:spPr>
            <c:extLst>
              <c:ext xmlns:c16="http://schemas.microsoft.com/office/drawing/2014/chart" uri="{C3380CC4-5D6E-409C-BE32-E72D297353CC}">
                <c16:uniqueId val="{0000000F-FE1D-41E2-A3F4-202DA1408531}"/>
              </c:ext>
            </c:extLst>
          </c:dPt>
          <c:dPt>
            <c:idx val="8"/>
            <c:bubble3D val="0"/>
            <c:spPr>
              <a:solidFill>
                <a:schemeClr val="accent1">
                  <a:lumMod val="60000"/>
                </a:schemeClr>
              </a:solidFill>
              <a:ln w="6350">
                <a:solidFill>
                  <a:schemeClr val="lt1"/>
                </a:solidFill>
              </a:ln>
              <a:effectLst/>
            </c:spPr>
            <c:extLst>
              <c:ext xmlns:c16="http://schemas.microsoft.com/office/drawing/2014/chart" uri="{C3380CC4-5D6E-409C-BE32-E72D297353CC}">
                <c16:uniqueId val="{0000000D-FAA6-4E2E-A4BA-D20D2A2F5600}"/>
              </c:ext>
            </c:extLst>
          </c:dPt>
          <c:dPt>
            <c:idx val="9"/>
            <c:bubble3D val="0"/>
            <c:spPr>
              <a:solidFill>
                <a:schemeClr val="accent2">
                  <a:lumMod val="60000"/>
                </a:schemeClr>
              </a:solidFill>
              <a:ln w="6350">
                <a:solidFill>
                  <a:schemeClr val="lt1"/>
                </a:solidFill>
              </a:ln>
              <a:effectLst/>
            </c:spPr>
            <c:extLst>
              <c:ext xmlns:c16="http://schemas.microsoft.com/office/drawing/2014/chart" uri="{C3380CC4-5D6E-409C-BE32-E72D297353CC}">
                <c16:uniqueId val="{0000000F-FAA6-4E2E-A4BA-D20D2A2F5600}"/>
              </c:ext>
            </c:extLst>
          </c:dPt>
          <c:cat>
            <c:strRef>
              <c:f>'WSA-CC-Freight'!$I$13:$I$23</c:f>
              <c:strCache>
                <c:ptCount val="11"/>
                <c:pt idx="0">
                  <c:v>Land-average diesel van</c:v>
                </c:pt>
                <c:pt idx="1">
                  <c:v>Land-average petrol van</c:v>
                </c:pt>
                <c:pt idx="2">
                  <c:v>Land-average plug-in hybrid e.van</c:v>
                </c:pt>
                <c:pt idx="3">
                  <c:v>Land-average electric van</c:v>
                </c:pt>
                <c:pt idx="4">
                  <c:v>Land-train</c:v>
                </c:pt>
                <c:pt idx="5">
                  <c:v>Air-Domestic, to/from UK</c:v>
                </c:pt>
                <c:pt idx="6">
                  <c:v>Air-Short-haul, to/from UK</c:v>
                </c:pt>
                <c:pt idx="7">
                  <c:v>Air-Long-haul, to/from UK</c:v>
                </c:pt>
                <c:pt idx="8">
                  <c:v>Air-International, to/from non-UK</c:v>
                </c:pt>
                <c:pt idx="9">
                  <c:v>Sea-General cargo-Average</c:v>
                </c:pt>
                <c:pt idx="10">
                  <c:v>Sea-Container ship-Average</c:v>
                </c:pt>
              </c:strCache>
            </c:strRef>
          </c:cat>
          <c:val>
            <c:numRef>
              <c:f>'WSA-CC-Freight'!$M$13:$M$23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2-FE1D-41E2-A3F4-202DA1408531}"/>
            </c:ext>
          </c:extLst>
        </c:ser>
        <c:dLbls>
          <c:showLegendKey val="0"/>
          <c:showVal val="0"/>
          <c:showCatName val="0"/>
          <c:showSerName val="0"/>
          <c:showPercent val="0"/>
          <c:showBubbleSize val="0"/>
          <c:showLeaderLines val="0"/>
        </c:dLbls>
        <c:firstSliceAng val="0"/>
        <c:holeSize val="0"/>
      </c:doughnutChart>
      <c:spPr>
        <a:noFill/>
        <a:ln>
          <a:noFill/>
        </a:ln>
        <a:effectLst/>
      </c:spPr>
    </c:plotArea>
    <c:legend>
      <c:legendPos val="b"/>
      <c:layout>
        <c:manualLayout>
          <c:xMode val="edge"/>
          <c:yMode val="edge"/>
          <c:x val="0.6396924136928549"/>
          <c:y val="0.11444014063436171"/>
          <c:w val="0.36030758630714521"/>
          <c:h val="0.8641581109663922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Figure 7.</a:t>
            </a:r>
            <a:r>
              <a:rPr lang="en-GB" sz="1200" b="1" baseline="0"/>
              <a:t> Carbon footprint from hotel stays</a:t>
            </a:r>
            <a:endParaRPr lang="en-GB" sz="1200" b="1"/>
          </a:p>
        </c:rich>
      </c:tx>
      <c:layout>
        <c:manualLayout>
          <c:xMode val="edge"/>
          <c:yMode val="edge"/>
          <c:x val="4.9203014600697127E-2"/>
          <c:y val="3.2066791717673342E-2"/>
        </c:manualLayout>
      </c:layout>
      <c:overlay val="0"/>
      <c:spPr>
        <a:noFill/>
        <a:ln>
          <a:noFill/>
        </a:ln>
        <a:effectLst/>
      </c:spPr>
    </c:title>
    <c:autoTitleDeleted val="0"/>
    <c:plotArea>
      <c:layout>
        <c:manualLayout>
          <c:layoutTarget val="inner"/>
          <c:xMode val="edge"/>
          <c:yMode val="edge"/>
          <c:x val="0.10535570329711409"/>
          <c:y val="0.1267466895166226"/>
          <c:w val="0.39395216636587033"/>
          <c:h val="0.8165038127263694"/>
        </c:manualLayout>
      </c:layout>
      <c:doughnutChart>
        <c:varyColors val="1"/>
        <c:ser>
          <c:idx val="0"/>
          <c:order val="0"/>
          <c:spPr>
            <a:ln w="6350"/>
          </c:spPr>
          <c:dPt>
            <c:idx val="0"/>
            <c:bubble3D val="0"/>
            <c:spPr>
              <a:solidFill>
                <a:schemeClr val="accent1"/>
              </a:solidFill>
              <a:ln w="6350">
                <a:solidFill>
                  <a:schemeClr val="lt1"/>
                </a:solidFill>
              </a:ln>
              <a:effectLst/>
            </c:spPr>
            <c:extLst>
              <c:ext xmlns:c16="http://schemas.microsoft.com/office/drawing/2014/chart" uri="{C3380CC4-5D6E-409C-BE32-E72D297353CC}">
                <c16:uniqueId val="{00000001-4C4A-4BAF-97D3-03C4B960F10C}"/>
              </c:ext>
            </c:extLst>
          </c:dPt>
          <c:dPt>
            <c:idx val="1"/>
            <c:bubble3D val="0"/>
            <c:spPr>
              <a:solidFill>
                <a:schemeClr val="accent2"/>
              </a:solidFill>
              <a:ln w="6350">
                <a:solidFill>
                  <a:schemeClr val="lt1"/>
                </a:solidFill>
              </a:ln>
              <a:effectLst/>
            </c:spPr>
            <c:extLst>
              <c:ext xmlns:c16="http://schemas.microsoft.com/office/drawing/2014/chart" uri="{C3380CC4-5D6E-409C-BE32-E72D297353CC}">
                <c16:uniqueId val="{00000003-4C4A-4BAF-97D3-03C4B960F10C}"/>
              </c:ext>
            </c:extLst>
          </c:dPt>
          <c:dPt>
            <c:idx val="2"/>
            <c:bubble3D val="0"/>
            <c:spPr>
              <a:solidFill>
                <a:schemeClr val="accent3"/>
              </a:solidFill>
              <a:ln w="6350">
                <a:solidFill>
                  <a:schemeClr val="lt1"/>
                </a:solidFill>
              </a:ln>
              <a:effectLst/>
            </c:spPr>
            <c:extLst>
              <c:ext xmlns:c16="http://schemas.microsoft.com/office/drawing/2014/chart" uri="{C3380CC4-5D6E-409C-BE32-E72D297353CC}">
                <c16:uniqueId val="{00000005-4C4A-4BAF-97D3-03C4B960F10C}"/>
              </c:ext>
            </c:extLst>
          </c:dPt>
          <c:dPt>
            <c:idx val="3"/>
            <c:bubble3D val="0"/>
            <c:spPr>
              <a:solidFill>
                <a:schemeClr val="accent4"/>
              </a:solidFill>
              <a:ln w="6350">
                <a:solidFill>
                  <a:schemeClr val="lt1"/>
                </a:solidFill>
              </a:ln>
              <a:effectLst/>
            </c:spPr>
            <c:extLst>
              <c:ext xmlns:c16="http://schemas.microsoft.com/office/drawing/2014/chart" uri="{C3380CC4-5D6E-409C-BE32-E72D297353CC}">
                <c16:uniqueId val="{00000007-4C4A-4BAF-97D3-03C4B960F10C}"/>
              </c:ext>
            </c:extLst>
          </c:dPt>
          <c:dPt>
            <c:idx val="4"/>
            <c:bubble3D val="0"/>
            <c:spPr>
              <a:solidFill>
                <a:schemeClr val="accent5"/>
              </a:solidFill>
              <a:ln w="6350">
                <a:solidFill>
                  <a:schemeClr val="lt1"/>
                </a:solidFill>
              </a:ln>
              <a:effectLst/>
            </c:spPr>
            <c:extLst>
              <c:ext xmlns:c16="http://schemas.microsoft.com/office/drawing/2014/chart" uri="{C3380CC4-5D6E-409C-BE32-E72D297353CC}">
                <c16:uniqueId val="{00000009-4C4A-4BAF-97D3-03C4B960F10C}"/>
              </c:ext>
            </c:extLst>
          </c:dPt>
          <c:dPt>
            <c:idx val="5"/>
            <c:bubble3D val="0"/>
            <c:spPr>
              <a:solidFill>
                <a:schemeClr val="accent6"/>
              </a:solidFill>
              <a:ln w="6350">
                <a:solidFill>
                  <a:schemeClr val="lt1"/>
                </a:solidFill>
              </a:ln>
              <a:effectLst/>
            </c:spPr>
            <c:extLst>
              <c:ext xmlns:c16="http://schemas.microsoft.com/office/drawing/2014/chart" uri="{C3380CC4-5D6E-409C-BE32-E72D297353CC}">
                <c16:uniqueId val="{0000000B-4C4A-4BAF-97D3-03C4B960F10C}"/>
              </c:ext>
            </c:extLst>
          </c:dPt>
          <c:dPt>
            <c:idx val="6"/>
            <c:bubble3D val="0"/>
            <c:spPr>
              <a:solidFill>
                <a:schemeClr val="accent1">
                  <a:lumMod val="60000"/>
                </a:schemeClr>
              </a:solidFill>
              <a:ln w="6350">
                <a:solidFill>
                  <a:schemeClr val="lt1"/>
                </a:solidFill>
              </a:ln>
              <a:effectLst/>
            </c:spPr>
            <c:extLst>
              <c:ext xmlns:c16="http://schemas.microsoft.com/office/drawing/2014/chart" uri="{C3380CC4-5D6E-409C-BE32-E72D297353CC}">
                <c16:uniqueId val="{0000000D-4C4A-4BAF-97D3-03C4B960F10C}"/>
              </c:ext>
            </c:extLst>
          </c:dPt>
          <c:dPt>
            <c:idx val="7"/>
            <c:bubble3D val="0"/>
            <c:spPr>
              <a:solidFill>
                <a:schemeClr val="accent2">
                  <a:lumMod val="60000"/>
                </a:schemeClr>
              </a:solidFill>
              <a:ln w="6350">
                <a:solidFill>
                  <a:schemeClr val="lt1"/>
                </a:solidFill>
              </a:ln>
              <a:effectLst/>
            </c:spPr>
            <c:extLst>
              <c:ext xmlns:c16="http://schemas.microsoft.com/office/drawing/2014/chart" uri="{C3380CC4-5D6E-409C-BE32-E72D297353CC}">
                <c16:uniqueId val="{0000000F-4C4A-4BAF-97D3-03C4B960F10C}"/>
              </c:ext>
            </c:extLst>
          </c:dPt>
          <c:cat>
            <c:numRef>
              <c:f>'WSA-CC-Accommodation'!$I$13:$I$21</c:f>
              <c:numCache>
                <c:formatCode>@</c:formatCode>
                <c:ptCount val="9"/>
              </c:numCache>
            </c:numRef>
          </c:cat>
          <c:val>
            <c:numRef>
              <c:f>'WSA-CC-Accommodation'!$M$13:$M$21</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4C4A-4BAF-97D3-03C4B960F10C}"/>
            </c:ext>
          </c:extLst>
        </c:ser>
        <c:dLbls>
          <c:showLegendKey val="0"/>
          <c:showVal val="0"/>
          <c:showCatName val="0"/>
          <c:showSerName val="0"/>
          <c:showPercent val="0"/>
          <c:showBubbleSize val="0"/>
          <c:showLeaderLines val="0"/>
        </c:dLbls>
        <c:firstSliceAng val="0"/>
        <c:holeSize val="0"/>
      </c:doughnutChart>
      <c:spPr>
        <a:noFill/>
        <a:ln>
          <a:noFill/>
        </a:ln>
        <a:effectLst/>
      </c:spPr>
    </c:plotArea>
    <c:legend>
      <c:legendPos val="b"/>
      <c:layout>
        <c:manualLayout>
          <c:xMode val="edge"/>
          <c:yMode val="edge"/>
          <c:x val="0.6396924136928549"/>
          <c:y val="0.11444014063436171"/>
          <c:w val="0.36030758630714521"/>
          <c:h val="0.8641581109663922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Figure 8.</a:t>
            </a:r>
            <a:r>
              <a:rPr lang="en-GB" sz="1200" b="1" baseline="0"/>
              <a:t> Total Carbon footprint and its sources</a:t>
            </a:r>
            <a:endParaRPr lang="en-GB" sz="1200" b="1"/>
          </a:p>
        </c:rich>
      </c:tx>
      <c:layout>
        <c:manualLayout>
          <c:xMode val="edge"/>
          <c:yMode val="edge"/>
          <c:x val="4.9203014600697127E-2"/>
          <c:y val="3.2066791717673342E-2"/>
        </c:manualLayout>
      </c:layout>
      <c:overlay val="0"/>
      <c:spPr>
        <a:noFill/>
        <a:ln>
          <a:noFill/>
        </a:ln>
        <a:effectLst/>
      </c:spPr>
    </c:title>
    <c:autoTitleDeleted val="0"/>
    <c:plotArea>
      <c:layout>
        <c:manualLayout>
          <c:layoutTarget val="inner"/>
          <c:xMode val="edge"/>
          <c:yMode val="edge"/>
          <c:x val="0.10535570329711409"/>
          <c:y val="0.1267466895166226"/>
          <c:w val="0.39395216636587033"/>
          <c:h val="0.8165038127263694"/>
        </c:manualLayout>
      </c:layout>
      <c:doughnutChart>
        <c:varyColors val="1"/>
        <c:ser>
          <c:idx val="0"/>
          <c:order val="0"/>
          <c:spPr>
            <a:ln w="6350"/>
          </c:spPr>
          <c:dPt>
            <c:idx val="0"/>
            <c:bubble3D val="0"/>
            <c:spPr>
              <a:solidFill>
                <a:schemeClr val="accent1"/>
              </a:solidFill>
              <a:ln w="6350">
                <a:solidFill>
                  <a:schemeClr val="lt1"/>
                </a:solidFill>
              </a:ln>
              <a:effectLst/>
            </c:spPr>
            <c:extLst>
              <c:ext xmlns:c16="http://schemas.microsoft.com/office/drawing/2014/chart" uri="{C3380CC4-5D6E-409C-BE32-E72D297353CC}">
                <c16:uniqueId val="{00000001-AADB-41E0-A36F-D1F69B6A7244}"/>
              </c:ext>
            </c:extLst>
          </c:dPt>
          <c:dPt>
            <c:idx val="1"/>
            <c:bubble3D val="0"/>
            <c:spPr>
              <a:solidFill>
                <a:schemeClr val="accent2"/>
              </a:solidFill>
              <a:ln w="6350">
                <a:solidFill>
                  <a:schemeClr val="lt1"/>
                </a:solidFill>
              </a:ln>
              <a:effectLst/>
            </c:spPr>
            <c:extLst>
              <c:ext xmlns:c16="http://schemas.microsoft.com/office/drawing/2014/chart" uri="{C3380CC4-5D6E-409C-BE32-E72D297353CC}">
                <c16:uniqueId val="{00000003-7691-4F2D-8056-EDEF6EEA9EAA}"/>
              </c:ext>
            </c:extLst>
          </c:dPt>
          <c:dPt>
            <c:idx val="2"/>
            <c:bubble3D val="0"/>
            <c:spPr>
              <a:solidFill>
                <a:schemeClr val="accent3"/>
              </a:solidFill>
              <a:ln w="6350">
                <a:solidFill>
                  <a:schemeClr val="lt1"/>
                </a:solidFill>
              </a:ln>
              <a:effectLst/>
            </c:spPr>
            <c:extLst>
              <c:ext xmlns:c16="http://schemas.microsoft.com/office/drawing/2014/chart" uri="{C3380CC4-5D6E-409C-BE32-E72D297353CC}">
                <c16:uniqueId val="{00000005-7691-4F2D-8056-EDEF6EEA9EAA}"/>
              </c:ext>
            </c:extLst>
          </c:dPt>
          <c:dPt>
            <c:idx val="3"/>
            <c:bubble3D val="0"/>
            <c:spPr>
              <a:solidFill>
                <a:schemeClr val="accent4"/>
              </a:solidFill>
              <a:ln w="6350">
                <a:solidFill>
                  <a:schemeClr val="lt1"/>
                </a:solidFill>
              </a:ln>
              <a:effectLst/>
            </c:spPr>
            <c:extLst>
              <c:ext xmlns:c16="http://schemas.microsoft.com/office/drawing/2014/chart" uri="{C3380CC4-5D6E-409C-BE32-E72D297353CC}">
                <c16:uniqueId val="{00000007-7691-4F2D-8056-EDEF6EEA9EAA}"/>
              </c:ext>
            </c:extLst>
          </c:dPt>
          <c:dPt>
            <c:idx val="4"/>
            <c:bubble3D val="0"/>
            <c:spPr>
              <a:solidFill>
                <a:schemeClr val="accent5"/>
              </a:solidFill>
              <a:ln w="6350">
                <a:solidFill>
                  <a:schemeClr val="lt1"/>
                </a:solidFill>
              </a:ln>
              <a:effectLst/>
            </c:spPr>
            <c:extLst>
              <c:ext xmlns:c16="http://schemas.microsoft.com/office/drawing/2014/chart" uri="{C3380CC4-5D6E-409C-BE32-E72D297353CC}">
                <c16:uniqueId val="{00000009-7691-4F2D-8056-EDEF6EEA9EAA}"/>
              </c:ext>
            </c:extLst>
          </c:dPt>
          <c:dPt>
            <c:idx val="5"/>
            <c:bubble3D val="0"/>
            <c:spPr>
              <a:solidFill>
                <a:schemeClr val="accent6"/>
              </a:solidFill>
              <a:ln w="6350">
                <a:solidFill>
                  <a:schemeClr val="lt1"/>
                </a:solidFill>
              </a:ln>
              <a:effectLst/>
            </c:spPr>
            <c:extLst>
              <c:ext xmlns:c16="http://schemas.microsoft.com/office/drawing/2014/chart" uri="{C3380CC4-5D6E-409C-BE32-E72D297353CC}">
                <c16:uniqueId val="{0000000B-7691-4F2D-8056-EDEF6EEA9EAA}"/>
              </c:ext>
            </c:extLst>
          </c:dPt>
          <c:dPt>
            <c:idx val="6"/>
            <c:bubble3D val="0"/>
            <c:spPr>
              <a:solidFill>
                <a:schemeClr val="accent1">
                  <a:lumMod val="60000"/>
                </a:schemeClr>
              </a:solidFill>
              <a:ln w="6350">
                <a:solidFill>
                  <a:schemeClr val="lt1"/>
                </a:solidFill>
              </a:ln>
              <a:effectLst/>
            </c:spPr>
            <c:extLst>
              <c:ext xmlns:c16="http://schemas.microsoft.com/office/drawing/2014/chart" uri="{C3380CC4-5D6E-409C-BE32-E72D297353CC}">
                <c16:uniqueId val="{0000000D-7691-4F2D-8056-EDEF6EEA9EAA}"/>
              </c:ext>
            </c:extLst>
          </c:dPt>
          <c:cat>
            <c:strRef>
              <c:f>'WSA-CC-Summary'!$I$13:$I$19</c:f>
              <c:strCache>
                <c:ptCount val="7"/>
                <c:pt idx="0">
                  <c:v>Energy</c:v>
                </c:pt>
                <c:pt idx="1">
                  <c:v>Water</c:v>
                </c:pt>
                <c:pt idx="2">
                  <c:v>Material</c:v>
                </c:pt>
                <c:pt idx="3">
                  <c:v>Waste</c:v>
                </c:pt>
                <c:pt idx="4">
                  <c:v>Travel</c:v>
                </c:pt>
                <c:pt idx="5">
                  <c:v>Freight</c:v>
                </c:pt>
                <c:pt idx="6">
                  <c:v>Accommodation</c:v>
                </c:pt>
              </c:strCache>
            </c:strRef>
          </c:cat>
          <c:val>
            <c:numRef>
              <c:f>'WSA-CC-Summary'!$M$13:$M$19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0-7691-4F2D-8056-EDEF6EEA9EAA}"/>
            </c:ext>
          </c:extLst>
        </c:ser>
        <c:dLbls>
          <c:showLegendKey val="0"/>
          <c:showVal val="0"/>
          <c:showCatName val="0"/>
          <c:showSerName val="0"/>
          <c:showPercent val="0"/>
          <c:showBubbleSize val="0"/>
          <c:showLeaderLines val="0"/>
        </c:dLbls>
        <c:firstSliceAng val="0"/>
        <c:holeSize val="0"/>
      </c:doughnutChart>
      <c:spPr>
        <a:noFill/>
        <a:ln>
          <a:noFill/>
        </a:ln>
        <a:effectLst/>
      </c:spPr>
    </c:plotArea>
    <c:legend>
      <c:legendPos val="b"/>
      <c:layout>
        <c:manualLayout>
          <c:xMode val="edge"/>
          <c:yMode val="edge"/>
          <c:x val="0.6396924136928549"/>
          <c:y val="0.11444014063436171"/>
          <c:w val="0.36030758630714521"/>
          <c:h val="0.8641581109663922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8</xdr:col>
      <xdr:colOff>254000</xdr:colOff>
      <xdr:row>0</xdr:row>
      <xdr:rowOff>166790</xdr:rowOff>
    </xdr:from>
    <xdr:to>
      <xdr:col>11</xdr:col>
      <xdr:colOff>172065</xdr:colOff>
      <xdr:row>2</xdr:row>
      <xdr:rowOff>117396</xdr:rowOff>
    </xdr:to>
    <xdr:pic>
      <xdr:nvPicPr>
        <xdr:cNvPr id="4" name="Picture 3" descr="Blue text on a white background&#10;&#10;Description automatically generated">
          <a:extLst>
            <a:ext uri="{FF2B5EF4-FFF2-40B4-BE49-F238E27FC236}">
              <a16:creationId xmlns:a16="http://schemas.microsoft.com/office/drawing/2014/main" id="{09019DC6-2738-4899-9B3F-122B2673F5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022" b="28563"/>
        <a:stretch/>
      </xdr:blipFill>
      <xdr:spPr bwMode="auto">
        <a:xfrm>
          <a:off x="6350000" y="166790"/>
          <a:ext cx="2309112" cy="5892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0</xdr:colOff>
      <xdr:row>43</xdr:row>
      <xdr:rowOff>90055</xdr:rowOff>
    </xdr:from>
    <xdr:to>
      <xdr:col>9</xdr:col>
      <xdr:colOff>1697</xdr:colOff>
      <xdr:row>50</xdr:row>
      <xdr:rowOff>18265</xdr:rowOff>
    </xdr:to>
    <xdr:pic>
      <xdr:nvPicPr>
        <xdr:cNvPr id="5" name="Picture 4">
          <a:extLst>
            <a:ext uri="{FF2B5EF4-FFF2-40B4-BE49-F238E27FC236}">
              <a16:creationId xmlns:a16="http://schemas.microsoft.com/office/drawing/2014/main" id="{17474941-0C59-01A4-A811-3C2C42DD5C72}"/>
            </a:ext>
          </a:extLst>
        </xdr:cNvPr>
        <xdr:cNvPicPr>
          <a:picLocks noChangeAspect="1"/>
        </xdr:cNvPicPr>
      </xdr:nvPicPr>
      <xdr:blipFill>
        <a:blip xmlns:r="http://schemas.openxmlformats.org/officeDocument/2006/relationships" r:embed="rId2"/>
        <a:stretch>
          <a:fillRect/>
        </a:stretch>
      </xdr:blipFill>
      <xdr:spPr>
        <a:xfrm>
          <a:off x="1309255" y="5223164"/>
          <a:ext cx="4904509" cy="307000"/>
        </a:xfrm>
        <a:prstGeom prst="rect">
          <a:avLst/>
        </a:prstGeom>
      </xdr:spPr>
    </xdr:pic>
    <xdr:clientData/>
  </xdr:twoCellAnchor>
  <xdr:twoCellAnchor editAs="oneCell">
    <xdr:from>
      <xdr:col>3</xdr:col>
      <xdr:colOff>1</xdr:colOff>
      <xdr:row>51</xdr:row>
      <xdr:rowOff>1</xdr:rowOff>
    </xdr:from>
    <xdr:to>
      <xdr:col>7</xdr:col>
      <xdr:colOff>777841</xdr:colOff>
      <xdr:row>60</xdr:row>
      <xdr:rowOff>150234</xdr:rowOff>
    </xdr:to>
    <xdr:pic>
      <xdr:nvPicPr>
        <xdr:cNvPr id="6" name="Picture 5">
          <a:extLst>
            <a:ext uri="{FF2B5EF4-FFF2-40B4-BE49-F238E27FC236}">
              <a16:creationId xmlns:a16="http://schemas.microsoft.com/office/drawing/2014/main" id="{A0237219-4150-12DC-2365-FF4596E6E10A}"/>
            </a:ext>
          </a:extLst>
        </xdr:cNvPr>
        <xdr:cNvPicPr>
          <a:picLocks noChangeAspect="1"/>
        </xdr:cNvPicPr>
      </xdr:nvPicPr>
      <xdr:blipFill>
        <a:blip xmlns:r="http://schemas.openxmlformats.org/officeDocument/2006/relationships" r:embed="rId3"/>
        <a:stretch>
          <a:fillRect/>
        </a:stretch>
      </xdr:blipFill>
      <xdr:spPr>
        <a:xfrm>
          <a:off x="1309256" y="6449292"/>
          <a:ext cx="4073236" cy="1895906"/>
        </a:xfrm>
        <a:prstGeom prst="rect">
          <a:avLst/>
        </a:prstGeom>
      </xdr:spPr>
    </xdr:pic>
    <xdr:clientData/>
  </xdr:twoCellAnchor>
  <xdr:twoCellAnchor editAs="oneCell">
    <xdr:from>
      <xdr:col>3</xdr:col>
      <xdr:colOff>20781</xdr:colOff>
      <xdr:row>71</xdr:row>
      <xdr:rowOff>34635</xdr:rowOff>
    </xdr:from>
    <xdr:to>
      <xdr:col>7</xdr:col>
      <xdr:colOff>737577</xdr:colOff>
      <xdr:row>94</xdr:row>
      <xdr:rowOff>20592</xdr:rowOff>
    </xdr:to>
    <xdr:pic>
      <xdr:nvPicPr>
        <xdr:cNvPr id="7" name="Picture 6">
          <a:extLst>
            <a:ext uri="{FF2B5EF4-FFF2-40B4-BE49-F238E27FC236}">
              <a16:creationId xmlns:a16="http://schemas.microsoft.com/office/drawing/2014/main" id="{1926A1FD-AEBA-215A-A908-FD4E8DD5689F}"/>
            </a:ext>
          </a:extLst>
        </xdr:cNvPr>
        <xdr:cNvPicPr>
          <a:picLocks noChangeAspect="1"/>
        </xdr:cNvPicPr>
      </xdr:nvPicPr>
      <xdr:blipFill>
        <a:blip xmlns:r="http://schemas.openxmlformats.org/officeDocument/2006/relationships" r:embed="rId4"/>
        <a:stretch>
          <a:fillRect/>
        </a:stretch>
      </xdr:blipFill>
      <xdr:spPr>
        <a:xfrm>
          <a:off x="1327067" y="12691092"/>
          <a:ext cx="3953706" cy="4312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18472</xdr:colOff>
      <xdr:row>11</xdr:row>
      <xdr:rowOff>87513</xdr:rowOff>
    </xdr:from>
    <xdr:to>
      <xdr:col>5</xdr:col>
      <xdr:colOff>264005</xdr:colOff>
      <xdr:row>11</xdr:row>
      <xdr:rowOff>462587</xdr:rowOff>
    </xdr:to>
    <xdr:sp macro="[0]!Module1.ClearData" textlink="">
      <xdr:nvSpPr>
        <xdr:cNvPr id="2" name="Rectangle: Rounded Corners 1">
          <a:extLst>
            <a:ext uri="{FF2B5EF4-FFF2-40B4-BE49-F238E27FC236}">
              <a16:creationId xmlns:a16="http://schemas.microsoft.com/office/drawing/2014/main" id="{FE4DCB62-0D29-6850-5F92-8FAE356F327D}"/>
            </a:ext>
          </a:extLst>
        </xdr:cNvPr>
        <xdr:cNvSpPr/>
      </xdr:nvSpPr>
      <xdr:spPr>
        <a:xfrm>
          <a:off x="517236" y="3253277"/>
          <a:ext cx="1270769" cy="375074"/>
        </a:xfrm>
        <a:prstGeom prst="roundRect">
          <a:avLst/>
        </a:prstGeom>
        <a:solidFill>
          <a:schemeClr val="accent2"/>
        </a:solidFill>
        <a:ln>
          <a:noFill/>
        </a:ln>
        <a:scene3d>
          <a:camera prst="orthographicFront"/>
          <a:lightRig rig="threePt" dir="t"/>
        </a:scene3d>
        <a:sp3d>
          <a:bevelT w="63500" h="889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CLEAR</a:t>
          </a:r>
          <a:r>
            <a:rPr lang="en-GB" sz="1100" b="1" baseline="0">
              <a:solidFill>
                <a:schemeClr val="bg1"/>
              </a:solidFill>
            </a:rPr>
            <a:t> DATA</a:t>
          </a:r>
          <a:endParaRPr lang="en-GB" sz="1100" b="1">
            <a:solidFill>
              <a:schemeClr val="bg1"/>
            </a:solidFill>
          </a:endParaRPr>
        </a:p>
      </xdr:txBody>
    </xdr:sp>
    <xdr:clientData/>
  </xdr:twoCellAnchor>
  <xdr:twoCellAnchor>
    <xdr:from>
      <xdr:col>2</xdr:col>
      <xdr:colOff>6927</xdr:colOff>
      <xdr:row>26</xdr:row>
      <xdr:rowOff>3257</xdr:rowOff>
    </xdr:from>
    <xdr:to>
      <xdr:col>12</xdr:col>
      <xdr:colOff>982135</xdr:colOff>
      <xdr:row>43</xdr:row>
      <xdr:rowOff>177800</xdr:rowOff>
    </xdr:to>
    <xdr:graphicFrame macro="">
      <xdr:nvGraphicFramePr>
        <xdr:cNvPr id="7" name="Chart 6">
          <a:extLst>
            <a:ext uri="{FF2B5EF4-FFF2-40B4-BE49-F238E27FC236}">
              <a16:creationId xmlns:a16="http://schemas.microsoft.com/office/drawing/2014/main" id="{DBDF74F1-4B97-E967-E9E8-077FB30495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254000</xdr:colOff>
      <xdr:row>0</xdr:row>
      <xdr:rowOff>166790</xdr:rowOff>
    </xdr:from>
    <xdr:to>
      <xdr:col>13</xdr:col>
      <xdr:colOff>21166</xdr:colOff>
      <xdr:row>2</xdr:row>
      <xdr:rowOff>117396</xdr:rowOff>
    </xdr:to>
    <xdr:pic>
      <xdr:nvPicPr>
        <xdr:cNvPr id="3" name="Picture 2" descr="Blue text on a white background&#10;&#10;Description automatically generated">
          <a:extLst>
            <a:ext uri="{FF2B5EF4-FFF2-40B4-BE49-F238E27FC236}">
              <a16:creationId xmlns:a16="http://schemas.microsoft.com/office/drawing/2014/main" id="{06EE4837-82E9-0BE1-CB24-041FD19E7DA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022" b="28563"/>
        <a:stretch/>
      </xdr:blipFill>
      <xdr:spPr bwMode="auto">
        <a:xfrm>
          <a:off x="5469467" y="166790"/>
          <a:ext cx="2395642" cy="57713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18472</xdr:colOff>
      <xdr:row>11</xdr:row>
      <xdr:rowOff>4385</xdr:rowOff>
    </xdr:from>
    <xdr:to>
      <xdr:col>5</xdr:col>
      <xdr:colOff>264005</xdr:colOff>
      <xdr:row>12</xdr:row>
      <xdr:rowOff>19241</xdr:rowOff>
    </xdr:to>
    <xdr:sp macro="[0]!Module2.ClearData" textlink="">
      <xdr:nvSpPr>
        <xdr:cNvPr id="2" name="Rectangle: Rounded Corners 1">
          <a:extLst>
            <a:ext uri="{FF2B5EF4-FFF2-40B4-BE49-F238E27FC236}">
              <a16:creationId xmlns:a16="http://schemas.microsoft.com/office/drawing/2014/main" id="{1D9E6BF6-1362-483F-B4AB-C15959F8BE0B}"/>
            </a:ext>
          </a:extLst>
        </xdr:cNvPr>
        <xdr:cNvSpPr/>
      </xdr:nvSpPr>
      <xdr:spPr>
        <a:xfrm>
          <a:off x="517236" y="2983112"/>
          <a:ext cx="1270769" cy="375074"/>
        </a:xfrm>
        <a:prstGeom prst="roundRect">
          <a:avLst/>
        </a:prstGeom>
        <a:solidFill>
          <a:schemeClr val="accent2"/>
        </a:solidFill>
        <a:ln>
          <a:noFill/>
        </a:ln>
        <a:scene3d>
          <a:camera prst="orthographicFront"/>
          <a:lightRig rig="threePt" dir="t"/>
        </a:scene3d>
        <a:sp3d>
          <a:bevelT w="63500" h="889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CLEAR</a:t>
          </a:r>
          <a:r>
            <a:rPr lang="en-GB" sz="1100" b="1" baseline="0">
              <a:solidFill>
                <a:schemeClr val="bg1"/>
              </a:solidFill>
            </a:rPr>
            <a:t> DATA</a:t>
          </a:r>
          <a:endParaRPr lang="en-GB" sz="1100" b="1">
            <a:solidFill>
              <a:schemeClr val="bg1"/>
            </a:solidFill>
          </a:endParaRPr>
        </a:p>
      </xdr:txBody>
    </xdr:sp>
    <xdr:clientData/>
  </xdr:twoCellAnchor>
  <xdr:twoCellAnchor>
    <xdr:from>
      <xdr:col>2</xdr:col>
      <xdr:colOff>0</xdr:colOff>
      <xdr:row>28</xdr:row>
      <xdr:rowOff>3257</xdr:rowOff>
    </xdr:from>
    <xdr:to>
      <xdr:col>12</xdr:col>
      <xdr:colOff>982134</xdr:colOff>
      <xdr:row>45</xdr:row>
      <xdr:rowOff>177800</xdr:rowOff>
    </xdr:to>
    <xdr:graphicFrame macro="">
      <xdr:nvGraphicFramePr>
        <xdr:cNvPr id="3" name="Chart 2">
          <a:extLst>
            <a:ext uri="{FF2B5EF4-FFF2-40B4-BE49-F238E27FC236}">
              <a16:creationId xmlns:a16="http://schemas.microsoft.com/office/drawing/2014/main" id="{3D94F568-28A3-4411-BE8D-88C0F58DF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254000</xdr:colOff>
      <xdr:row>0</xdr:row>
      <xdr:rowOff>166790</xdr:rowOff>
    </xdr:from>
    <xdr:to>
      <xdr:col>13</xdr:col>
      <xdr:colOff>24341</xdr:colOff>
      <xdr:row>2</xdr:row>
      <xdr:rowOff>117396</xdr:rowOff>
    </xdr:to>
    <xdr:pic>
      <xdr:nvPicPr>
        <xdr:cNvPr id="4" name="Picture 3" descr="Blue text on a white background&#10;&#10;Description automatically generated">
          <a:extLst>
            <a:ext uri="{FF2B5EF4-FFF2-40B4-BE49-F238E27FC236}">
              <a16:creationId xmlns:a16="http://schemas.microsoft.com/office/drawing/2014/main" id="{2A92141B-2CBB-4A2F-A559-DBD78F8BFEF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022" b="28563"/>
        <a:stretch/>
      </xdr:blipFill>
      <xdr:spPr bwMode="auto">
        <a:xfrm>
          <a:off x="5374640" y="166790"/>
          <a:ext cx="2377016" cy="59068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39254</xdr:colOff>
      <xdr:row>10</xdr:row>
      <xdr:rowOff>32094</xdr:rowOff>
    </xdr:from>
    <xdr:to>
      <xdr:col>5</xdr:col>
      <xdr:colOff>284787</xdr:colOff>
      <xdr:row>10</xdr:row>
      <xdr:rowOff>325581</xdr:rowOff>
    </xdr:to>
    <xdr:sp macro="[0]!Module7.ClearData" textlink="">
      <xdr:nvSpPr>
        <xdr:cNvPr id="2" name="Rectangle: Rounded Corners 1">
          <a:extLst>
            <a:ext uri="{FF2B5EF4-FFF2-40B4-BE49-F238E27FC236}">
              <a16:creationId xmlns:a16="http://schemas.microsoft.com/office/drawing/2014/main" id="{1D7906EC-240E-4947-A564-C5FC76AFAB39}"/>
            </a:ext>
          </a:extLst>
        </xdr:cNvPr>
        <xdr:cNvSpPr/>
      </xdr:nvSpPr>
      <xdr:spPr>
        <a:xfrm>
          <a:off x="538018" y="2816858"/>
          <a:ext cx="1270769" cy="293487"/>
        </a:xfrm>
        <a:prstGeom prst="roundRect">
          <a:avLst/>
        </a:prstGeom>
        <a:solidFill>
          <a:schemeClr val="accent2"/>
        </a:solidFill>
        <a:ln>
          <a:noFill/>
        </a:ln>
        <a:scene3d>
          <a:camera prst="orthographicFront"/>
          <a:lightRig rig="threePt" dir="t"/>
        </a:scene3d>
        <a:sp3d>
          <a:bevelT w="63500" h="889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CLEAR</a:t>
          </a:r>
          <a:r>
            <a:rPr lang="en-GB" sz="1100" b="1" baseline="0">
              <a:solidFill>
                <a:schemeClr val="bg1"/>
              </a:solidFill>
            </a:rPr>
            <a:t> DATA</a:t>
          </a:r>
          <a:endParaRPr lang="en-GB" sz="1100" b="1">
            <a:solidFill>
              <a:schemeClr val="bg1"/>
            </a:solidFill>
          </a:endParaRPr>
        </a:p>
      </xdr:txBody>
    </xdr:sp>
    <xdr:clientData/>
  </xdr:twoCellAnchor>
  <xdr:twoCellAnchor>
    <xdr:from>
      <xdr:col>2</xdr:col>
      <xdr:colOff>20781</xdr:colOff>
      <xdr:row>38</xdr:row>
      <xdr:rowOff>10184</xdr:rowOff>
    </xdr:from>
    <xdr:to>
      <xdr:col>12</xdr:col>
      <xdr:colOff>995989</xdr:colOff>
      <xdr:row>55</xdr:row>
      <xdr:rowOff>184728</xdr:rowOff>
    </xdr:to>
    <xdr:graphicFrame macro="">
      <xdr:nvGraphicFramePr>
        <xdr:cNvPr id="3" name="Chart 2">
          <a:extLst>
            <a:ext uri="{FF2B5EF4-FFF2-40B4-BE49-F238E27FC236}">
              <a16:creationId xmlns:a16="http://schemas.microsoft.com/office/drawing/2014/main" id="{76812BF4-02AC-427B-AD57-8805B8298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254000</xdr:colOff>
      <xdr:row>0</xdr:row>
      <xdr:rowOff>166790</xdr:rowOff>
    </xdr:from>
    <xdr:to>
      <xdr:col>13</xdr:col>
      <xdr:colOff>17356</xdr:colOff>
      <xdr:row>2</xdr:row>
      <xdr:rowOff>117396</xdr:rowOff>
    </xdr:to>
    <xdr:pic>
      <xdr:nvPicPr>
        <xdr:cNvPr id="4" name="Picture 3" descr="Blue text on a white background&#10;&#10;Description automatically generated">
          <a:extLst>
            <a:ext uri="{FF2B5EF4-FFF2-40B4-BE49-F238E27FC236}">
              <a16:creationId xmlns:a16="http://schemas.microsoft.com/office/drawing/2014/main" id="{80D3687E-7190-4283-850B-D31A2494840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022" b="28563"/>
        <a:stretch/>
      </xdr:blipFill>
      <xdr:spPr bwMode="auto">
        <a:xfrm>
          <a:off x="5374640" y="166790"/>
          <a:ext cx="2377016" cy="59068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39254</xdr:colOff>
      <xdr:row>10</xdr:row>
      <xdr:rowOff>32094</xdr:rowOff>
    </xdr:from>
    <xdr:to>
      <xdr:col>5</xdr:col>
      <xdr:colOff>284787</xdr:colOff>
      <xdr:row>11</xdr:row>
      <xdr:rowOff>155708</xdr:rowOff>
    </xdr:to>
    <xdr:sp macro="[0]!Module3.ClearData" textlink="">
      <xdr:nvSpPr>
        <xdr:cNvPr id="2" name="Rectangle: Rounded Corners 1">
          <a:extLst>
            <a:ext uri="{FF2B5EF4-FFF2-40B4-BE49-F238E27FC236}">
              <a16:creationId xmlns:a16="http://schemas.microsoft.com/office/drawing/2014/main" id="{6222CBCF-40F0-43D2-A357-8807D142ABCF}"/>
            </a:ext>
          </a:extLst>
        </xdr:cNvPr>
        <xdr:cNvSpPr/>
      </xdr:nvSpPr>
      <xdr:spPr>
        <a:xfrm>
          <a:off x="542174" y="2805774"/>
          <a:ext cx="1274233" cy="314114"/>
        </a:xfrm>
        <a:prstGeom prst="roundRect">
          <a:avLst/>
        </a:prstGeom>
        <a:solidFill>
          <a:schemeClr val="accent2"/>
        </a:solidFill>
        <a:ln>
          <a:noFill/>
        </a:ln>
        <a:scene3d>
          <a:camera prst="orthographicFront"/>
          <a:lightRig rig="threePt" dir="t"/>
        </a:scene3d>
        <a:sp3d>
          <a:bevelT w="63500" h="889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CLEAR</a:t>
          </a:r>
          <a:r>
            <a:rPr lang="en-GB" sz="1100" b="1" baseline="0">
              <a:solidFill>
                <a:schemeClr val="bg1"/>
              </a:solidFill>
            </a:rPr>
            <a:t> DATA</a:t>
          </a:r>
          <a:endParaRPr lang="en-GB" sz="1100" b="1">
            <a:solidFill>
              <a:schemeClr val="bg1"/>
            </a:solidFill>
          </a:endParaRPr>
        </a:p>
      </xdr:txBody>
    </xdr:sp>
    <xdr:clientData/>
  </xdr:twoCellAnchor>
  <xdr:twoCellAnchor>
    <xdr:from>
      <xdr:col>2</xdr:col>
      <xdr:colOff>20781</xdr:colOff>
      <xdr:row>28</xdr:row>
      <xdr:rowOff>10184</xdr:rowOff>
    </xdr:from>
    <xdr:to>
      <xdr:col>12</xdr:col>
      <xdr:colOff>995989</xdr:colOff>
      <xdr:row>45</xdr:row>
      <xdr:rowOff>184728</xdr:rowOff>
    </xdr:to>
    <xdr:graphicFrame macro="">
      <xdr:nvGraphicFramePr>
        <xdr:cNvPr id="3" name="Chart 2">
          <a:extLst>
            <a:ext uri="{FF2B5EF4-FFF2-40B4-BE49-F238E27FC236}">
              <a16:creationId xmlns:a16="http://schemas.microsoft.com/office/drawing/2014/main" id="{E4890983-BFCC-4287-8F29-EEBB359E9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254000</xdr:colOff>
      <xdr:row>0</xdr:row>
      <xdr:rowOff>166790</xdr:rowOff>
    </xdr:from>
    <xdr:to>
      <xdr:col>13</xdr:col>
      <xdr:colOff>24976</xdr:colOff>
      <xdr:row>2</xdr:row>
      <xdr:rowOff>117396</xdr:rowOff>
    </xdr:to>
    <xdr:pic>
      <xdr:nvPicPr>
        <xdr:cNvPr id="4" name="Picture 3" descr="Blue text on a white background&#10;&#10;Description automatically generated">
          <a:extLst>
            <a:ext uri="{FF2B5EF4-FFF2-40B4-BE49-F238E27FC236}">
              <a16:creationId xmlns:a16="http://schemas.microsoft.com/office/drawing/2014/main" id="{314CD515-6C3A-4D3E-BE4D-988517F640E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022" b="28563"/>
        <a:stretch/>
      </xdr:blipFill>
      <xdr:spPr bwMode="auto">
        <a:xfrm>
          <a:off x="5374640" y="166790"/>
          <a:ext cx="2377016" cy="59068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39254</xdr:colOff>
      <xdr:row>10</xdr:row>
      <xdr:rowOff>32094</xdr:rowOff>
    </xdr:from>
    <xdr:to>
      <xdr:col>5</xdr:col>
      <xdr:colOff>284787</xdr:colOff>
      <xdr:row>11</xdr:row>
      <xdr:rowOff>155708</xdr:rowOff>
    </xdr:to>
    <xdr:sp macro="[0]!Module4.ClearData" textlink="">
      <xdr:nvSpPr>
        <xdr:cNvPr id="2" name="Rectangle: Rounded Corners 1">
          <a:extLst>
            <a:ext uri="{FF2B5EF4-FFF2-40B4-BE49-F238E27FC236}">
              <a16:creationId xmlns:a16="http://schemas.microsoft.com/office/drawing/2014/main" id="{C37388AA-91AA-408B-983A-AF541137BE76}"/>
            </a:ext>
          </a:extLst>
        </xdr:cNvPr>
        <xdr:cNvSpPr/>
      </xdr:nvSpPr>
      <xdr:spPr>
        <a:xfrm>
          <a:off x="542174" y="2805774"/>
          <a:ext cx="1274233" cy="314114"/>
        </a:xfrm>
        <a:prstGeom prst="roundRect">
          <a:avLst/>
        </a:prstGeom>
        <a:solidFill>
          <a:schemeClr val="accent2"/>
        </a:solidFill>
        <a:ln>
          <a:noFill/>
        </a:ln>
        <a:scene3d>
          <a:camera prst="orthographicFront"/>
          <a:lightRig rig="threePt" dir="t"/>
        </a:scene3d>
        <a:sp3d>
          <a:bevelT w="63500" h="889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CLEAR</a:t>
          </a:r>
          <a:r>
            <a:rPr lang="en-GB" sz="1100" b="1" baseline="0">
              <a:solidFill>
                <a:schemeClr val="bg1"/>
              </a:solidFill>
            </a:rPr>
            <a:t> DATA</a:t>
          </a:r>
          <a:endParaRPr lang="en-GB" sz="1100" b="1">
            <a:solidFill>
              <a:schemeClr val="bg1"/>
            </a:solidFill>
          </a:endParaRPr>
        </a:p>
      </xdr:txBody>
    </xdr:sp>
    <xdr:clientData/>
  </xdr:twoCellAnchor>
  <xdr:twoCellAnchor>
    <xdr:from>
      <xdr:col>2</xdr:col>
      <xdr:colOff>20781</xdr:colOff>
      <xdr:row>29</xdr:row>
      <xdr:rowOff>10184</xdr:rowOff>
    </xdr:from>
    <xdr:to>
      <xdr:col>12</xdr:col>
      <xdr:colOff>995989</xdr:colOff>
      <xdr:row>46</xdr:row>
      <xdr:rowOff>184728</xdr:rowOff>
    </xdr:to>
    <xdr:graphicFrame macro="">
      <xdr:nvGraphicFramePr>
        <xdr:cNvPr id="3" name="Chart 2">
          <a:extLst>
            <a:ext uri="{FF2B5EF4-FFF2-40B4-BE49-F238E27FC236}">
              <a16:creationId xmlns:a16="http://schemas.microsoft.com/office/drawing/2014/main" id="{7358BFC1-7D48-433A-BA42-29D6AB6D3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256306</xdr:colOff>
      <xdr:row>0</xdr:row>
      <xdr:rowOff>166255</xdr:rowOff>
    </xdr:from>
    <xdr:to>
      <xdr:col>13</xdr:col>
      <xdr:colOff>21567</xdr:colOff>
      <xdr:row>2</xdr:row>
      <xdr:rowOff>116861</xdr:rowOff>
    </xdr:to>
    <xdr:pic>
      <xdr:nvPicPr>
        <xdr:cNvPr id="5" name="Picture 4" descr="Blue text on a white background&#10;&#10;Description automatically generated">
          <a:extLst>
            <a:ext uri="{FF2B5EF4-FFF2-40B4-BE49-F238E27FC236}">
              <a16:creationId xmlns:a16="http://schemas.microsoft.com/office/drawing/2014/main" id="{321BA08A-706E-4D05-83BD-3E6D43EF46F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022" b="28563"/>
        <a:stretch/>
      </xdr:blipFill>
      <xdr:spPr bwMode="auto">
        <a:xfrm>
          <a:off x="5368633" y="166255"/>
          <a:ext cx="2382558" cy="58791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39254</xdr:colOff>
      <xdr:row>10</xdr:row>
      <xdr:rowOff>32094</xdr:rowOff>
    </xdr:from>
    <xdr:to>
      <xdr:col>5</xdr:col>
      <xdr:colOff>284787</xdr:colOff>
      <xdr:row>11</xdr:row>
      <xdr:rowOff>155708</xdr:rowOff>
    </xdr:to>
    <xdr:sp macro="[0]!Module5.ClearData" textlink="">
      <xdr:nvSpPr>
        <xdr:cNvPr id="2" name="Rectangle: Rounded Corners 1">
          <a:extLst>
            <a:ext uri="{FF2B5EF4-FFF2-40B4-BE49-F238E27FC236}">
              <a16:creationId xmlns:a16="http://schemas.microsoft.com/office/drawing/2014/main" id="{572F4C00-3E3C-4712-86AF-8EADB4FFA47B}"/>
            </a:ext>
          </a:extLst>
        </xdr:cNvPr>
        <xdr:cNvSpPr/>
      </xdr:nvSpPr>
      <xdr:spPr>
        <a:xfrm>
          <a:off x="542174" y="2805774"/>
          <a:ext cx="1274233" cy="314114"/>
        </a:xfrm>
        <a:prstGeom prst="roundRect">
          <a:avLst/>
        </a:prstGeom>
        <a:solidFill>
          <a:schemeClr val="accent2"/>
        </a:solidFill>
        <a:ln>
          <a:noFill/>
        </a:ln>
        <a:scene3d>
          <a:camera prst="orthographicFront"/>
          <a:lightRig rig="threePt" dir="t"/>
        </a:scene3d>
        <a:sp3d>
          <a:bevelT w="63500" h="889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CLEAR</a:t>
          </a:r>
          <a:r>
            <a:rPr lang="en-GB" sz="1100" b="1" baseline="0">
              <a:solidFill>
                <a:schemeClr val="bg1"/>
              </a:solidFill>
            </a:rPr>
            <a:t> DATA</a:t>
          </a:r>
          <a:endParaRPr lang="en-GB" sz="1100" b="1">
            <a:solidFill>
              <a:schemeClr val="bg1"/>
            </a:solidFill>
          </a:endParaRPr>
        </a:p>
      </xdr:txBody>
    </xdr:sp>
    <xdr:clientData/>
  </xdr:twoCellAnchor>
  <xdr:twoCellAnchor>
    <xdr:from>
      <xdr:col>2</xdr:col>
      <xdr:colOff>20781</xdr:colOff>
      <xdr:row>28</xdr:row>
      <xdr:rowOff>10184</xdr:rowOff>
    </xdr:from>
    <xdr:to>
      <xdr:col>12</xdr:col>
      <xdr:colOff>995989</xdr:colOff>
      <xdr:row>45</xdr:row>
      <xdr:rowOff>184728</xdr:rowOff>
    </xdr:to>
    <xdr:graphicFrame macro="">
      <xdr:nvGraphicFramePr>
        <xdr:cNvPr id="3" name="Chart 2">
          <a:extLst>
            <a:ext uri="{FF2B5EF4-FFF2-40B4-BE49-F238E27FC236}">
              <a16:creationId xmlns:a16="http://schemas.microsoft.com/office/drawing/2014/main" id="{E29525C1-E782-4804-8798-98D07642E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256306</xdr:colOff>
      <xdr:row>0</xdr:row>
      <xdr:rowOff>166255</xdr:rowOff>
    </xdr:from>
    <xdr:to>
      <xdr:col>13</xdr:col>
      <xdr:colOff>27282</xdr:colOff>
      <xdr:row>2</xdr:row>
      <xdr:rowOff>116861</xdr:rowOff>
    </xdr:to>
    <xdr:pic>
      <xdr:nvPicPr>
        <xdr:cNvPr id="4" name="Picture 3" descr="Blue text on a white background&#10;&#10;Description automatically generated">
          <a:extLst>
            <a:ext uri="{FF2B5EF4-FFF2-40B4-BE49-F238E27FC236}">
              <a16:creationId xmlns:a16="http://schemas.microsoft.com/office/drawing/2014/main" id="{52C0D478-3510-4FAA-8DA1-E6C6A826BE2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022" b="28563"/>
        <a:stretch/>
      </xdr:blipFill>
      <xdr:spPr bwMode="auto">
        <a:xfrm>
          <a:off x="5376946" y="166255"/>
          <a:ext cx="2377016" cy="59068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39254</xdr:colOff>
      <xdr:row>10</xdr:row>
      <xdr:rowOff>32094</xdr:rowOff>
    </xdr:from>
    <xdr:to>
      <xdr:col>5</xdr:col>
      <xdr:colOff>284787</xdr:colOff>
      <xdr:row>11</xdr:row>
      <xdr:rowOff>155708</xdr:rowOff>
    </xdr:to>
    <xdr:sp macro="[0]!Module6.ClearData" textlink="">
      <xdr:nvSpPr>
        <xdr:cNvPr id="2" name="Rectangle: Rounded Corners 1">
          <a:extLst>
            <a:ext uri="{FF2B5EF4-FFF2-40B4-BE49-F238E27FC236}">
              <a16:creationId xmlns:a16="http://schemas.microsoft.com/office/drawing/2014/main" id="{13515210-BF95-409B-8082-62AB36603FC9}"/>
            </a:ext>
          </a:extLst>
        </xdr:cNvPr>
        <xdr:cNvSpPr/>
      </xdr:nvSpPr>
      <xdr:spPr>
        <a:xfrm>
          <a:off x="542174" y="2805774"/>
          <a:ext cx="1274233" cy="314114"/>
        </a:xfrm>
        <a:prstGeom prst="roundRect">
          <a:avLst/>
        </a:prstGeom>
        <a:solidFill>
          <a:schemeClr val="accent2"/>
        </a:solidFill>
        <a:ln>
          <a:noFill/>
        </a:ln>
        <a:scene3d>
          <a:camera prst="orthographicFront"/>
          <a:lightRig rig="threePt" dir="t"/>
        </a:scene3d>
        <a:sp3d>
          <a:bevelT w="63500" h="889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CLEAR</a:t>
          </a:r>
          <a:r>
            <a:rPr lang="en-GB" sz="1100" b="1" baseline="0">
              <a:solidFill>
                <a:schemeClr val="bg1"/>
              </a:solidFill>
            </a:rPr>
            <a:t> DATA</a:t>
          </a:r>
          <a:endParaRPr lang="en-GB" sz="1100" b="1">
            <a:solidFill>
              <a:schemeClr val="bg1"/>
            </a:solidFill>
          </a:endParaRPr>
        </a:p>
      </xdr:txBody>
    </xdr:sp>
    <xdr:clientData/>
  </xdr:twoCellAnchor>
  <xdr:twoCellAnchor>
    <xdr:from>
      <xdr:col>2</xdr:col>
      <xdr:colOff>20781</xdr:colOff>
      <xdr:row>28</xdr:row>
      <xdr:rowOff>10184</xdr:rowOff>
    </xdr:from>
    <xdr:to>
      <xdr:col>12</xdr:col>
      <xdr:colOff>995989</xdr:colOff>
      <xdr:row>45</xdr:row>
      <xdr:rowOff>184728</xdr:rowOff>
    </xdr:to>
    <xdr:graphicFrame macro="">
      <xdr:nvGraphicFramePr>
        <xdr:cNvPr id="3" name="Chart 2">
          <a:extLst>
            <a:ext uri="{FF2B5EF4-FFF2-40B4-BE49-F238E27FC236}">
              <a16:creationId xmlns:a16="http://schemas.microsoft.com/office/drawing/2014/main" id="{AE4D47F1-6428-4D3D-BF97-57B3C92D0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256306</xdr:colOff>
      <xdr:row>0</xdr:row>
      <xdr:rowOff>166255</xdr:rowOff>
    </xdr:from>
    <xdr:to>
      <xdr:col>13</xdr:col>
      <xdr:colOff>17757</xdr:colOff>
      <xdr:row>2</xdr:row>
      <xdr:rowOff>116861</xdr:rowOff>
    </xdr:to>
    <xdr:pic>
      <xdr:nvPicPr>
        <xdr:cNvPr id="4" name="Picture 3" descr="Blue text on a white background&#10;&#10;Description automatically generated">
          <a:extLst>
            <a:ext uri="{FF2B5EF4-FFF2-40B4-BE49-F238E27FC236}">
              <a16:creationId xmlns:a16="http://schemas.microsoft.com/office/drawing/2014/main" id="{505CA4DA-096A-43A1-A2A2-ED0F02C76C6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022" b="28563"/>
        <a:stretch/>
      </xdr:blipFill>
      <xdr:spPr bwMode="auto">
        <a:xfrm>
          <a:off x="5376946" y="166255"/>
          <a:ext cx="2377016" cy="59068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20781</xdr:colOff>
      <xdr:row>30</xdr:row>
      <xdr:rowOff>10184</xdr:rowOff>
    </xdr:from>
    <xdr:to>
      <xdr:col>12</xdr:col>
      <xdr:colOff>995989</xdr:colOff>
      <xdr:row>47</xdr:row>
      <xdr:rowOff>184728</xdr:rowOff>
    </xdr:to>
    <xdr:graphicFrame macro="">
      <xdr:nvGraphicFramePr>
        <xdr:cNvPr id="3" name="Chart 2">
          <a:extLst>
            <a:ext uri="{FF2B5EF4-FFF2-40B4-BE49-F238E27FC236}">
              <a16:creationId xmlns:a16="http://schemas.microsoft.com/office/drawing/2014/main" id="{879D35DB-E3A4-45BC-A864-27BE7CDB21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256306</xdr:colOff>
      <xdr:row>0</xdr:row>
      <xdr:rowOff>166255</xdr:rowOff>
    </xdr:from>
    <xdr:to>
      <xdr:col>13</xdr:col>
      <xdr:colOff>25377</xdr:colOff>
      <xdr:row>2</xdr:row>
      <xdr:rowOff>116861</xdr:rowOff>
    </xdr:to>
    <xdr:pic>
      <xdr:nvPicPr>
        <xdr:cNvPr id="4" name="Picture 3" descr="Blue text on a white background&#10;&#10;Description automatically generated">
          <a:extLst>
            <a:ext uri="{FF2B5EF4-FFF2-40B4-BE49-F238E27FC236}">
              <a16:creationId xmlns:a16="http://schemas.microsoft.com/office/drawing/2014/main" id="{908C46BC-12B6-408C-8B14-8E581151757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022" b="28563"/>
        <a:stretch/>
      </xdr:blipFill>
      <xdr:spPr bwMode="auto">
        <a:xfrm>
          <a:off x="5376946" y="166255"/>
          <a:ext cx="2377016" cy="59068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8</v>
    <v>2</v>
    <v>6</v>
  </rv>
  <rv s="1">
    <v>8</v>
    <v>1</v>
  </rv>
  <rv s="0">
    <v>0</v>
    <v>8</v>
    <v>3</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i.org/10.5258/SOTON/P1189&#160;" TargetMode="External"/><Relationship Id="rId2" Type="http://schemas.openxmlformats.org/officeDocument/2006/relationships/hyperlink" Target="https://www.gov.uk/government/publications/greenhouse-gas-reporting-conversion-factors-2024" TargetMode="External"/><Relationship Id="rId1" Type="http://schemas.openxmlformats.org/officeDocument/2006/relationships/hyperlink" Target="https://support.microsoft.com/en-gb/topic/a-potentially-dangerous-macro-has-been-blocked-0952faa0-37e7-4316-b61d-5b5ed6024216"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o2everything.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gov.uk/government/publications/greenhouse-gas-reporting-conversion-factors-2024" TargetMode="External"/><Relationship Id="rId1" Type="http://schemas.openxmlformats.org/officeDocument/2006/relationships/hyperlink" Target="https://www.co2everything.com/category/clothes-and-fabric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891DA-668C-442A-8F5A-08710870C2D0}">
  <sheetPr codeName="Sheet13"/>
  <dimension ref="A1:P98"/>
  <sheetViews>
    <sheetView tabSelected="1" zoomScale="115" zoomScaleNormal="115" workbookViewId="0">
      <selection activeCell="D11" sqref="D11:F11"/>
    </sheetView>
  </sheetViews>
  <sheetFormatPr defaultColWidth="0" defaultRowHeight="0" customHeight="1" zeroHeight="1"/>
  <cols>
    <col min="1" max="2" width="3.6640625" customWidth="1"/>
    <col min="3" max="5" width="11.6640625" customWidth="1"/>
    <col min="6" max="6" width="14.6640625" customWidth="1"/>
    <col min="7" max="7" width="9" customWidth="1"/>
    <col min="8" max="11" width="11.6640625" customWidth="1"/>
    <col min="12" max="13" width="3.6640625" customWidth="1"/>
    <col min="14" max="16" width="0" hidden="1" customWidth="1"/>
    <col min="17" max="16384" width="8.77734375" hidden="1"/>
  </cols>
  <sheetData>
    <row r="1" spans="1:13" ht="25.2" customHeight="1">
      <c r="A1" s="9"/>
      <c r="B1" s="9"/>
      <c r="C1" s="9"/>
      <c r="D1" s="9"/>
      <c r="E1" s="9"/>
      <c r="F1" s="9"/>
      <c r="G1" s="9"/>
      <c r="H1" s="9"/>
      <c r="I1" s="9"/>
      <c r="J1" s="9"/>
      <c r="K1" s="9"/>
      <c r="L1" s="9"/>
      <c r="M1" s="9"/>
    </row>
    <row r="2" spans="1:13" ht="25.2" customHeight="1">
      <c r="A2" s="9"/>
      <c r="B2" s="116" t="s">
        <v>0</v>
      </c>
      <c r="C2" s="353" t="s">
        <v>1</v>
      </c>
      <c r="D2" s="353"/>
      <c r="E2" s="353"/>
      <c r="F2" s="353"/>
      <c r="G2" s="354" t="s">
        <v>2</v>
      </c>
      <c r="H2" s="9"/>
      <c r="I2" s="9"/>
      <c r="J2" s="9"/>
      <c r="K2" s="9"/>
      <c r="L2" s="9"/>
      <c r="M2" s="9"/>
    </row>
    <row r="3" spans="1:13" ht="25.2" customHeight="1" thickBot="1">
      <c r="A3" s="9"/>
      <c r="B3" s="9"/>
      <c r="C3" s="9"/>
      <c r="D3" s="9"/>
      <c r="E3" s="9"/>
      <c r="F3" s="9"/>
      <c r="G3" s="9"/>
      <c r="H3" s="9"/>
      <c r="I3" s="9"/>
      <c r="J3" s="9"/>
      <c r="K3" s="9"/>
      <c r="L3" s="9"/>
      <c r="M3" s="9"/>
    </row>
    <row r="4" spans="1:13" ht="23.4" hidden="1">
      <c r="A4" s="9"/>
      <c r="B4" s="355"/>
      <c r="C4" s="356" t="s">
        <v>3</v>
      </c>
      <c r="D4" s="356"/>
      <c r="E4" s="356"/>
      <c r="F4" s="356"/>
      <c r="G4" s="356"/>
      <c r="H4" s="356"/>
      <c r="I4" s="356"/>
      <c r="J4" s="356"/>
      <c r="K4" s="357"/>
      <c r="L4" s="358"/>
      <c r="M4" s="9"/>
    </row>
    <row r="5" spans="1:13" ht="15" customHeight="1">
      <c r="A5" s="9"/>
      <c r="B5" s="359"/>
      <c r="C5" s="360"/>
      <c r="D5" s="360"/>
      <c r="E5" s="360"/>
      <c r="F5" s="360"/>
      <c r="G5" s="360"/>
      <c r="H5" s="360"/>
      <c r="I5" s="360"/>
      <c r="J5" s="360"/>
      <c r="K5" s="360"/>
      <c r="L5" s="361"/>
      <c r="M5" s="9"/>
    </row>
    <row r="6" spans="1:13" ht="15" customHeight="1">
      <c r="A6" s="9"/>
      <c r="B6" s="351"/>
      <c r="C6" s="444" t="s">
        <v>503</v>
      </c>
      <c r="D6" s="444"/>
      <c r="E6" s="444"/>
      <c r="F6" s="444"/>
      <c r="G6" s="444"/>
      <c r="H6" s="444"/>
      <c r="I6" s="444"/>
      <c r="J6" s="444"/>
      <c r="K6" s="444"/>
      <c r="L6" s="352"/>
      <c r="M6" s="9"/>
    </row>
    <row r="7" spans="1:13" ht="15" customHeight="1">
      <c r="A7" s="9"/>
      <c r="B7" s="351"/>
      <c r="C7" s="444"/>
      <c r="D7" s="444"/>
      <c r="E7" s="444"/>
      <c r="F7" s="444"/>
      <c r="G7" s="444"/>
      <c r="H7" s="444"/>
      <c r="I7" s="444"/>
      <c r="J7" s="444"/>
      <c r="K7" s="444"/>
      <c r="L7" s="352"/>
      <c r="M7" s="9"/>
    </row>
    <row r="8" spans="1:13" ht="15" customHeight="1">
      <c r="A8" s="9"/>
      <c r="B8" s="351"/>
      <c r="C8" s="444"/>
      <c r="D8" s="444"/>
      <c r="E8" s="444"/>
      <c r="F8" s="444"/>
      <c r="G8" s="444"/>
      <c r="H8" s="444"/>
      <c r="I8" s="444"/>
      <c r="J8" s="444"/>
      <c r="K8" s="444"/>
      <c r="L8" s="352"/>
      <c r="M8" s="9"/>
    </row>
    <row r="9" spans="1:13" ht="15" customHeight="1">
      <c r="A9" s="9"/>
      <c r="B9" s="351"/>
      <c r="C9" s="444"/>
      <c r="D9" s="444"/>
      <c r="E9" s="444"/>
      <c r="F9" s="444"/>
      <c r="G9" s="444"/>
      <c r="H9" s="444"/>
      <c r="I9" s="444"/>
      <c r="J9" s="444"/>
      <c r="K9" s="444"/>
      <c r="L9" s="352"/>
      <c r="M9" s="9"/>
    </row>
    <row r="10" spans="1:13" ht="15" customHeight="1">
      <c r="A10" s="9"/>
      <c r="B10" s="351"/>
      <c r="C10" s="444"/>
      <c r="D10" s="444"/>
      <c r="E10" s="444"/>
      <c r="F10" s="444"/>
      <c r="G10" s="444"/>
      <c r="H10" s="444"/>
      <c r="I10" s="444"/>
      <c r="J10" s="444"/>
      <c r="K10" s="444"/>
      <c r="L10" s="352"/>
      <c r="M10" s="9"/>
    </row>
    <row r="11" spans="1:13" ht="15" customHeight="1">
      <c r="A11" s="9"/>
      <c r="B11" s="351"/>
      <c r="C11" s="441" t="s">
        <v>502</v>
      </c>
      <c r="D11" s="448" t="s">
        <v>4</v>
      </c>
      <c r="E11" s="448"/>
      <c r="F11" s="448"/>
      <c r="G11" s="163"/>
      <c r="H11" s="163"/>
      <c r="I11" s="163"/>
      <c r="J11" s="163"/>
      <c r="K11" s="163"/>
      <c r="L11" s="352"/>
      <c r="M11" s="9"/>
    </row>
    <row r="12" spans="1:13" ht="15" customHeight="1">
      <c r="A12" s="9"/>
      <c r="B12" s="351"/>
      <c r="C12" s="163"/>
      <c r="D12" s="163"/>
      <c r="E12" s="163"/>
      <c r="F12" s="163"/>
      <c r="G12" s="163"/>
      <c r="H12" s="163"/>
      <c r="I12" s="163"/>
      <c r="J12" s="163"/>
      <c r="K12" s="163"/>
      <c r="L12" s="352"/>
      <c r="M12" s="9"/>
    </row>
    <row r="13" spans="1:13" ht="15" customHeight="1">
      <c r="A13" s="9"/>
      <c r="B13" s="351"/>
      <c r="C13" s="444" t="s">
        <v>5</v>
      </c>
      <c r="D13" s="444"/>
      <c r="E13" s="444"/>
      <c r="F13" s="444"/>
      <c r="G13" s="444"/>
      <c r="H13" s="444"/>
      <c r="I13" s="444"/>
      <c r="J13" s="444"/>
      <c r="K13" s="444"/>
      <c r="L13" s="352"/>
      <c r="M13" s="9"/>
    </row>
    <row r="14" spans="1:13" ht="15" customHeight="1">
      <c r="A14" s="9"/>
      <c r="B14" s="351"/>
      <c r="C14" s="444"/>
      <c r="D14" s="444"/>
      <c r="E14" s="444"/>
      <c r="F14" s="444"/>
      <c r="G14" s="444"/>
      <c r="H14" s="444"/>
      <c r="I14" s="444"/>
      <c r="J14" s="444"/>
      <c r="K14" s="444"/>
      <c r="L14" s="352"/>
      <c r="M14" s="9"/>
    </row>
    <row r="15" spans="1:13" ht="15" customHeight="1">
      <c r="A15" s="9"/>
      <c r="B15" s="329"/>
      <c r="C15" s="155" t="s">
        <v>6</v>
      </c>
      <c r="D15" s="437" t="s">
        <v>7</v>
      </c>
      <c r="E15" s="433"/>
      <c r="F15" s="433"/>
      <c r="G15" s="155" t="s">
        <v>8</v>
      </c>
      <c r="H15" s="438" t="s">
        <v>9</v>
      </c>
      <c r="I15" s="434"/>
      <c r="J15" s="434"/>
      <c r="K15" s="343"/>
      <c r="L15" s="331"/>
      <c r="M15" s="9"/>
    </row>
    <row r="16" spans="1:13" ht="15" customHeight="1">
      <c r="A16" s="9"/>
      <c r="B16" s="329"/>
      <c r="C16" s="155" t="s">
        <v>10</v>
      </c>
      <c r="D16" s="437" t="s">
        <v>11</v>
      </c>
      <c r="E16" s="433"/>
      <c r="F16" s="433"/>
      <c r="G16" s="155" t="s">
        <v>12</v>
      </c>
      <c r="H16" s="438" t="s">
        <v>13</v>
      </c>
      <c r="I16" s="434"/>
      <c r="J16" s="434"/>
      <c r="K16" s="343"/>
      <c r="L16" s="331"/>
      <c r="M16" s="9"/>
    </row>
    <row r="17" spans="1:13" ht="15" customHeight="1">
      <c r="A17" s="9"/>
      <c r="B17" s="329"/>
      <c r="C17" s="350" t="s">
        <v>14</v>
      </c>
      <c r="D17" s="437" t="s">
        <v>15</v>
      </c>
      <c r="E17" s="433"/>
      <c r="F17" s="433"/>
      <c r="G17" s="155" t="s">
        <v>16</v>
      </c>
      <c r="H17" s="438" t="s">
        <v>17</v>
      </c>
      <c r="I17" s="434"/>
      <c r="J17" s="434"/>
      <c r="K17" s="343"/>
      <c r="L17" s="331"/>
      <c r="M17" s="9"/>
    </row>
    <row r="18" spans="1:13" ht="15" customHeight="1">
      <c r="A18" s="9"/>
      <c r="B18" s="329"/>
      <c r="C18" s="155" t="s">
        <v>18</v>
      </c>
      <c r="D18" s="437" t="s">
        <v>19</v>
      </c>
      <c r="E18" s="433"/>
      <c r="F18" s="433"/>
      <c r="G18" s="155" t="s">
        <v>20</v>
      </c>
      <c r="H18" s="438" t="s">
        <v>21</v>
      </c>
      <c r="I18" s="434"/>
      <c r="J18" s="434"/>
      <c r="K18" s="343"/>
      <c r="L18" s="331"/>
      <c r="M18" s="9"/>
    </row>
    <row r="19" spans="1:13" ht="15" customHeight="1">
      <c r="A19" s="9"/>
      <c r="B19" s="329"/>
      <c r="C19" s="155"/>
      <c r="D19" s="435"/>
      <c r="E19" s="433"/>
      <c r="F19" s="433"/>
      <c r="G19" s="155"/>
      <c r="H19" s="436"/>
      <c r="I19" s="434"/>
      <c r="J19" s="434"/>
      <c r="K19" s="343"/>
      <c r="L19" s="331"/>
      <c r="M19" s="9"/>
    </row>
    <row r="20" spans="1:13" ht="15" customHeight="1">
      <c r="A20" s="9"/>
      <c r="B20" s="329"/>
      <c r="C20" s="447" t="s">
        <v>22</v>
      </c>
      <c r="D20" s="447"/>
      <c r="E20" s="447"/>
      <c r="F20" s="447"/>
      <c r="G20" s="447"/>
      <c r="H20" s="447"/>
      <c r="I20" s="447"/>
      <c r="J20" s="447"/>
      <c r="K20" s="447"/>
      <c r="L20" s="331"/>
      <c r="M20" s="9"/>
    </row>
    <row r="21" spans="1:13" ht="15" customHeight="1">
      <c r="A21" s="9"/>
      <c r="B21" s="329"/>
      <c r="C21" s="447"/>
      <c r="D21" s="447"/>
      <c r="E21" s="447"/>
      <c r="F21" s="447"/>
      <c r="G21" s="447"/>
      <c r="H21" s="447"/>
      <c r="I21" s="447"/>
      <c r="J21" s="447"/>
      <c r="K21" s="447"/>
      <c r="L21" s="331"/>
      <c r="M21" s="9"/>
    </row>
    <row r="22" spans="1:13" ht="15" customHeight="1">
      <c r="A22" s="9"/>
      <c r="B22" s="329"/>
      <c r="C22" s="447"/>
      <c r="D22" s="447"/>
      <c r="E22" s="447"/>
      <c r="F22" s="447"/>
      <c r="G22" s="447"/>
      <c r="H22" s="447"/>
      <c r="I22" s="447"/>
      <c r="J22" s="447"/>
      <c r="K22" s="447"/>
      <c r="L22" s="331"/>
      <c r="M22" s="9"/>
    </row>
    <row r="23" spans="1:13" ht="15" customHeight="1">
      <c r="A23" s="9"/>
      <c r="B23" s="329"/>
      <c r="C23" s="447"/>
      <c r="D23" s="447"/>
      <c r="E23" s="447"/>
      <c r="F23" s="447"/>
      <c r="G23" s="447"/>
      <c r="H23" s="447"/>
      <c r="I23" s="447"/>
      <c r="J23" s="447"/>
      <c r="K23" s="447"/>
      <c r="L23" s="331"/>
      <c r="M23" s="9"/>
    </row>
    <row r="24" spans="1:13" ht="15" customHeight="1">
      <c r="A24" s="9"/>
      <c r="B24" s="329"/>
      <c r="C24" s="439" t="s">
        <v>23</v>
      </c>
      <c r="D24" s="326"/>
      <c r="E24" s="326"/>
      <c r="F24" s="326"/>
      <c r="G24" s="326"/>
      <c r="H24" s="326"/>
      <c r="I24" s="326"/>
      <c r="J24" s="326"/>
      <c r="K24" s="326"/>
      <c r="L24" s="331"/>
      <c r="M24" s="9"/>
    </row>
    <row r="25" spans="1:13" ht="15" customHeight="1">
      <c r="A25" s="9"/>
      <c r="B25" s="329"/>
      <c r="C25" s="349"/>
      <c r="D25" s="326"/>
      <c r="E25" s="326"/>
      <c r="F25" s="326"/>
      <c r="G25" s="326"/>
      <c r="H25" s="326"/>
      <c r="I25" s="326"/>
      <c r="J25" s="326"/>
      <c r="K25" s="326"/>
      <c r="L25" s="331"/>
      <c r="M25" s="9"/>
    </row>
    <row r="26" spans="1:13" ht="15" customHeight="1">
      <c r="A26" s="9"/>
      <c r="B26" s="329"/>
      <c r="C26" s="446" t="s">
        <v>24</v>
      </c>
      <c r="D26" s="446"/>
      <c r="E26" s="446"/>
      <c r="F26" s="446"/>
      <c r="G26" s="446"/>
      <c r="H26" s="446"/>
      <c r="I26" s="446"/>
      <c r="J26" s="446"/>
      <c r="K26" s="446"/>
      <c r="L26" s="331"/>
      <c r="M26" s="9"/>
    </row>
    <row r="27" spans="1:13" ht="15" customHeight="1">
      <c r="A27" s="9"/>
      <c r="B27" s="329"/>
      <c r="C27" s="447" t="s">
        <v>25</v>
      </c>
      <c r="D27" s="447"/>
      <c r="E27" s="447"/>
      <c r="F27" s="447"/>
      <c r="G27" s="447"/>
      <c r="H27" s="447"/>
      <c r="I27" s="447"/>
      <c r="J27" s="447"/>
      <c r="K27" s="447"/>
      <c r="L27" s="331"/>
      <c r="M27" s="9"/>
    </row>
    <row r="28" spans="1:13" ht="15" customHeight="1">
      <c r="A28" s="9"/>
      <c r="B28" s="329"/>
      <c r="C28" s="447"/>
      <c r="D28" s="447"/>
      <c r="E28" s="447"/>
      <c r="F28" s="447"/>
      <c r="G28" s="447"/>
      <c r="H28" s="447"/>
      <c r="I28" s="447"/>
      <c r="J28" s="447"/>
      <c r="K28" s="447"/>
      <c r="L28" s="331"/>
      <c r="M28" s="9"/>
    </row>
    <row r="29" spans="1:13" ht="15" customHeight="1">
      <c r="A29" s="9"/>
      <c r="B29" s="329"/>
      <c r="C29" s="440" t="s">
        <v>26</v>
      </c>
      <c r="D29" s="326"/>
      <c r="E29" s="326"/>
      <c r="F29" s="326"/>
      <c r="G29" s="326"/>
      <c r="H29" s="326"/>
      <c r="I29" s="326"/>
      <c r="J29" s="326"/>
      <c r="K29" s="326"/>
      <c r="L29" s="331"/>
      <c r="M29" s="9"/>
    </row>
    <row r="30" spans="1:13" ht="15" customHeight="1">
      <c r="A30" s="9"/>
      <c r="B30" s="329"/>
      <c r="C30" s="442" t="s">
        <v>27</v>
      </c>
      <c r="D30" s="445"/>
      <c r="E30" s="445"/>
      <c r="F30" s="445"/>
      <c r="G30" s="445"/>
      <c r="H30" s="445"/>
      <c r="I30" s="445"/>
      <c r="J30" s="445"/>
      <c r="K30" s="445"/>
      <c r="L30" s="331"/>
      <c r="M30" s="9"/>
    </row>
    <row r="31" spans="1:13" ht="15" customHeight="1">
      <c r="A31" s="9"/>
      <c r="B31" s="329"/>
      <c r="C31" s="445"/>
      <c r="D31" s="445"/>
      <c r="E31" s="445"/>
      <c r="F31" s="445"/>
      <c r="G31" s="445"/>
      <c r="H31" s="445"/>
      <c r="I31" s="445"/>
      <c r="J31" s="445"/>
      <c r="K31" s="445"/>
      <c r="L31" s="331"/>
      <c r="M31" s="9"/>
    </row>
    <row r="32" spans="1:13" ht="15" customHeight="1">
      <c r="A32" s="9"/>
      <c r="B32" s="329"/>
      <c r="C32" s="40"/>
      <c r="D32" s="154"/>
      <c r="E32" s="154"/>
      <c r="F32" s="154"/>
      <c r="G32" s="154"/>
      <c r="H32" s="342"/>
      <c r="I32" s="342"/>
      <c r="J32" s="342"/>
      <c r="K32" s="343"/>
      <c r="L32" s="331"/>
      <c r="M32" s="9"/>
    </row>
    <row r="33" spans="1:13" ht="15" customHeight="1">
      <c r="A33" s="9"/>
      <c r="B33" s="329"/>
      <c r="C33" s="445" t="s">
        <v>28</v>
      </c>
      <c r="D33" s="445"/>
      <c r="E33" s="445"/>
      <c r="F33" s="445"/>
      <c r="G33" s="445"/>
      <c r="H33" s="445"/>
      <c r="I33" s="445"/>
      <c r="J33" s="445"/>
      <c r="K33" s="445"/>
      <c r="L33" s="331"/>
      <c r="M33" s="9"/>
    </row>
    <row r="34" spans="1:13" ht="15" customHeight="1">
      <c r="A34" s="9"/>
      <c r="B34" s="329"/>
      <c r="C34" s="40"/>
      <c r="D34" s="154"/>
      <c r="E34" s="154"/>
      <c r="F34" s="154"/>
      <c r="G34" s="154"/>
      <c r="H34" s="342"/>
      <c r="I34" s="342"/>
      <c r="J34" s="342"/>
      <c r="K34" s="343"/>
      <c r="L34" s="331"/>
      <c r="M34" s="9"/>
    </row>
    <row r="35" spans="1:13" ht="15" customHeight="1">
      <c r="A35" s="9"/>
      <c r="B35" s="329"/>
      <c r="C35" s="344" t="s">
        <v>29</v>
      </c>
      <c r="D35" s="141"/>
      <c r="E35" s="141"/>
      <c r="F35" s="141"/>
      <c r="G35" s="141"/>
      <c r="H35" s="345"/>
      <c r="I35" s="345"/>
      <c r="J35" s="345"/>
      <c r="K35" s="346"/>
      <c r="L35" s="331"/>
      <c r="M35" s="9"/>
    </row>
    <row r="36" spans="1:13" ht="15" customHeight="1">
      <c r="A36" s="9"/>
      <c r="B36" s="329"/>
      <c r="C36" s="442" t="s">
        <v>30</v>
      </c>
      <c r="D36" s="442"/>
      <c r="E36" s="442"/>
      <c r="F36" s="442"/>
      <c r="G36" s="442"/>
      <c r="H36" s="442"/>
      <c r="I36" s="442"/>
      <c r="J36" s="442"/>
      <c r="K36" s="442"/>
      <c r="L36" s="331"/>
      <c r="M36" s="9"/>
    </row>
    <row r="37" spans="1:13" ht="15" customHeight="1">
      <c r="A37" s="9"/>
      <c r="B37" s="329"/>
      <c r="C37" s="442"/>
      <c r="D37" s="442"/>
      <c r="E37" s="442"/>
      <c r="F37" s="442"/>
      <c r="G37" s="442"/>
      <c r="H37" s="442"/>
      <c r="I37" s="442"/>
      <c r="J37" s="442"/>
      <c r="K37" s="442"/>
      <c r="L37" s="331"/>
      <c r="M37" s="9"/>
    </row>
    <row r="38" spans="1:13" ht="15" customHeight="1">
      <c r="A38" s="9"/>
      <c r="B38" s="329"/>
      <c r="C38" s="442"/>
      <c r="D38" s="442"/>
      <c r="E38" s="442"/>
      <c r="F38" s="442"/>
      <c r="G38" s="442"/>
      <c r="H38" s="442"/>
      <c r="I38" s="442"/>
      <c r="J38" s="442"/>
      <c r="K38" s="442"/>
      <c r="L38" s="331"/>
      <c r="M38" s="9"/>
    </row>
    <row r="39" spans="1:13" ht="15" customHeight="1">
      <c r="A39" s="9"/>
      <c r="B39" s="329"/>
      <c r="C39" s="442"/>
      <c r="D39" s="442"/>
      <c r="E39" s="442"/>
      <c r="F39" s="442"/>
      <c r="G39" s="442"/>
      <c r="H39" s="442"/>
      <c r="I39" s="442"/>
      <c r="J39" s="442"/>
      <c r="K39" s="442"/>
      <c r="L39" s="331"/>
      <c r="M39" s="9"/>
    </row>
    <row r="40" spans="1:13" ht="15" customHeight="1">
      <c r="A40" s="9"/>
      <c r="B40" s="329"/>
      <c r="C40" s="442"/>
      <c r="D40" s="442"/>
      <c r="E40" s="442"/>
      <c r="F40" s="442"/>
      <c r="G40" s="442"/>
      <c r="H40" s="442"/>
      <c r="I40" s="442"/>
      <c r="J40" s="442"/>
      <c r="K40" s="442"/>
      <c r="L40" s="331"/>
      <c r="M40" s="9"/>
    </row>
    <row r="41" spans="1:13" ht="15" customHeight="1">
      <c r="A41" s="9"/>
      <c r="B41" s="329"/>
      <c r="C41" s="442"/>
      <c r="D41" s="442"/>
      <c r="E41" s="442"/>
      <c r="F41" s="442"/>
      <c r="G41" s="442"/>
      <c r="H41" s="442"/>
      <c r="I41" s="442"/>
      <c r="J41" s="442"/>
      <c r="K41" s="442"/>
      <c r="L41" s="331"/>
      <c r="M41" s="9"/>
    </row>
    <row r="42" spans="1:13" ht="15" customHeight="1">
      <c r="A42" s="9"/>
      <c r="B42" s="329"/>
      <c r="C42" s="442"/>
      <c r="D42" s="442"/>
      <c r="E42" s="442"/>
      <c r="F42" s="442"/>
      <c r="G42" s="442"/>
      <c r="H42" s="442"/>
      <c r="I42" s="442"/>
      <c r="J42" s="442"/>
      <c r="K42" s="442"/>
      <c r="L42" s="331"/>
      <c r="M42" s="9"/>
    </row>
    <row r="43" spans="1:13" ht="15" customHeight="1">
      <c r="A43" s="9"/>
      <c r="B43" s="329"/>
      <c r="C43" s="442"/>
      <c r="D43" s="442"/>
      <c r="E43" s="442"/>
      <c r="F43" s="442"/>
      <c r="G43" s="442"/>
      <c r="H43" s="442"/>
      <c r="I43" s="442"/>
      <c r="J43" s="442"/>
      <c r="K43" s="442"/>
      <c r="L43" s="331"/>
      <c r="M43" s="9"/>
    </row>
    <row r="44" spans="1:13" ht="15" customHeight="1">
      <c r="A44" s="9"/>
      <c r="B44" s="329"/>
      <c r="C44" s="325"/>
      <c r="D44" s="325"/>
      <c r="E44" s="325"/>
      <c r="F44" s="325"/>
      <c r="G44" s="325"/>
      <c r="H44" s="325"/>
      <c r="I44" s="325"/>
      <c r="J44" s="325"/>
      <c r="K44" s="325"/>
      <c r="L44" s="331"/>
      <c r="M44" s="9"/>
    </row>
    <row r="45" spans="1:13" ht="14.4" hidden="1">
      <c r="A45" s="9"/>
      <c r="B45" s="329"/>
      <c r="C45" s="40"/>
      <c r="D45" s="141"/>
      <c r="E45" s="141"/>
      <c r="F45" s="141"/>
      <c r="G45" s="141"/>
      <c r="H45" s="345"/>
      <c r="I45" s="345"/>
      <c r="J45" s="345"/>
      <c r="K45" s="346"/>
      <c r="L45" s="331"/>
      <c r="M45" s="9"/>
    </row>
    <row r="46" spans="1:13" ht="14.4" hidden="1">
      <c r="A46" s="9"/>
      <c r="B46" s="329"/>
      <c r="C46" s="40"/>
      <c r="D46" s="9"/>
      <c r="E46" s="154"/>
      <c r="F46" s="154"/>
      <c r="G46" s="154"/>
      <c r="H46" s="342"/>
      <c r="I46" s="342"/>
      <c r="J46" s="342"/>
      <c r="K46" s="343"/>
      <c r="L46" s="331"/>
      <c r="M46" s="9"/>
    </row>
    <row r="47" spans="1:13" ht="14.4" hidden="1">
      <c r="A47" s="9"/>
      <c r="B47" s="329"/>
      <c r="C47" s="40"/>
      <c r="D47" s="154" t="s">
        <v>31</v>
      </c>
      <c r="E47" s="154"/>
      <c r="F47" s="154"/>
      <c r="G47" s="154"/>
      <c r="H47" s="342"/>
      <c r="I47" s="342"/>
      <c r="J47" s="342"/>
      <c r="K47" s="343"/>
      <c r="L47" s="331"/>
      <c r="M47" s="9"/>
    </row>
    <row r="48" spans="1:13" ht="15" customHeight="1">
      <c r="A48" s="9"/>
      <c r="B48" s="329"/>
      <c r="C48" s="155"/>
      <c r="D48" s="347" t="s">
        <v>32</v>
      </c>
      <c r="E48" s="154"/>
      <c r="F48" s="154"/>
      <c r="G48" s="154"/>
      <c r="H48" s="342"/>
      <c r="I48" s="342"/>
      <c r="J48" s="342"/>
      <c r="K48" s="343"/>
      <c r="L48" s="331"/>
      <c r="M48" s="9"/>
    </row>
    <row r="49" spans="1:13" ht="14.55" hidden="1" customHeight="1">
      <c r="A49" s="9"/>
      <c r="B49" s="329"/>
      <c r="C49" s="157"/>
      <c r="D49" s="154"/>
      <c r="E49" s="154"/>
      <c r="F49" s="154"/>
      <c r="G49" s="154"/>
      <c r="H49" s="342"/>
      <c r="I49" s="342"/>
      <c r="J49" s="348"/>
      <c r="K49" s="343"/>
      <c r="L49" s="331"/>
      <c r="M49" s="9"/>
    </row>
    <row r="50" spans="1:13" ht="18" hidden="1">
      <c r="A50" s="9"/>
      <c r="B50" s="329"/>
      <c r="C50" s="157"/>
      <c r="D50" s="154"/>
      <c r="E50" s="154"/>
      <c r="F50" s="154"/>
      <c r="G50" s="443"/>
      <c r="H50" s="443"/>
      <c r="I50" s="443"/>
      <c r="J50" s="443"/>
      <c r="K50" s="338"/>
      <c r="L50" s="331"/>
      <c r="M50" s="9"/>
    </row>
    <row r="51" spans="1:13" ht="15" customHeight="1">
      <c r="A51" s="9"/>
      <c r="B51" s="329"/>
      <c r="C51" s="40"/>
      <c r="D51" s="337"/>
      <c r="E51" s="337"/>
      <c r="F51" s="40"/>
      <c r="G51" s="66"/>
      <c r="H51" s="66"/>
      <c r="I51" s="66"/>
      <c r="J51" s="66"/>
      <c r="K51" s="338"/>
      <c r="L51" s="331"/>
      <c r="M51" s="9"/>
    </row>
    <row r="52" spans="1:13" ht="15" customHeight="1">
      <c r="A52" s="9"/>
      <c r="B52" s="329"/>
      <c r="C52" s="40"/>
      <c r="D52" s="337"/>
      <c r="E52" s="337"/>
      <c r="F52" s="40"/>
      <c r="G52" s="66"/>
      <c r="H52" s="66"/>
      <c r="I52" s="66"/>
      <c r="J52" s="66"/>
      <c r="K52" s="338"/>
      <c r="L52" s="331"/>
      <c r="M52" s="9"/>
    </row>
    <row r="53" spans="1:13" ht="15" customHeight="1">
      <c r="A53" s="9"/>
      <c r="B53" s="329"/>
      <c r="C53" s="40"/>
      <c r="D53" s="337"/>
      <c r="E53" s="337"/>
      <c r="F53" s="40"/>
      <c r="G53" s="66"/>
      <c r="H53" s="66"/>
      <c r="I53" s="66"/>
      <c r="J53" s="66"/>
      <c r="K53" s="338"/>
      <c r="L53" s="331"/>
      <c r="M53" s="9"/>
    </row>
    <row r="54" spans="1:13" ht="15" customHeight="1">
      <c r="A54" s="9"/>
      <c r="B54" s="329"/>
      <c r="C54" s="40"/>
      <c r="D54" s="337"/>
      <c r="E54" s="337"/>
      <c r="F54" s="40"/>
      <c r="G54" s="66"/>
      <c r="H54" s="66"/>
      <c r="I54" s="66"/>
      <c r="J54" s="66"/>
      <c r="K54" s="338"/>
      <c r="L54" s="331"/>
      <c r="M54" s="9"/>
    </row>
    <row r="55" spans="1:13" ht="15" customHeight="1">
      <c r="A55" s="9"/>
      <c r="B55" s="329"/>
      <c r="C55" s="40"/>
      <c r="D55" s="337"/>
      <c r="E55" s="337"/>
      <c r="F55" s="40"/>
      <c r="G55" s="66"/>
      <c r="H55" s="66"/>
      <c r="I55" s="66"/>
      <c r="J55" s="66"/>
      <c r="K55" s="338"/>
      <c r="L55" s="331"/>
      <c r="M55" s="9"/>
    </row>
    <row r="56" spans="1:13" ht="15" customHeight="1">
      <c r="A56" s="9"/>
      <c r="B56" s="329"/>
      <c r="C56" s="40"/>
      <c r="D56" s="337"/>
      <c r="E56" s="337"/>
      <c r="F56" s="40"/>
      <c r="G56" s="66"/>
      <c r="H56" s="66"/>
      <c r="I56" s="66"/>
      <c r="J56" s="66"/>
      <c r="K56" s="338"/>
      <c r="L56" s="331"/>
      <c r="M56" s="9"/>
    </row>
    <row r="57" spans="1:13" ht="15" customHeight="1">
      <c r="A57" s="9"/>
      <c r="B57" s="329"/>
      <c r="C57" s="40"/>
      <c r="D57" s="337"/>
      <c r="E57" s="337"/>
      <c r="F57" s="40"/>
      <c r="G57" s="66"/>
      <c r="H57" s="66"/>
      <c r="I57" s="66"/>
      <c r="J57" s="66"/>
      <c r="K57" s="338"/>
      <c r="L57" s="331"/>
      <c r="M57" s="9"/>
    </row>
    <row r="58" spans="1:13" ht="15" customHeight="1">
      <c r="A58" s="9"/>
      <c r="B58" s="329"/>
      <c r="C58" s="40"/>
      <c r="D58" s="337"/>
      <c r="E58" s="337"/>
      <c r="F58" s="40"/>
      <c r="G58" s="66"/>
      <c r="H58" s="66"/>
      <c r="I58" s="66"/>
      <c r="J58" s="66"/>
      <c r="K58" s="338"/>
      <c r="L58" s="331"/>
      <c r="M58" s="9"/>
    </row>
    <row r="59" spans="1:13" ht="15" customHeight="1">
      <c r="A59" s="9"/>
      <c r="B59" s="329"/>
      <c r="C59" s="40"/>
      <c r="D59" s="337"/>
      <c r="E59" s="337"/>
      <c r="F59" s="40"/>
      <c r="G59" s="66"/>
      <c r="H59" s="66"/>
      <c r="I59" s="66"/>
      <c r="J59" s="66"/>
      <c r="K59" s="338"/>
      <c r="L59" s="331"/>
      <c r="M59" s="9"/>
    </row>
    <row r="60" spans="1:13" ht="15" customHeight="1">
      <c r="A60" s="9"/>
      <c r="B60" s="329"/>
      <c r="C60" s="40"/>
      <c r="D60" s="337"/>
      <c r="E60" s="337"/>
      <c r="F60" s="40"/>
      <c r="G60" s="66"/>
      <c r="H60" s="66"/>
      <c r="I60" s="66"/>
      <c r="J60" s="66"/>
      <c r="K60" s="338"/>
      <c r="L60" s="331"/>
      <c r="M60" s="9"/>
    </row>
    <row r="61" spans="1:13" ht="15" customHeight="1">
      <c r="A61" s="9"/>
      <c r="B61" s="329"/>
      <c r="C61" s="40"/>
      <c r="D61" s="337"/>
      <c r="E61" s="337"/>
      <c r="F61" s="40"/>
      <c r="G61" s="66"/>
      <c r="H61" s="66"/>
      <c r="I61" s="66"/>
      <c r="J61" s="66"/>
      <c r="K61" s="338"/>
      <c r="L61" s="331"/>
      <c r="M61" s="9"/>
    </row>
    <row r="62" spans="1:13" ht="15" customHeight="1">
      <c r="A62" s="9"/>
      <c r="B62" s="329"/>
      <c r="C62" s="40"/>
      <c r="D62" s="337"/>
      <c r="E62" s="337"/>
      <c r="F62" s="40"/>
      <c r="G62" s="66"/>
      <c r="H62" s="66"/>
      <c r="I62" s="66"/>
      <c r="J62" s="66"/>
      <c r="K62" s="338"/>
      <c r="L62" s="331"/>
      <c r="M62" s="9"/>
    </row>
    <row r="63" spans="1:13" ht="15" customHeight="1">
      <c r="A63" s="9"/>
      <c r="B63" s="329"/>
      <c r="C63" s="442" t="s">
        <v>33</v>
      </c>
      <c r="D63" s="442"/>
      <c r="E63" s="442"/>
      <c r="F63" s="442"/>
      <c r="G63" s="442"/>
      <c r="H63" s="442"/>
      <c r="I63" s="442"/>
      <c r="J63" s="442"/>
      <c r="K63" s="442"/>
      <c r="L63" s="331"/>
      <c r="M63" s="9"/>
    </row>
    <row r="64" spans="1:13" ht="15" customHeight="1">
      <c r="A64" s="9"/>
      <c r="B64" s="329"/>
      <c r="C64" s="442"/>
      <c r="D64" s="442"/>
      <c r="E64" s="442"/>
      <c r="F64" s="442"/>
      <c r="G64" s="442"/>
      <c r="H64" s="442"/>
      <c r="I64" s="442"/>
      <c r="J64" s="442"/>
      <c r="K64" s="442"/>
      <c r="L64" s="331"/>
      <c r="M64" s="9"/>
    </row>
    <row r="65" spans="1:13" ht="15" customHeight="1">
      <c r="A65" s="9"/>
      <c r="B65" s="329"/>
      <c r="C65" s="328" t="s">
        <v>34</v>
      </c>
      <c r="E65" s="163"/>
      <c r="F65" s="163"/>
      <c r="G65" s="163"/>
      <c r="H65" s="163"/>
      <c r="I65" s="163"/>
      <c r="J65" s="163"/>
      <c r="K65" s="163"/>
      <c r="L65" s="331"/>
      <c r="M65" s="9"/>
    </row>
    <row r="66" spans="1:13" ht="15" customHeight="1">
      <c r="A66" s="9"/>
      <c r="B66" s="329"/>
      <c r="C66" s="163"/>
      <c r="D66" s="330"/>
      <c r="E66" s="163"/>
      <c r="F66" s="163"/>
      <c r="G66" s="163"/>
      <c r="H66" s="163"/>
      <c r="I66" s="163"/>
      <c r="J66" s="163"/>
      <c r="K66" s="163"/>
      <c r="L66" s="331"/>
      <c r="M66" s="9"/>
    </row>
    <row r="67" spans="1:13" ht="15" customHeight="1">
      <c r="A67" s="9"/>
      <c r="B67" s="329"/>
      <c r="C67" s="442" t="s">
        <v>489</v>
      </c>
      <c r="D67" s="442"/>
      <c r="E67" s="442"/>
      <c r="F67" s="442"/>
      <c r="G67" s="442"/>
      <c r="H67" s="442"/>
      <c r="I67" s="442"/>
      <c r="J67" s="442"/>
      <c r="K67" s="442"/>
      <c r="L67" s="331"/>
      <c r="M67" s="9"/>
    </row>
    <row r="68" spans="1:13" ht="15" customHeight="1">
      <c r="A68" s="9"/>
      <c r="B68" s="329"/>
      <c r="C68" s="154"/>
      <c r="D68" s="154" t="s">
        <v>35</v>
      </c>
      <c r="E68" s="154"/>
      <c r="F68" s="154"/>
      <c r="G68" s="154"/>
      <c r="H68" s="154"/>
      <c r="I68" s="154"/>
      <c r="J68" s="154"/>
      <c r="K68" s="154"/>
      <c r="L68" s="331"/>
      <c r="M68" s="9"/>
    </row>
    <row r="69" spans="1:13" ht="15" customHeight="1">
      <c r="A69" s="9"/>
      <c r="B69" s="329"/>
      <c r="C69" s="154"/>
      <c r="D69" s="332" t="s">
        <v>36</v>
      </c>
      <c r="E69" s="333"/>
      <c r="F69" s="154"/>
      <c r="G69" s="334"/>
      <c r="H69" s="334"/>
      <c r="I69" s="334"/>
      <c r="J69" s="334"/>
      <c r="K69" s="335"/>
      <c r="L69" s="331"/>
      <c r="M69" s="9"/>
    </row>
    <row r="70" spans="1:13" ht="15" customHeight="1">
      <c r="A70" s="9"/>
      <c r="B70" s="329"/>
      <c r="C70" s="154"/>
      <c r="D70" s="336" t="s">
        <v>37</v>
      </c>
      <c r="E70" s="333"/>
      <c r="F70" s="154"/>
      <c r="G70" s="334"/>
      <c r="H70" s="334"/>
      <c r="I70" s="334"/>
      <c r="J70" s="334"/>
      <c r="K70" s="335"/>
      <c r="L70" s="331"/>
      <c r="M70" s="9"/>
    </row>
    <row r="71" spans="1:13" ht="15" customHeight="1">
      <c r="A71" s="9"/>
      <c r="B71" s="329"/>
      <c r="C71" s="154"/>
      <c r="D71" s="336"/>
      <c r="E71" s="333"/>
      <c r="F71" s="154"/>
      <c r="G71" s="334"/>
      <c r="H71" s="334"/>
      <c r="I71" s="334"/>
      <c r="J71" s="334"/>
      <c r="K71" s="335"/>
      <c r="L71" s="331"/>
      <c r="M71" s="9"/>
    </row>
    <row r="72" spans="1:13" ht="15" customHeight="1">
      <c r="A72" s="9"/>
      <c r="B72" s="329"/>
      <c r="C72" s="40"/>
      <c r="D72" s="337"/>
      <c r="E72" s="337"/>
      <c r="F72" s="40"/>
      <c r="G72" s="66"/>
      <c r="H72" s="66"/>
      <c r="I72" s="66"/>
      <c r="J72" s="66"/>
      <c r="K72" s="338"/>
      <c r="L72" s="331"/>
      <c r="M72" s="9"/>
    </row>
    <row r="73" spans="1:13" ht="15" customHeight="1">
      <c r="A73" s="9"/>
      <c r="B73" s="329"/>
      <c r="C73" s="40"/>
      <c r="D73" s="337"/>
      <c r="E73" s="337"/>
      <c r="F73" s="40"/>
      <c r="G73" s="66"/>
      <c r="H73" s="66"/>
      <c r="I73" s="66"/>
      <c r="J73" s="66"/>
      <c r="K73" s="338"/>
      <c r="L73" s="331"/>
      <c r="M73" s="9"/>
    </row>
    <row r="74" spans="1:13" ht="15" customHeight="1">
      <c r="A74" s="9"/>
      <c r="B74" s="329"/>
      <c r="C74" s="40"/>
      <c r="D74" s="337"/>
      <c r="E74" s="337"/>
      <c r="F74" s="40"/>
      <c r="G74" s="66"/>
      <c r="H74" s="66"/>
      <c r="I74" s="66"/>
      <c r="J74" s="66"/>
      <c r="K74" s="338"/>
      <c r="L74" s="331"/>
      <c r="M74" s="9"/>
    </row>
    <row r="75" spans="1:13" ht="15" customHeight="1">
      <c r="A75" s="9"/>
      <c r="B75" s="329"/>
      <c r="C75" s="40"/>
      <c r="D75" s="337"/>
      <c r="E75" s="337"/>
      <c r="F75" s="40"/>
      <c r="G75" s="66"/>
      <c r="H75" s="66"/>
      <c r="I75" s="66"/>
      <c r="J75" s="66"/>
      <c r="K75" s="338"/>
      <c r="L75" s="331"/>
      <c r="M75" s="9"/>
    </row>
    <row r="76" spans="1:13" ht="15" customHeight="1">
      <c r="A76" s="9"/>
      <c r="B76" s="329"/>
      <c r="C76" s="40"/>
      <c r="D76" s="337"/>
      <c r="E76" s="337"/>
      <c r="F76" s="40"/>
      <c r="G76" s="66"/>
      <c r="H76" s="66"/>
      <c r="I76" s="66"/>
      <c r="J76" s="66"/>
      <c r="K76" s="338"/>
      <c r="L76" s="331"/>
      <c r="M76" s="9"/>
    </row>
    <row r="77" spans="1:13" ht="15" customHeight="1">
      <c r="A77" s="9"/>
      <c r="B77" s="329"/>
      <c r="C77" s="40"/>
      <c r="D77" s="337"/>
      <c r="E77" s="337"/>
      <c r="F77" s="40"/>
      <c r="G77" s="66"/>
      <c r="H77" s="66"/>
      <c r="I77" s="66"/>
      <c r="J77" s="66"/>
      <c r="K77" s="338"/>
      <c r="L77" s="331"/>
      <c r="M77" s="9"/>
    </row>
    <row r="78" spans="1:13" ht="15" customHeight="1">
      <c r="A78" s="9"/>
      <c r="B78" s="329"/>
      <c r="C78" s="40"/>
      <c r="D78" s="337"/>
      <c r="E78" s="337"/>
      <c r="F78" s="40"/>
      <c r="G78" s="66"/>
      <c r="H78" s="66"/>
      <c r="I78" s="66"/>
      <c r="J78" s="66"/>
      <c r="K78" s="338"/>
      <c r="L78" s="331"/>
      <c r="M78" s="9"/>
    </row>
    <row r="79" spans="1:13" ht="15" customHeight="1">
      <c r="A79" s="9"/>
      <c r="B79" s="329"/>
      <c r="C79" s="40"/>
      <c r="D79" s="337"/>
      <c r="E79" s="337"/>
      <c r="F79" s="40"/>
      <c r="G79" s="66"/>
      <c r="H79" s="66"/>
      <c r="I79" s="66"/>
      <c r="J79" s="66"/>
      <c r="K79" s="338"/>
      <c r="L79" s="331"/>
      <c r="M79" s="9"/>
    </row>
    <row r="80" spans="1:13" ht="15" customHeight="1">
      <c r="A80" s="9"/>
      <c r="B80" s="329"/>
      <c r="C80" s="40"/>
      <c r="D80" s="337"/>
      <c r="E80" s="337"/>
      <c r="F80" s="40"/>
      <c r="G80" s="66"/>
      <c r="H80" s="66"/>
      <c r="I80" s="66"/>
      <c r="J80" s="66"/>
      <c r="K80" s="338"/>
      <c r="L80" s="331"/>
      <c r="M80" s="9"/>
    </row>
    <row r="81" spans="1:13" ht="15" customHeight="1">
      <c r="A81" s="9"/>
      <c r="B81" s="329"/>
      <c r="C81" s="40"/>
      <c r="D81" s="337"/>
      <c r="E81" s="337"/>
      <c r="F81" s="40"/>
      <c r="G81" s="66"/>
      <c r="H81" s="66"/>
      <c r="I81" s="66"/>
      <c r="J81" s="66"/>
      <c r="K81" s="338"/>
      <c r="L81" s="331"/>
      <c r="M81" s="9"/>
    </row>
    <row r="82" spans="1:13" ht="15" customHeight="1">
      <c r="A82" s="9"/>
      <c r="B82" s="329"/>
      <c r="C82" s="40"/>
      <c r="D82" s="337"/>
      <c r="E82" s="337"/>
      <c r="F82" s="40"/>
      <c r="G82" s="66"/>
      <c r="H82" s="66"/>
      <c r="I82" s="66"/>
      <c r="J82" s="66"/>
      <c r="K82" s="338"/>
      <c r="L82" s="331"/>
      <c r="M82" s="9"/>
    </row>
    <row r="83" spans="1:13" ht="15" customHeight="1">
      <c r="A83" s="9"/>
      <c r="B83" s="329"/>
      <c r="C83" s="40"/>
      <c r="D83" s="337"/>
      <c r="E83" s="337"/>
      <c r="F83" s="40"/>
      <c r="G83" s="66"/>
      <c r="H83" s="66"/>
      <c r="I83" s="66"/>
      <c r="J83" s="66"/>
      <c r="K83" s="338"/>
      <c r="L83" s="331"/>
      <c r="M83" s="9"/>
    </row>
    <row r="84" spans="1:13" ht="15" customHeight="1">
      <c r="A84" s="9"/>
      <c r="B84" s="329"/>
      <c r="C84" s="40"/>
      <c r="D84" s="337"/>
      <c r="E84" s="337"/>
      <c r="F84" s="40"/>
      <c r="G84" s="66"/>
      <c r="H84" s="66"/>
      <c r="I84" s="66"/>
      <c r="J84" s="66"/>
      <c r="K84" s="338"/>
      <c r="L84" s="331"/>
      <c r="M84" s="9"/>
    </row>
    <row r="85" spans="1:13" ht="15" customHeight="1">
      <c r="A85" s="9"/>
      <c r="B85" s="329"/>
      <c r="C85" s="40"/>
      <c r="D85" s="337"/>
      <c r="E85" s="337"/>
      <c r="F85" s="40"/>
      <c r="G85" s="66"/>
      <c r="H85" s="66"/>
      <c r="I85" s="66"/>
      <c r="J85" s="66"/>
      <c r="K85" s="338"/>
      <c r="L85" s="331"/>
      <c r="M85" s="9"/>
    </row>
    <row r="86" spans="1:13" ht="15" customHeight="1">
      <c r="A86" s="9"/>
      <c r="B86" s="329"/>
      <c r="C86" s="40"/>
      <c r="D86" s="337"/>
      <c r="E86" s="337"/>
      <c r="F86" s="40"/>
      <c r="G86" s="66"/>
      <c r="H86" s="66"/>
      <c r="I86" s="66"/>
      <c r="J86" s="66"/>
      <c r="K86" s="338"/>
      <c r="L86" s="331"/>
      <c r="M86" s="9"/>
    </row>
    <row r="87" spans="1:13" ht="15" customHeight="1">
      <c r="A87" s="9"/>
      <c r="B87" s="329"/>
      <c r="C87" s="40"/>
      <c r="D87" s="337"/>
      <c r="E87" s="337"/>
      <c r="F87" s="40"/>
      <c r="G87" s="66"/>
      <c r="H87" s="66"/>
      <c r="I87" s="66"/>
      <c r="J87" s="66"/>
      <c r="K87" s="338"/>
      <c r="L87" s="331"/>
      <c r="M87" s="9"/>
    </row>
    <row r="88" spans="1:13" ht="15" customHeight="1">
      <c r="A88" s="9"/>
      <c r="B88" s="329"/>
      <c r="C88" s="40"/>
      <c r="D88" s="337"/>
      <c r="E88" s="337"/>
      <c r="F88" s="40"/>
      <c r="G88" s="66"/>
      <c r="H88" s="66"/>
      <c r="I88" s="66"/>
      <c r="J88" s="66"/>
      <c r="K88" s="338"/>
      <c r="L88" s="331"/>
      <c r="M88" s="9"/>
    </row>
    <row r="89" spans="1:13" ht="15" customHeight="1">
      <c r="A89" s="9"/>
      <c r="B89" s="329"/>
      <c r="C89" s="40"/>
      <c r="D89" s="337"/>
      <c r="E89" s="337"/>
      <c r="F89" s="40"/>
      <c r="G89" s="66"/>
      <c r="H89" s="66"/>
      <c r="I89" s="66"/>
      <c r="J89" s="66"/>
      <c r="K89" s="338"/>
      <c r="L89" s="331"/>
      <c r="M89" s="9"/>
    </row>
    <row r="90" spans="1:13" ht="15" customHeight="1">
      <c r="A90" s="9"/>
      <c r="B90" s="329"/>
      <c r="C90" s="40"/>
      <c r="D90" s="337"/>
      <c r="E90" s="337"/>
      <c r="F90" s="40"/>
      <c r="G90" s="66"/>
      <c r="H90" s="66"/>
      <c r="I90" s="66"/>
      <c r="J90" s="66"/>
      <c r="K90" s="338"/>
      <c r="L90" s="331"/>
      <c r="M90" s="9"/>
    </row>
    <row r="91" spans="1:13" ht="15" customHeight="1">
      <c r="A91" s="9"/>
      <c r="B91" s="329"/>
      <c r="C91" s="40"/>
      <c r="D91" s="337"/>
      <c r="E91" s="337"/>
      <c r="F91" s="40"/>
      <c r="G91" s="66"/>
      <c r="H91" s="66"/>
      <c r="I91" s="66"/>
      <c r="J91" s="66"/>
      <c r="K91" s="338"/>
      <c r="L91" s="331"/>
      <c r="M91" s="9"/>
    </row>
    <row r="92" spans="1:13" ht="15" customHeight="1">
      <c r="A92" s="9"/>
      <c r="B92" s="329"/>
      <c r="C92" s="40"/>
      <c r="D92" s="337"/>
      <c r="E92" s="337"/>
      <c r="F92" s="40"/>
      <c r="G92" s="66"/>
      <c r="H92" s="66"/>
      <c r="I92" s="66"/>
      <c r="J92" s="66"/>
      <c r="K92" s="338"/>
      <c r="L92" s="331"/>
      <c r="M92" s="9"/>
    </row>
    <row r="93" spans="1:13" ht="15" customHeight="1">
      <c r="A93" s="9"/>
      <c r="B93" s="329"/>
      <c r="C93" s="40"/>
      <c r="D93" s="337"/>
      <c r="E93" s="337"/>
      <c r="F93" s="40"/>
      <c r="G93" s="66"/>
      <c r="H93" s="66"/>
      <c r="I93" s="66"/>
      <c r="J93" s="66"/>
      <c r="K93" s="338"/>
      <c r="L93" s="331"/>
      <c r="M93" s="9"/>
    </row>
    <row r="94" spans="1:13" ht="15" customHeight="1">
      <c r="A94" s="9"/>
      <c r="B94" s="329"/>
      <c r="C94" s="40"/>
      <c r="D94" s="337"/>
      <c r="E94" s="337"/>
      <c r="F94" s="40"/>
      <c r="G94" s="66"/>
      <c r="H94" s="66"/>
      <c r="I94" s="66"/>
      <c r="J94" s="66"/>
      <c r="K94" s="338"/>
      <c r="L94" s="331"/>
      <c r="M94" s="9"/>
    </row>
    <row r="95" spans="1:13" ht="15" customHeight="1">
      <c r="A95" s="9"/>
      <c r="B95" s="329"/>
      <c r="C95" s="40"/>
      <c r="D95" s="337"/>
      <c r="E95" s="337"/>
      <c r="F95" s="40"/>
      <c r="G95" s="66"/>
      <c r="H95" s="66"/>
      <c r="I95" s="66"/>
      <c r="J95" s="66"/>
      <c r="K95" s="338"/>
      <c r="L95" s="331"/>
      <c r="M95" s="9"/>
    </row>
    <row r="96" spans="1:13" ht="15" customHeight="1" thickBot="1">
      <c r="A96" s="9"/>
      <c r="B96" s="339"/>
      <c r="C96" s="340"/>
      <c r="D96" s="340"/>
      <c r="E96" s="340"/>
      <c r="F96" s="340"/>
      <c r="G96" s="340"/>
      <c r="H96" s="340"/>
      <c r="I96" s="340"/>
      <c r="J96" s="340"/>
      <c r="K96" s="340"/>
      <c r="L96" s="341"/>
      <c r="M96" s="9"/>
    </row>
    <row r="97" spans="1:13" ht="15" customHeight="1">
      <c r="A97" s="9"/>
      <c r="B97" s="9"/>
      <c r="C97" s="9"/>
      <c r="D97" s="9"/>
      <c r="E97" s="9"/>
      <c r="F97" s="9"/>
      <c r="G97" s="9"/>
      <c r="H97" s="9"/>
      <c r="I97" s="9"/>
      <c r="J97" s="9"/>
      <c r="K97" s="9"/>
      <c r="L97" s="9"/>
      <c r="M97" s="9"/>
    </row>
    <row r="98" spans="1:13" ht="15" hidden="1" customHeight="1"/>
  </sheetData>
  <sheetProtection algorithmName="SHA-512" hashValue="c2FLAKDDRK9PUHcE4iNM+Fj1DmfM9KGO3nipaA/s53vOF0iLSWUTW0Z6l49FxZ1nety4fnRMBWzahd/9rotIkA==" saltValue="twnlgg3eVD1cpvLONqd7mg==" spinCount="100000" sheet="1" objects="1" scenarios="1"/>
  <mergeCells count="12">
    <mergeCell ref="C6:K10"/>
    <mergeCell ref="C26:K26"/>
    <mergeCell ref="C20:K23"/>
    <mergeCell ref="C27:K28"/>
    <mergeCell ref="C30:K31"/>
    <mergeCell ref="D11:F11"/>
    <mergeCell ref="C67:K67"/>
    <mergeCell ref="C36:K43"/>
    <mergeCell ref="C63:K64"/>
    <mergeCell ref="G50:J50"/>
    <mergeCell ref="C13:K14"/>
    <mergeCell ref="C33:K33"/>
  </mergeCells>
  <phoneticPr fontId="5" type="noConversion"/>
  <hyperlinks>
    <hyperlink ref="C65" r:id="rId1" display="https://support.microsoft.com/en-gb/topic/a-potentially-dangerous-macro-has-been-blocked-0952faa0-37e7-4316-b61d-5b5ed6024216" xr:uid="{A44AFE7D-2332-441E-ABF3-FD2429F7E1DF}"/>
    <hyperlink ref="D15" location="'WSA-CC-Energy'!A1" display="The use of electrical Energy from the UK grid" xr:uid="{BD9FBE04-EA64-4DBC-8779-C735E0C2F2A3}"/>
    <hyperlink ref="D16" location="'WSA-CC-Water'!A1" display="The use of water" xr:uid="{A3BBAFC1-5490-4F55-8F49-AA2EB4FCCBE7}"/>
    <hyperlink ref="D17" location="'WSA-CC-Material'!A1" display="The use of materials" xr:uid="{A65EF2D6-F533-45ED-B777-1F4CF9DCA449}"/>
    <hyperlink ref="D18" location="'WSA-CC-Waste'!A1" display="The disposal of waste" xr:uid="{04D0EF91-3982-44EE-A194-136DE80F7425}"/>
    <hyperlink ref="H15" location="'WSA-CC-Travel'!A1" display="Travel " xr:uid="{E093C543-0A5E-4793-855C-1D35B3241B42}"/>
    <hyperlink ref="H16" location="'WSA-CC-Freight'!A1" display="Freight" xr:uid="{09758C08-27F1-4DDC-B5BF-66A586E14DA0}"/>
    <hyperlink ref="H17" location="'WSA-CC-Accommodation'!A1" display="Accommodation " xr:uid="{AD5B5DD6-A97F-48A6-998D-B315D56DC3C6}"/>
    <hyperlink ref="H18" location="'WSA-CC-Summary'!A1" display="Summary" xr:uid="{408C9A76-6F8E-4AAC-99CB-0C727C59DC14}"/>
    <hyperlink ref="C24" r:id="rId2" display="https://www.gov.uk/government/publications/greenhouse-gas-reporting-conversion-factors-2024" xr:uid="{4E692312-83B4-4893-89C4-E4AF1991652F}"/>
    <hyperlink ref="C29" location="'GHG conversion factor'!A1" display="GHG Conversion factor" xr:uid="{4102EA60-61F1-4A7E-9CFC-2DCD9655A8D1}"/>
    <hyperlink ref="D11" r:id="rId3" display="https://doi.org/10.5258/SOTON/P1189 " xr:uid="{9F3AF4B3-605F-4439-AF98-8EDB786CF1E7}"/>
  </hyperlinks>
  <pageMargins left="0.7" right="0.7" top="0.75" bottom="0.75" header="0.3" footer="0.3"/>
  <pageSetup orientation="landscape" r:id="rId4"/>
  <ignoredErrors>
    <ignoredError sqref="G15:G18 C16:C18"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2924-25FF-4BA5-A7B3-34E5A30F5441}">
  <sheetPr codeName="Sheet4"/>
  <dimension ref="A1:O122"/>
  <sheetViews>
    <sheetView zoomScaleNormal="100" workbookViewId="0">
      <selection activeCell="I13" sqref="I13"/>
    </sheetView>
  </sheetViews>
  <sheetFormatPr defaultColWidth="0" defaultRowHeight="14.4" zeroHeight="1"/>
  <cols>
    <col min="1" max="3" width="3.6640625" customWidth="1"/>
    <col min="4" max="7" width="5.6640625" customWidth="1"/>
    <col min="8" max="8" width="3.6640625" customWidth="1"/>
    <col min="9" max="9" width="25.6640625" customWidth="1"/>
    <col min="10" max="12" width="11.6640625" customWidth="1"/>
    <col min="13" max="13" width="14.6640625" customWidth="1"/>
    <col min="14" max="15" width="3.6640625" customWidth="1"/>
    <col min="16" max="16384" width="8.77734375" hidden="1"/>
  </cols>
  <sheetData>
    <row r="1" spans="1:15" ht="25.2" customHeight="1">
      <c r="A1" s="9"/>
      <c r="B1" s="9"/>
      <c r="C1" s="9"/>
      <c r="D1" s="9"/>
      <c r="E1" s="9"/>
      <c r="F1" s="9"/>
      <c r="G1" s="9"/>
      <c r="H1" s="9"/>
      <c r="I1" s="9"/>
      <c r="J1" s="9"/>
      <c r="K1" s="9"/>
      <c r="L1" s="9"/>
      <c r="M1" s="9"/>
      <c r="N1" s="9"/>
      <c r="O1" s="9"/>
    </row>
    <row r="2" spans="1:15" ht="25.2" customHeight="1">
      <c r="A2" s="9"/>
      <c r="B2" s="116" t="s">
        <v>0</v>
      </c>
      <c r="C2" s="450" t="s">
        <v>1</v>
      </c>
      <c r="D2" s="450"/>
      <c r="E2" s="450"/>
      <c r="F2" s="450"/>
      <c r="G2" s="450"/>
      <c r="H2" s="450"/>
      <c r="I2" s="354" t="str">
        <f>+'WSA-CC-Introduction &amp; guide'!G2</f>
        <v>Carbon Calculator-2024</v>
      </c>
      <c r="J2" s="9"/>
      <c r="K2" s="9"/>
      <c r="L2" s="9"/>
      <c r="M2" s="9"/>
      <c r="N2" s="9"/>
      <c r="O2" s="9"/>
    </row>
    <row r="3" spans="1:15" ht="25.2" customHeight="1">
      <c r="A3" s="9"/>
      <c r="B3" s="9"/>
      <c r="D3" s="9"/>
      <c r="E3" s="9"/>
      <c r="F3" s="9"/>
      <c r="G3" s="9"/>
      <c r="H3" s="9"/>
      <c r="I3" s="9"/>
      <c r="J3" s="9"/>
      <c r="K3" s="9"/>
      <c r="L3" s="9"/>
      <c r="M3" s="9"/>
      <c r="N3" s="9"/>
      <c r="O3" s="9"/>
    </row>
    <row r="4" spans="1:15" ht="15" customHeight="1">
      <c r="A4" s="9"/>
      <c r="B4" s="451" t="s">
        <v>38</v>
      </c>
      <c r="C4" s="451"/>
      <c r="D4" s="451"/>
      <c r="E4" s="9"/>
      <c r="F4" s="255" t="s">
        <v>39</v>
      </c>
      <c r="G4" s="376"/>
      <c r="H4" s="376"/>
      <c r="I4" s="376"/>
      <c r="J4" s="9"/>
      <c r="K4" s="118" t="s">
        <v>40</v>
      </c>
      <c r="L4" s="158" t="s">
        <v>41</v>
      </c>
      <c r="M4" s="375"/>
      <c r="N4" s="9"/>
      <c r="O4" s="9"/>
    </row>
    <row r="5" spans="1:15" ht="15" customHeight="1">
      <c r="A5" s="9"/>
      <c r="B5" s="451"/>
      <c r="C5" s="451"/>
      <c r="D5" s="451"/>
      <c r="E5" s="9"/>
      <c r="F5" s="254" t="s">
        <v>42</v>
      </c>
      <c r="G5" s="40"/>
      <c r="H5" s="40"/>
      <c r="I5" s="40"/>
      <c r="J5" s="9"/>
      <c r="K5" s="9"/>
      <c r="L5" s="9"/>
      <c r="M5" s="9"/>
      <c r="N5" s="9"/>
      <c r="O5" s="9"/>
    </row>
    <row r="6" spans="1:15" ht="15" customHeight="1">
      <c r="A6" s="9"/>
      <c r="B6" s="451"/>
      <c r="C6" s="451"/>
      <c r="D6" s="451"/>
      <c r="E6" s="9"/>
      <c r="F6" s="254" t="s">
        <v>43</v>
      </c>
      <c r="G6" s="40"/>
      <c r="H6" s="40"/>
      <c r="I6" s="40"/>
      <c r="J6" s="9"/>
      <c r="K6" s="9"/>
      <c r="L6" s="9"/>
      <c r="M6" s="9"/>
      <c r="N6" s="9"/>
      <c r="O6" s="9"/>
    </row>
    <row r="7" spans="1:15" ht="15" customHeight="1" thickBot="1">
      <c r="A7" s="9"/>
      <c r="B7" s="9"/>
      <c r="C7" s="9"/>
      <c r="D7" s="9"/>
      <c r="E7" s="9"/>
      <c r="F7" s="9"/>
      <c r="G7" s="9"/>
      <c r="H7" s="9"/>
      <c r="I7" s="152"/>
      <c r="J7" s="9"/>
      <c r="K7" s="9"/>
      <c r="L7" s="9"/>
      <c r="M7" s="9"/>
      <c r="N7" s="9"/>
      <c r="O7" s="9"/>
    </row>
    <row r="8" spans="1:15" ht="23.4">
      <c r="A8" s="9"/>
      <c r="B8" s="120"/>
      <c r="C8" s="121" t="s">
        <v>44</v>
      </c>
      <c r="D8" s="121"/>
      <c r="E8" s="121"/>
      <c r="F8" s="121"/>
      <c r="G8" s="121"/>
      <c r="H8" s="121"/>
      <c r="I8" s="121"/>
      <c r="J8" s="121"/>
      <c r="K8" s="121"/>
      <c r="L8" s="121"/>
      <c r="M8" s="122" t="s">
        <v>45</v>
      </c>
      <c r="N8" s="123"/>
      <c r="O8" s="9"/>
    </row>
    <row r="9" spans="1:15">
      <c r="A9" s="9"/>
      <c r="B9" s="124"/>
      <c r="C9" s="9"/>
      <c r="D9" s="9"/>
      <c r="E9" s="9"/>
      <c r="F9" s="9"/>
      <c r="G9" s="9"/>
      <c r="H9" s="9"/>
      <c r="I9" s="9"/>
      <c r="J9" s="9"/>
      <c r="K9" s="9"/>
      <c r="L9" s="9"/>
      <c r="M9" s="9"/>
      <c r="N9" s="125"/>
      <c r="O9" s="9"/>
    </row>
    <row r="10" spans="1:15" ht="60" customHeight="1">
      <c r="A10" s="9"/>
      <c r="B10" s="124"/>
      <c r="C10" s="444" t="s">
        <v>490</v>
      </c>
      <c r="D10" s="444"/>
      <c r="E10" s="444"/>
      <c r="F10" s="444"/>
      <c r="G10" s="444"/>
      <c r="H10" s="444"/>
      <c r="I10" s="444"/>
      <c r="J10" s="444"/>
      <c r="K10" s="444"/>
      <c r="L10" s="444"/>
      <c r="M10" s="444"/>
      <c r="N10" s="125"/>
      <c r="O10" s="9"/>
    </row>
    <row r="11" spans="1:15" ht="15" thickBot="1">
      <c r="A11" s="9"/>
      <c r="B11" s="124"/>
      <c r="C11" s="9"/>
      <c r="D11" s="9"/>
      <c r="E11" s="9"/>
      <c r="F11" s="9"/>
      <c r="G11" s="9"/>
      <c r="H11" s="9"/>
      <c r="I11" s="9"/>
      <c r="J11" s="9"/>
      <c r="K11" s="9"/>
      <c r="L11" s="9"/>
      <c r="M11" s="9"/>
      <c r="N11" s="125"/>
      <c r="O11" s="9"/>
    </row>
    <row r="12" spans="1:15" ht="42" thickBot="1">
      <c r="A12" s="9"/>
      <c r="B12" s="124"/>
      <c r="C12" s="9"/>
      <c r="D12" s="9"/>
      <c r="E12" s="127"/>
      <c r="F12" s="127"/>
      <c r="G12" s="127"/>
      <c r="H12" s="9"/>
      <c r="I12" s="362" t="s">
        <v>46</v>
      </c>
      <c r="J12" s="363" t="s">
        <v>47</v>
      </c>
      <c r="K12" s="364" t="s">
        <v>48</v>
      </c>
      <c r="L12" s="364" t="s">
        <v>49</v>
      </c>
      <c r="M12" s="365" t="s">
        <v>50</v>
      </c>
      <c r="N12" s="125"/>
      <c r="O12" s="9" t="s">
        <v>51</v>
      </c>
    </row>
    <row r="13" spans="1:15" ht="15" customHeight="1" thickBot="1">
      <c r="A13" s="9"/>
      <c r="B13" s="124"/>
      <c r="C13" s="126" t="s">
        <v>52</v>
      </c>
      <c r="D13" s="9"/>
      <c r="E13" s="154"/>
      <c r="F13" s="154"/>
      <c r="G13" s="154"/>
      <c r="H13" s="9"/>
      <c r="I13" s="73"/>
      <c r="J13" s="75"/>
      <c r="K13" s="377"/>
      <c r="L13" s="74"/>
      <c r="M13" s="366" cm="1">
        <f t="array" ref="M13:M22">+'Carbon Calculator-All'!K2:K11</f>
        <v>0</v>
      </c>
      <c r="N13" s="125"/>
      <c r="O13" s="9"/>
    </row>
    <row r="14" spans="1:15" ht="15" customHeight="1" thickBot="1">
      <c r="A14" s="9"/>
      <c r="B14" s="124"/>
      <c r="C14" s="155" t="s">
        <v>6</v>
      </c>
      <c r="D14" s="442" t="s">
        <v>53</v>
      </c>
      <c r="E14" s="442"/>
      <c r="F14" s="442"/>
      <c r="G14" s="442"/>
      <c r="H14" s="9"/>
      <c r="I14" s="113"/>
      <c r="J14" s="114"/>
      <c r="K14" s="378"/>
      <c r="L14" s="111"/>
      <c r="M14" s="367">
        <v>0</v>
      </c>
      <c r="N14" s="125"/>
      <c r="O14" s="9"/>
    </row>
    <row r="15" spans="1:15" ht="15" customHeight="1" thickBot="1">
      <c r="A15" s="9"/>
      <c r="B15" s="124"/>
      <c r="C15" s="156"/>
      <c r="D15" s="442"/>
      <c r="E15" s="442"/>
      <c r="F15" s="442"/>
      <c r="G15" s="442"/>
      <c r="H15" s="9"/>
      <c r="I15" s="73"/>
      <c r="J15" s="75"/>
      <c r="K15" s="377"/>
      <c r="L15" s="74"/>
      <c r="M15" s="366">
        <v>0</v>
      </c>
      <c r="N15" s="125"/>
      <c r="O15" s="9"/>
    </row>
    <row r="16" spans="1:15" ht="15" customHeight="1" thickBot="1">
      <c r="A16" s="9"/>
      <c r="B16" s="124"/>
      <c r="C16" s="155" t="s">
        <v>10</v>
      </c>
      <c r="D16" s="442" t="s">
        <v>54</v>
      </c>
      <c r="E16" s="442"/>
      <c r="F16" s="442"/>
      <c r="G16" s="442"/>
      <c r="H16" s="9"/>
      <c r="I16" s="113"/>
      <c r="J16" s="114"/>
      <c r="K16" s="378"/>
      <c r="L16" s="111"/>
      <c r="M16" s="367">
        <v>0</v>
      </c>
      <c r="N16" s="125"/>
      <c r="O16" s="9"/>
    </row>
    <row r="17" spans="1:15" ht="15" customHeight="1" thickBot="1">
      <c r="A17" s="9"/>
      <c r="B17" s="124"/>
      <c r="C17" s="156"/>
      <c r="D17" s="442"/>
      <c r="E17" s="442"/>
      <c r="F17" s="442"/>
      <c r="G17" s="442"/>
      <c r="H17" s="9"/>
      <c r="I17" s="73"/>
      <c r="J17" s="75"/>
      <c r="K17" s="377"/>
      <c r="L17" s="74"/>
      <c r="M17" s="366">
        <v>0</v>
      </c>
      <c r="N17" s="125"/>
      <c r="O17" s="9"/>
    </row>
    <row r="18" spans="1:15" ht="15" thickBot="1">
      <c r="A18" s="9"/>
      <c r="B18" s="124"/>
      <c r="C18" s="155" t="s">
        <v>14</v>
      </c>
      <c r="D18" s="442" t="s">
        <v>55</v>
      </c>
      <c r="E18" s="442"/>
      <c r="F18" s="442"/>
      <c r="G18" s="442"/>
      <c r="H18" s="9"/>
      <c r="I18" s="113"/>
      <c r="J18" s="114"/>
      <c r="K18" s="378"/>
      <c r="L18" s="111"/>
      <c r="M18" s="367">
        <v>0</v>
      </c>
      <c r="N18" s="125"/>
      <c r="O18" s="9"/>
    </row>
    <row r="19" spans="1:15" ht="15" thickBot="1">
      <c r="A19" s="9"/>
      <c r="B19" s="124"/>
      <c r="C19" s="157"/>
      <c r="D19" s="442"/>
      <c r="E19" s="442"/>
      <c r="F19" s="442"/>
      <c r="G19" s="442"/>
      <c r="H19" s="9"/>
      <c r="I19" s="73"/>
      <c r="J19" s="75"/>
      <c r="K19" s="377"/>
      <c r="L19" s="74"/>
      <c r="M19" s="366">
        <v>0</v>
      </c>
      <c r="N19" s="125"/>
      <c r="O19" s="9"/>
    </row>
    <row r="20" spans="1:15" ht="15" thickBot="1">
      <c r="A20" s="9"/>
      <c r="B20" s="124"/>
      <c r="C20" s="9"/>
      <c r="D20" s="442"/>
      <c r="E20" s="442"/>
      <c r="F20" s="442"/>
      <c r="G20" s="442"/>
      <c r="H20" s="9"/>
      <c r="I20" s="113"/>
      <c r="J20" s="114"/>
      <c r="K20" s="378"/>
      <c r="L20" s="111"/>
      <c r="M20" s="367">
        <v>0</v>
      </c>
      <c r="N20" s="125"/>
      <c r="O20" s="9"/>
    </row>
    <row r="21" spans="1:15" ht="15" customHeight="1" thickBot="1">
      <c r="A21" s="9"/>
      <c r="B21" s="124"/>
      <c r="C21" s="155" t="s">
        <v>18</v>
      </c>
      <c r="D21" s="442" t="s">
        <v>56</v>
      </c>
      <c r="E21" s="442"/>
      <c r="F21" s="442"/>
      <c r="G21" s="442"/>
      <c r="H21" s="9"/>
      <c r="I21" s="73"/>
      <c r="J21" s="75"/>
      <c r="K21" s="377"/>
      <c r="L21" s="74"/>
      <c r="M21" s="366">
        <v>0</v>
      </c>
      <c r="N21" s="125"/>
      <c r="O21" s="9"/>
    </row>
    <row r="22" spans="1:15" ht="15" thickBot="1">
      <c r="A22" s="9"/>
      <c r="B22" s="124"/>
      <c r="C22" s="157"/>
      <c r="D22" s="442"/>
      <c r="E22" s="442"/>
      <c r="F22" s="442"/>
      <c r="G22" s="442"/>
      <c r="H22" s="9"/>
      <c r="I22" s="113"/>
      <c r="J22" s="114"/>
      <c r="K22" s="378"/>
      <c r="L22" s="112"/>
      <c r="M22" s="367">
        <v>0</v>
      </c>
      <c r="N22" s="125"/>
      <c r="O22" s="9"/>
    </row>
    <row r="23" spans="1:15" ht="18.600000000000001" thickBot="1">
      <c r="A23" s="9"/>
      <c r="B23" s="124"/>
      <c r="C23" s="157"/>
      <c r="D23" s="141"/>
      <c r="E23" s="141"/>
      <c r="F23" s="141"/>
      <c r="G23" s="141"/>
      <c r="H23" s="9"/>
      <c r="I23" s="452" t="s">
        <v>57</v>
      </c>
      <c r="J23" s="453"/>
      <c r="K23" s="453"/>
      <c r="L23" s="454"/>
      <c r="M23" s="368">
        <f>SUM(_xlfn.ANCHORARRAY(M13))</f>
        <v>0</v>
      </c>
      <c r="N23" s="125"/>
      <c r="O23" s="9"/>
    </row>
    <row r="24" spans="1:15" ht="15" customHeight="1">
      <c r="A24" s="9"/>
      <c r="B24" s="124"/>
      <c r="C24" s="449" t="s">
        <v>58</v>
      </c>
      <c r="D24" s="449"/>
      <c r="E24" s="449"/>
      <c r="F24" s="449"/>
      <c r="G24" s="449"/>
      <c r="H24" s="449"/>
      <c r="I24" s="449"/>
      <c r="J24" s="449"/>
      <c r="K24" s="449"/>
      <c r="L24" s="449"/>
      <c r="M24" s="449"/>
      <c r="N24" s="125"/>
      <c r="O24" s="9"/>
    </row>
    <row r="25" spans="1:15" ht="15" customHeight="1">
      <c r="A25" s="9"/>
      <c r="B25" s="124"/>
      <c r="C25" s="449"/>
      <c r="D25" s="449"/>
      <c r="E25" s="449"/>
      <c r="F25" s="449"/>
      <c r="G25" s="449"/>
      <c r="H25" s="449"/>
      <c r="I25" s="449"/>
      <c r="J25" s="449"/>
      <c r="K25" s="449"/>
      <c r="L25" s="449"/>
      <c r="M25" s="449"/>
      <c r="N25" s="125"/>
      <c r="O25" s="9"/>
    </row>
    <row r="26" spans="1:15" ht="15" customHeight="1">
      <c r="A26" s="9"/>
      <c r="B26" s="124"/>
      <c r="C26" s="9"/>
      <c r="D26" s="148"/>
      <c r="E26" s="9"/>
      <c r="F26" s="9"/>
      <c r="G26" s="9"/>
      <c r="H26" s="9"/>
      <c r="I26" s="149"/>
      <c r="J26" s="149"/>
      <c r="K26" s="149"/>
      <c r="L26" s="149"/>
      <c r="M26" s="150"/>
      <c r="N26" s="125"/>
      <c r="O26" s="9"/>
    </row>
    <row r="27" spans="1:15" ht="15" customHeight="1">
      <c r="A27" s="9"/>
      <c r="B27" s="124"/>
      <c r="C27" s="9"/>
      <c r="D27" s="148"/>
      <c r="E27" s="9"/>
      <c r="F27" s="9"/>
      <c r="G27" s="9"/>
      <c r="H27" s="9"/>
      <c r="I27" s="149"/>
      <c r="J27" s="149"/>
      <c r="K27" s="149"/>
      <c r="L27" s="149"/>
      <c r="M27" s="150"/>
      <c r="N27" s="125"/>
      <c r="O27" s="9"/>
    </row>
    <row r="28" spans="1:15" ht="15" customHeight="1">
      <c r="A28" s="9"/>
      <c r="B28" s="124"/>
      <c r="C28" s="9"/>
      <c r="D28" s="148"/>
      <c r="E28" s="9"/>
      <c r="F28" s="9"/>
      <c r="G28" s="9"/>
      <c r="H28" s="9"/>
      <c r="I28" s="149"/>
      <c r="J28" s="149"/>
      <c r="K28" s="149"/>
      <c r="L28" s="149"/>
      <c r="M28" s="150"/>
      <c r="N28" s="125"/>
      <c r="O28" s="9"/>
    </row>
    <row r="29" spans="1:15" ht="15" customHeight="1">
      <c r="A29" s="9"/>
      <c r="B29" s="124"/>
      <c r="C29" s="9"/>
      <c r="D29" s="148"/>
      <c r="E29" s="9"/>
      <c r="F29" s="9"/>
      <c r="G29" s="9"/>
      <c r="H29" s="9"/>
      <c r="I29" s="149"/>
      <c r="J29" s="149"/>
      <c r="K29" s="149"/>
      <c r="L29" s="149"/>
      <c r="M29" s="150"/>
      <c r="N29" s="125"/>
      <c r="O29" s="9"/>
    </row>
    <row r="30" spans="1:15" ht="15" customHeight="1">
      <c r="A30" s="9"/>
      <c r="B30" s="124"/>
      <c r="C30" s="9"/>
      <c r="D30" s="148"/>
      <c r="E30" s="9"/>
      <c r="F30" s="9"/>
      <c r="G30" s="9"/>
      <c r="H30" s="9"/>
      <c r="I30" s="149"/>
      <c r="J30" s="149"/>
      <c r="K30" s="149"/>
      <c r="L30" s="149"/>
      <c r="M30" s="150"/>
      <c r="N30" s="125"/>
      <c r="O30" s="9"/>
    </row>
    <row r="31" spans="1:15" ht="15" customHeight="1">
      <c r="A31" s="9"/>
      <c r="B31" s="124"/>
      <c r="C31" s="9"/>
      <c r="D31" s="148"/>
      <c r="E31" s="9"/>
      <c r="F31" s="9"/>
      <c r="G31" s="9"/>
      <c r="H31" s="9"/>
      <c r="I31" s="149"/>
      <c r="J31" s="149"/>
      <c r="K31" s="149"/>
      <c r="L31" s="149"/>
      <c r="M31" s="150"/>
      <c r="N31" s="125"/>
      <c r="O31" s="9"/>
    </row>
    <row r="32" spans="1:15" ht="15" customHeight="1">
      <c r="A32" s="9"/>
      <c r="B32" s="124"/>
      <c r="C32" s="9"/>
      <c r="D32" s="148"/>
      <c r="E32" s="9"/>
      <c r="F32" s="9"/>
      <c r="G32" s="9"/>
      <c r="H32" s="9"/>
      <c r="I32" s="149"/>
      <c r="J32" s="149"/>
      <c r="K32" s="149"/>
      <c r="L32" s="149"/>
      <c r="M32" s="150"/>
      <c r="N32" s="125"/>
      <c r="O32" s="9"/>
    </row>
    <row r="33" spans="1:15" ht="15" customHeight="1">
      <c r="A33" s="9"/>
      <c r="B33" s="124"/>
      <c r="C33" s="9"/>
      <c r="D33" s="148"/>
      <c r="E33" s="9"/>
      <c r="F33" s="9"/>
      <c r="G33" s="9"/>
      <c r="H33" s="9"/>
      <c r="I33" s="149"/>
      <c r="J33" s="149"/>
      <c r="K33" s="149"/>
      <c r="L33" s="149"/>
      <c r="M33" s="150"/>
      <c r="N33" s="125"/>
      <c r="O33" s="9"/>
    </row>
    <row r="34" spans="1:15" ht="15" customHeight="1">
      <c r="A34" s="9"/>
      <c r="B34" s="124"/>
      <c r="C34" s="9"/>
      <c r="D34" s="148"/>
      <c r="E34" s="9"/>
      <c r="F34" s="9"/>
      <c r="G34" s="9"/>
      <c r="H34" s="9"/>
      <c r="I34" s="149"/>
      <c r="J34" s="149"/>
      <c r="K34" s="149"/>
      <c r="L34" s="149"/>
      <c r="M34" s="150"/>
      <c r="N34" s="125"/>
      <c r="O34" s="9"/>
    </row>
    <row r="35" spans="1:15" ht="15" customHeight="1">
      <c r="A35" s="9"/>
      <c r="B35" s="124"/>
      <c r="C35" s="9"/>
      <c r="D35" s="148"/>
      <c r="E35" s="9"/>
      <c r="F35" s="9"/>
      <c r="G35" s="9"/>
      <c r="H35" s="9"/>
      <c r="I35" s="149"/>
      <c r="J35" s="149"/>
      <c r="K35" s="149"/>
      <c r="L35" s="149"/>
      <c r="M35" s="150"/>
      <c r="N35" s="125"/>
      <c r="O35" s="9"/>
    </row>
    <row r="36" spans="1:15" ht="15" customHeight="1">
      <c r="A36" s="9"/>
      <c r="B36" s="124"/>
      <c r="C36" s="9"/>
      <c r="D36" s="148"/>
      <c r="E36" s="9"/>
      <c r="F36" s="9"/>
      <c r="G36" s="9"/>
      <c r="H36" s="9"/>
      <c r="I36" s="149"/>
      <c r="J36" s="149"/>
      <c r="K36" s="149"/>
      <c r="L36" s="149"/>
      <c r="M36" s="150"/>
      <c r="N36" s="125"/>
      <c r="O36" s="9"/>
    </row>
    <row r="37" spans="1:15" ht="15" customHeight="1">
      <c r="A37" s="9"/>
      <c r="B37" s="124"/>
      <c r="C37" s="9"/>
      <c r="D37" s="148"/>
      <c r="E37" s="9"/>
      <c r="F37" s="9"/>
      <c r="G37" s="9"/>
      <c r="H37" s="9"/>
      <c r="I37" s="149"/>
      <c r="J37" s="149"/>
      <c r="K37" s="149"/>
      <c r="L37" s="149"/>
      <c r="M37" s="150"/>
      <c r="N37" s="125"/>
      <c r="O37" s="9"/>
    </row>
    <row r="38" spans="1:15" ht="15" customHeight="1">
      <c r="A38" s="9"/>
      <c r="B38" s="124"/>
      <c r="C38" s="9"/>
      <c r="D38" s="148"/>
      <c r="E38" s="9"/>
      <c r="F38" s="9"/>
      <c r="G38" s="9"/>
      <c r="H38" s="9"/>
      <c r="I38" s="149"/>
      <c r="J38" s="149"/>
      <c r="K38" s="149"/>
      <c r="L38" s="149"/>
      <c r="M38" s="150"/>
      <c r="N38" s="125"/>
      <c r="O38" s="9"/>
    </row>
    <row r="39" spans="1:15" ht="15" customHeight="1">
      <c r="A39" s="9"/>
      <c r="B39" s="124"/>
      <c r="C39" s="9"/>
      <c r="D39" s="148"/>
      <c r="E39" s="9"/>
      <c r="F39" s="9"/>
      <c r="G39" s="9"/>
      <c r="H39" s="9"/>
      <c r="I39" s="149"/>
      <c r="J39" s="149"/>
      <c r="K39" s="149"/>
      <c r="L39" s="149"/>
      <c r="M39" s="150"/>
      <c r="N39" s="125"/>
      <c r="O39" s="9"/>
    </row>
    <row r="40" spans="1:15" ht="15" customHeight="1">
      <c r="A40" s="9"/>
      <c r="B40" s="124"/>
      <c r="C40" s="9"/>
      <c r="D40" s="148"/>
      <c r="E40" s="9"/>
      <c r="F40" s="9"/>
      <c r="G40" s="9"/>
      <c r="H40" s="9"/>
      <c r="I40" s="149"/>
      <c r="J40" s="149"/>
      <c r="K40" s="149"/>
      <c r="L40" s="149"/>
      <c r="M40" s="150"/>
      <c r="N40" s="125"/>
      <c r="O40" s="9"/>
    </row>
    <row r="41" spans="1:15" ht="15" customHeight="1">
      <c r="A41" s="9"/>
      <c r="B41" s="124"/>
      <c r="C41" s="9"/>
      <c r="D41" s="148"/>
      <c r="E41" s="9"/>
      <c r="F41" s="9"/>
      <c r="G41" s="9"/>
      <c r="H41" s="9"/>
      <c r="I41" s="149"/>
      <c r="J41" s="149"/>
      <c r="K41" s="149"/>
      <c r="L41" s="149"/>
      <c r="M41" s="150"/>
      <c r="N41" s="125"/>
      <c r="O41" s="9"/>
    </row>
    <row r="42" spans="1:15" ht="15" customHeight="1">
      <c r="A42" s="9"/>
      <c r="B42" s="124"/>
      <c r="C42" s="9"/>
      <c r="D42" s="148"/>
      <c r="E42" s="9"/>
      <c r="F42" s="9"/>
      <c r="G42" s="9"/>
      <c r="H42" s="9"/>
      <c r="I42" s="149"/>
      <c r="J42" s="149"/>
      <c r="K42" s="149"/>
      <c r="L42" s="149"/>
      <c r="M42" s="150"/>
      <c r="N42" s="125"/>
      <c r="O42" s="9"/>
    </row>
    <row r="43" spans="1:15" ht="15" customHeight="1">
      <c r="A43" s="9"/>
      <c r="B43" s="124"/>
      <c r="C43" s="9"/>
      <c r="D43" s="148"/>
      <c r="E43" s="9"/>
      <c r="F43" s="9"/>
      <c r="G43" s="9"/>
      <c r="H43" s="9"/>
      <c r="I43" s="149"/>
      <c r="J43" s="149"/>
      <c r="K43" s="149"/>
      <c r="L43" s="149"/>
      <c r="M43" s="150"/>
      <c r="N43" s="125"/>
      <c r="O43" s="9"/>
    </row>
    <row r="44" spans="1:15" ht="15" customHeight="1">
      <c r="A44" s="9"/>
      <c r="B44" s="124"/>
      <c r="C44" s="9"/>
      <c r="D44" s="148"/>
      <c r="E44" s="9"/>
      <c r="F44" s="9"/>
      <c r="G44" s="9"/>
      <c r="H44" s="9"/>
      <c r="I44" s="149"/>
      <c r="J44" s="149"/>
      <c r="K44" s="149"/>
      <c r="L44" s="149"/>
      <c r="M44" s="150"/>
      <c r="N44" s="125"/>
      <c r="O44" s="9"/>
    </row>
    <row r="45" spans="1:15" ht="15" customHeight="1" thickBot="1">
      <c r="A45" s="9"/>
      <c r="B45" s="151"/>
      <c r="C45" s="152"/>
      <c r="D45" s="152"/>
      <c r="E45" s="152"/>
      <c r="F45" s="152"/>
      <c r="G45" s="152"/>
      <c r="H45" s="152"/>
      <c r="I45" s="152"/>
      <c r="J45" s="152"/>
      <c r="K45" s="152"/>
      <c r="L45" s="152"/>
      <c r="M45" s="152"/>
      <c r="N45" s="153"/>
      <c r="O45" s="9"/>
    </row>
    <row r="46" spans="1:15" ht="15" customHeight="1">
      <c r="A46" s="9"/>
      <c r="B46" s="9"/>
      <c r="C46" s="9"/>
      <c r="D46" s="9"/>
      <c r="E46" s="9"/>
      <c r="F46" s="9"/>
      <c r="G46" s="9"/>
      <c r="H46" s="9"/>
      <c r="I46" s="9"/>
      <c r="J46" s="9"/>
      <c r="K46" s="9"/>
      <c r="L46" s="9"/>
      <c r="M46" s="9"/>
      <c r="N46" s="9"/>
      <c r="O46" s="9"/>
    </row>
    <row r="47" spans="1:15" ht="15" customHeight="1">
      <c r="A47" s="9"/>
      <c r="B47" s="9"/>
      <c r="C47" s="9"/>
      <c r="D47" s="9"/>
      <c r="E47" s="369" t="s">
        <v>59</v>
      </c>
      <c r="F47" s="9"/>
      <c r="G47" s="9"/>
      <c r="H47" s="9"/>
      <c r="I47" s="9"/>
      <c r="J47" s="9"/>
      <c r="K47" s="9"/>
      <c r="L47" s="9"/>
      <c r="M47" s="9"/>
      <c r="N47" s="9"/>
      <c r="O47" s="9"/>
    </row>
    <row r="48" spans="1:15" ht="15" thickBot="1">
      <c r="A48" s="9"/>
      <c r="B48" s="9"/>
      <c r="C48" s="9"/>
      <c r="D48" s="9"/>
      <c r="E48" s="9"/>
      <c r="F48" s="9"/>
      <c r="G48" s="9"/>
      <c r="H48" s="9"/>
      <c r="J48" s="9"/>
      <c r="K48" s="9"/>
      <c r="L48" s="9"/>
      <c r="M48" s="9"/>
      <c r="N48" s="9"/>
      <c r="O48" s="9"/>
    </row>
    <row r="49" spans="1:15" ht="41.4">
      <c r="A49" s="9"/>
      <c r="B49" s="9"/>
      <c r="C49" s="9"/>
      <c r="D49" s="9"/>
      <c r="E49" s="464" t="s">
        <v>46</v>
      </c>
      <c r="F49" s="465"/>
      <c r="G49" s="465"/>
      <c r="H49" s="465"/>
      <c r="I49" s="466"/>
      <c r="J49" s="299" t="s">
        <v>60</v>
      </c>
      <c r="K49" s="9"/>
      <c r="L49" s="9"/>
      <c r="M49" s="9"/>
      <c r="N49" s="9"/>
      <c r="O49" s="9"/>
    </row>
    <row r="50" spans="1:15">
      <c r="A50" s="9"/>
      <c r="B50" s="9"/>
      <c r="C50" s="9"/>
      <c r="D50" s="9"/>
      <c r="E50" s="467" t="s">
        <v>61</v>
      </c>
      <c r="F50" s="468"/>
      <c r="G50" s="468"/>
      <c r="H50" s="468"/>
      <c r="I50" s="468"/>
      <c r="J50" s="370">
        <v>388</v>
      </c>
      <c r="K50" s="9"/>
      <c r="L50" s="9"/>
      <c r="M50" s="9"/>
      <c r="N50" s="9"/>
      <c r="O50" s="9"/>
    </row>
    <row r="51" spans="1:15">
      <c r="A51" s="9"/>
      <c r="B51" s="9"/>
      <c r="C51" s="9"/>
      <c r="D51" s="9"/>
      <c r="E51" s="458" t="s">
        <v>62</v>
      </c>
      <c r="F51" s="459"/>
      <c r="G51" s="459"/>
      <c r="H51" s="459"/>
      <c r="I51" s="460"/>
      <c r="J51" s="371">
        <v>281</v>
      </c>
      <c r="K51" s="9"/>
      <c r="L51" s="9"/>
      <c r="M51" s="9"/>
      <c r="N51" s="9"/>
      <c r="O51" s="9"/>
    </row>
    <row r="52" spans="1:15">
      <c r="A52" s="9"/>
      <c r="B52" s="9"/>
      <c r="C52" s="9"/>
      <c r="D52" s="9"/>
      <c r="E52" s="467" t="s">
        <v>63</v>
      </c>
      <c r="F52" s="468"/>
      <c r="G52" s="468"/>
      <c r="H52" s="468"/>
      <c r="I52" s="469"/>
      <c r="J52" s="370">
        <v>498</v>
      </c>
      <c r="K52" s="9"/>
      <c r="L52" s="9"/>
      <c r="M52" s="9"/>
      <c r="N52" s="9"/>
      <c r="O52" s="9"/>
    </row>
    <row r="53" spans="1:15">
      <c r="A53" s="9"/>
      <c r="B53" s="9"/>
      <c r="C53" s="9"/>
      <c r="D53" s="9"/>
      <c r="E53" s="458" t="s">
        <v>64</v>
      </c>
      <c r="F53" s="459"/>
      <c r="G53" s="459"/>
      <c r="H53" s="459"/>
      <c r="I53" s="460"/>
      <c r="J53" s="371">
        <v>20</v>
      </c>
      <c r="K53" s="9"/>
      <c r="L53" s="9"/>
      <c r="M53" s="9"/>
      <c r="N53" s="9"/>
      <c r="O53" s="9"/>
    </row>
    <row r="54" spans="1:15">
      <c r="A54" s="9"/>
      <c r="B54" s="9"/>
      <c r="C54" s="9"/>
      <c r="D54" s="9"/>
      <c r="E54" s="467" t="s">
        <v>65</v>
      </c>
      <c r="F54" s="468"/>
      <c r="G54" s="468"/>
      <c r="H54" s="468"/>
      <c r="I54" s="469"/>
      <c r="J54" s="370">
        <v>27</v>
      </c>
      <c r="K54" s="9"/>
      <c r="L54" s="9"/>
      <c r="M54" s="9"/>
      <c r="N54" s="9"/>
      <c r="O54" s="9"/>
    </row>
    <row r="55" spans="1:15" ht="15" thickBot="1">
      <c r="A55" s="9"/>
      <c r="B55" s="9"/>
      <c r="C55" s="9"/>
      <c r="D55" s="9"/>
      <c r="E55" s="473" t="s">
        <v>66</v>
      </c>
      <c r="F55" s="474"/>
      <c r="G55" s="474"/>
      <c r="H55" s="474"/>
      <c r="I55" s="475"/>
      <c r="J55" s="372">
        <v>25</v>
      </c>
      <c r="K55" s="9"/>
      <c r="L55" s="9"/>
      <c r="M55" s="9"/>
      <c r="N55" s="9"/>
      <c r="O55" s="9"/>
    </row>
    <row r="56" spans="1:15">
      <c r="A56" s="9"/>
      <c r="B56" s="9"/>
      <c r="C56" s="9"/>
      <c r="D56" s="9"/>
      <c r="E56" s="9"/>
      <c r="F56" s="9"/>
      <c r="G56" s="9"/>
      <c r="H56" s="9"/>
      <c r="I56" s="9"/>
      <c r="J56" s="9"/>
      <c r="K56" s="9"/>
      <c r="L56" s="9"/>
      <c r="M56" s="9"/>
      <c r="N56" s="9"/>
      <c r="O56" s="9"/>
    </row>
    <row r="57" spans="1:15" ht="15" thickBot="1">
      <c r="A57" s="9"/>
      <c r="B57" s="9"/>
      <c r="C57" s="9"/>
      <c r="D57" s="9"/>
      <c r="E57" s="9"/>
      <c r="F57" s="9"/>
      <c r="G57" s="9"/>
      <c r="H57" s="9"/>
      <c r="I57" s="9"/>
      <c r="J57" s="9"/>
      <c r="K57" s="9"/>
      <c r="L57" s="9"/>
      <c r="M57" s="9"/>
      <c r="N57" s="9"/>
      <c r="O57" s="9"/>
    </row>
    <row r="58" spans="1:15" ht="41.4">
      <c r="A58" s="9"/>
      <c r="B58" s="9"/>
      <c r="C58" s="9"/>
      <c r="D58" s="9"/>
      <c r="E58" s="464" t="s">
        <v>67</v>
      </c>
      <c r="F58" s="465"/>
      <c r="G58" s="465"/>
      <c r="H58" s="465"/>
      <c r="I58" s="466"/>
      <c r="J58" s="299" t="s">
        <v>60</v>
      </c>
      <c r="K58" s="9"/>
      <c r="L58" s="9"/>
      <c r="M58" s="9"/>
      <c r="N58" s="9"/>
      <c r="O58" s="9"/>
    </row>
    <row r="59" spans="1:15">
      <c r="A59" s="9"/>
      <c r="B59" s="9"/>
      <c r="C59" s="9"/>
      <c r="D59" s="9"/>
      <c r="E59" s="467" t="s">
        <v>68</v>
      </c>
      <c r="F59" s="468"/>
      <c r="G59" s="468"/>
      <c r="H59" s="468"/>
      <c r="I59" s="469"/>
      <c r="J59" s="373">
        <v>144</v>
      </c>
      <c r="K59" s="9"/>
      <c r="L59" s="9"/>
      <c r="M59" s="9"/>
      <c r="N59" s="9"/>
      <c r="O59" s="9"/>
    </row>
    <row r="60" spans="1:15">
      <c r="A60" s="9"/>
      <c r="B60" s="9"/>
      <c r="C60" s="9"/>
      <c r="D60" s="9"/>
      <c r="E60" s="458" t="s">
        <v>69</v>
      </c>
      <c r="F60" s="459"/>
      <c r="G60" s="459"/>
      <c r="H60" s="459"/>
      <c r="I60" s="460"/>
      <c r="J60" s="371">
        <v>59</v>
      </c>
      <c r="K60" s="9"/>
      <c r="L60" s="9"/>
      <c r="M60" s="9"/>
      <c r="N60" s="9"/>
      <c r="O60" s="9"/>
    </row>
    <row r="61" spans="1:15">
      <c r="A61" s="9"/>
      <c r="B61" s="9"/>
      <c r="C61" s="9"/>
      <c r="D61" s="9"/>
      <c r="E61" s="467" t="s">
        <v>70</v>
      </c>
      <c r="F61" s="468"/>
      <c r="G61" s="468"/>
      <c r="H61" s="468"/>
      <c r="I61" s="469"/>
      <c r="J61" s="370">
        <v>90</v>
      </c>
      <c r="K61" s="9"/>
      <c r="L61" s="9"/>
      <c r="M61" s="9"/>
      <c r="N61" s="9"/>
      <c r="O61" s="9"/>
    </row>
    <row r="62" spans="1:15">
      <c r="A62" s="9"/>
      <c r="B62" s="9"/>
      <c r="C62" s="9"/>
      <c r="D62" s="9"/>
      <c r="E62" s="458" t="s">
        <v>71</v>
      </c>
      <c r="F62" s="459"/>
      <c r="G62" s="459"/>
      <c r="H62" s="459"/>
      <c r="I62" s="460"/>
      <c r="J62" s="371">
        <v>122</v>
      </c>
      <c r="K62" s="9"/>
      <c r="L62" s="9"/>
      <c r="M62" s="9"/>
      <c r="N62" s="9"/>
      <c r="O62" s="9"/>
    </row>
    <row r="63" spans="1:15">
      <c r="A63" s="9"/>
      <c r="B63" s="9"/>
      <c r="C63" s="9"/>
      <c r="D63" s="9"/>
      <c r="E63" s="467" t="s">
        <v>72</v>
      </c>
      <c r="F63" s="468"/>
      <c r="G63" s="468"/>
      <c r="H63" s="468"/>
      <c r="I63" s="469"/>
      <c r="J63" s="370">
        <v>39</v>
      </c>
      <c r="K63" s="9"/>
      <c r="L63" s="9"/>
      <c r="M63" s="9"/>
      <c r="N63" s="9"/>
      <c r="O63" s="9"/>
    </row>
    <row r="64" spans="1:15">
      <c r="A64" s="9"/>
      <c r="B64" s="9"/>
      <c r="C64" s="9"/>
      <c r="D64" s="9"/>
      <c r="E64" s="458" t="s">
        <v>73</v>
      </c>
      <c r="F64" s="459"/>
      <c r="G64" s="459"/>
      <c r="H64" s="459"/>
      <c r="I64" s="460"/>
      <c r="J64" s="371">
        <v>100</v>
      </c>
      <c r="K64" s="9"/>
      <c r="L64" s="9"/>
      <c r="M64" s="9"/>
      <c r="N64" s="9"/>
      <c r="O64" s="9"/>
    </row>
    <row r="65" spans="1:15">
      <c r="A65" s="9"/>
      <c r="B65" s="9"/>
      <c r="C65" s="9"/>
      <c r="D65" s="9"/>
      <c r="E65" s="467" t="s">
        <v>74</v>
      </c>
      <c r="F65" s="468"/>
      <c r="G65" s="468"/>
      <c r="H65" s="468"/>
      <c r="I65" s="469"/>
      <c r="J65" s="370">
        <v>115</v>
      </c>
      <c r="K65" s="9"/>
      <c r="L65" s="9"/>
      <c r="M65" s="9"/>
      <c r="N65" s="9"/>
      <c r="O65" s="9"/>
    </row>
    <row r="66" spans="1:15">
      <c r="A66" s="9"/>
      <c r="B66" s="9"/>
      <c r="C66" s="9"/>
      <c r="D66" s="9"/>
      <c r="E66" s="458" t="s">
        <v>75</v>
      </c>
      <c r="F66" s="459"/>
      <c r="G66" s="459"/>
      <c r="H66" s="459"/>
      <c r="I66" s="460"/>
      <c r="J66" s="371">
        <v>145</v>
      </c>
      <c r="K66" s="9"/>
      <c r="L66" s="9"/>
      <c r="M66" s="9"/>
      <c r="N66" s="9"/>
      <c r="O66" s="9"/>
    </row>
    <row r="67" spans="1:15">
      <c r="A67" s="9"/>
      <c r="B67" s="9"/>
      <c r="C67" s="9"/>
      <c r="D67" s="9"/>
      <c r="E67" s="467" t="s">
        <v>76</v>
      </c>
      <c r="F67" s="468"/>
      <c r="G67" s="468"/>
      <c r="H67" s="468"/>
      <c r="I67" s="469"/>
      <c r="J67" s="370">
        <v>65</v>
      </c>
      <c r="K67" s="9"/>
      <c r="L67" s="9"/>
      <c r="M67" s="9"/>
      <c r="N67" s="9"/>
      <c r="O67" s="9"/>
    </row>
    <row r="68" spans="1:15">
      <c r="A68" s="9"/>
      <c r="B68" s="9"/>
      <c r="C68" s="9"/>
      <c r="D68" s="9"/>
      <c r="E68" s="458"/>
      <c r="F68" s="459"/>
      <c r="G68" s="459"/>
      <c r="H68" s="459"/>
      <c r="I68" s="460"/>
      <c r="J68" s="371"/>
      <c r="K68" s="9"/>
      <c r="L68" s="9"/>
      <c r="M68" s="9"/>
      <c r="N68" s="9"/>
      <c r="O68" s="9"/>
    </row>
    <row r="69" spans="1:15">
      <c r="A69" s="9"/>
      <c r="B69" s="9"/>
      <c r="C69" s="9"/>
      <c r="D69" s="9"/>
      <c r="E69" s="467" t="s">
        <v>77</v>
      </c>
      <c r="F69" s="468"/>
      <c r="G69" s="468"/>
      <c r="H69" s="468"/>
      <c r="I69" s="469"/>
      <c r="J69" s="370">
        <v>60</v>
      </c>
      <c r="K69" s="9"/>
      <c r="L69" s="9"/>
      <c r="M69" s="9"/>
      <c r="N69" s="9"/>
      <c r="O69" s="9"/>
    </row>
    <row r="70" spans="1:15">
      <c r="A70" s="9"/>
      <c r="B70" s="9"/>
      <c r="C70" s="9"/>
      <c r="D70" s="9"/>
      <c r="E70" s="458" t="s">
        <v>78</v>
      </c>
      <c r="F70" s="459"/>
      <c r="G70" s="459"/>
      <c r="H70" s="459"/>
      <c r="I70" s="460"/>
      <c r="J70" s="371">
        <v>138</v>
      </c>
      <c r="K70" s="9"/>
      <c r="L70" s="9"/>
      <c r="M70" s="9"/>
      <c r="N70" s="9"/>
      <c r="O70" s="9"/>
    </row>
    <row r="71" spans="1:15">
      <c r="A71" s="9"/>
      <c r="B71" s="9"/>
      <c r="C71" s="9"/>
      <c r="D71" s="9"/>
      <c r="E71" s="467" t="s">
        <v>79</v>
      </c>
      <c r="F71" s="468"/>
      <c r="G71" s="468"/>
      <c r="H71" s="468"/>
      <c r="I71" s="469"/>
      <c r="J71" s="370" t="s">
        <v>80</v>
      </c>
      <c r="K71" s="9"/>
      <c r="L71" s="9"/>
      <c r="M71" s="9"/>
      <c r="N71" s="9"/>
      <c r="O71" s="9"/>
    </row>
    <row r="72" spans="1:15">
      <c r="A72" s="9"/>
      <c r="B72" s="9"/>
      <c r="C72" s="9"/>
      <c r="D72" s="9"/>
      <c r="E72" s="458" t="s">
        <v>81</v>
      </c>
      <c r="F72" s="459"/>
      <c r="G72" s="459"/>
      <c r="H72" s="459"/>
      <c r="I72" s="460"/>
      <c r="J72" s="371">
        <v>150</v>
      </c>
      <c r="K72" s="9"/>
      <c r="L72" s="9"/>
      <c r="M72" s="9"/>
      <c r="N72" s="9"/>
      <c r="O72" s="9"/>
    </row>
    <row r="73" spans="1:15">
      <c r="A73" s="9"/>
      <c r="B73" s="9"/>
      <c r="C73" s="9"/>
      <c r="D73" s="9"/>
      <c r="E73" s="467" t="s">
        <v>82</v>
      </c>
      <c r="F73" s="468"/>
      <c r="G73" s="468"/>
      <c r="H73" s="468"/>
      <c r="I73" s="469"/>
      <c r="J73" s="370">
        <v>50</v>
      </c>
      <c r="K73" s="9"/>
      <c r="L73" s="9"/>
      <c r="M73" s="9"/>
      <c r="N73" s="9"/>
      <c r="O73" s="9"/>
    </row>
    <row r="74" spans="1:15">
      <c r="A74" s="9"/>
      <c r="B74" s="9"/>
      <c r="C74" s="9"/>
      <c r="D74" s="9"/>
      <c r="E74" s="458" t="s">
        <v>83</v>
      </c>
      <c r="F74" s="459"/>
      <c r="G74" s="459"/>
      <c r="H74" s="459"/>
      <c r="I74" s="460"/>
      <c r="J74" s="371">
        <v>2200</v>
      </c>
      <c r="K74" s="9"/>
      <c r="L74" s="9"/>
      <c r="M74" s="9"/>
      <c r="N74" s="9"/>
      <c r="O74" s="9"/>
    </row>
    <row r="75" spans="1:15">
      <c r="A75" s="9"/>
      <c r="B75" s="9"/>
      <c r="C75" s="9"/>
      <c r="D75" s="9"/>
      <c r="E75" s="467" t="s">
        <v>84</v>
      </c>
      <c r="F75" s="468"/>
      <c r="G75" s="468"/>
      <c r="H75" s="468"/>
      <c r="I75" s="469"/>
      <c r="J75" s="370">
        <v>2200</v>
      </c>
      <c r="K75" s="9"/>
      <c r="L75" s="9"/>
      <c r="M75" s="9"/>
      <c r="N75" s="9"/>
      <c r="O75" s="9"/>
    </row>
    <row r="76" spans="1:15">
      <c r="A76" s="9"/>
      <c r="B76" s="9"/>
      <c r="C76" s="9"/>
      <c r="D76" s="9"/>
      <c r="E76" s="458" t="s">
        <v>85</v>
      </c>
      <c r="F76" s="459"/>
      <c r="G76" s="459"/>
      <c r="H76" s="459"/>
      <c r="I76" s="460"/>
      <c r="J76" s="371">
        <v>5600</v>
      </c>
      <c r="K76" s="9"/>
      <c r="L76" s="9"/>
      <c r="M76" s="9"/>
      <c r="N76" s="9"/>
      <c r="O76" s="9"/>
    </row>
    <row r="77" spans="1:15">
      <c r="A77" s="9"/>
      <c r="B77" s="9"/>
      <c r="C77" s="9"/>
      <c r="D77" s="9"/>
      <c r="E77" s="467" t="s">
        <v>86</v>
      </c>
      <c r="F77" s="468"/>
      <c r="G77" s="468"/>
      <c r="H77" s="468"/>
      <c r="I77" s="469"/>
      <c r="J77" s="370" t="s">
        <v>80</v>
      </c>
      <c r="K77" s="9"/>
      <c r="L77" s="9"/>
      <c r="M77" s="9"/>
      <c r="N77" s="9"/>
      <c r="O77" s="9"/>
    </row>
    <row r="78" spans="1:15">
      <c r="A78" s="9"/>
      <c r="B78" s="9"/>
      <c r="C78" s="9"/>
      <c r="D78" s="9"/>
      <c r="E78" s="458" t="s">
        <v>87</v>
      </c>
      <c r="F78" s="459"/>
      <c r="G78" s="459"/>
      <c r="H78" s="459"/>
      <c r="I78" s="460"/>
      <c r="J78" s="371">
        <v>400</v>
      </c>
      <c r="K78" s="9"/>
      <c r="L78" s="9"/>
      <c r="M78" s="9"/>
      <c r="N78" s="9"/>
      <c r="O78" s="9"/>
    </row>
    <row r="79" spans="1:15">
      <c r="A79" s="9"/>
      <c r="B79" s="9"/>
      <c r="C79" s="9"/>
      <c r="D79" s="9"/>
      <c r="E79" s="467" t="s">
        <v>88</v>
      </c>
      <c r="F79" s="468"/>
      <c r="G79" s="468"/>
      <c r="H79" s="468"/>
      <c r="I79" s="469"/>
      <c r="J79" s="370" t="s">
        <v>80</v>
      </c>
      <c r="K79" s="9"/>
      <c r="L79" s="9"/>
      <c r="M79" s="9"/>
      <c r="N79" s="9"/>
      <c r="O79" s="9"/>
    </row>
    <row r="80" spans="1:15">
      <c r="A80" s="9"/>
      <c r="B80" s="9"/>
      <c r="C80" s="9"/>
      <c r="D80" s="9"/>
      <c r="E80" s="458" t="s">
        <v>89</v>
      </c>
      <c r="F80" s="459"/>
      <c r="G80" s="459"/>
      <c r="H80" s="459"/>
      <c r="I80" s="460"/>
      <c r="J80" s="371">
        <v>1700</v>
      </c>
      <c r="K80" s="9"/>
      <c r="L80" s="9"/>
      <c r="M80" s="9"/>
      <c r="N80" s="9"/>
      <c r="O80" s="9"/>
    </row>
    <row r="81" spans="1:15">
      <c r="A81" s="9"/>
      <c r="B81" s="9"/>
      <c r="C81" s="9"/>
      <c r="D81" s="9"/>
      <c r="E81" s="467" t="s">
        <v>90</v>
      </c>
      <c r="F81" s="468"/>
      <c r="G81" s="468"/>
      <c r="H81" s="468"/>
      <c r="I81" s="469"/>
      <c r="J81" s="370">
        <v>1100</v>
      </c>
      <c r="K81" s="9"/>
      <c r="L81" s="9"/>
      <c r="M81" s="9"/>
      <c r="N81" s="9"/>
      <c r="O81" s="9"/>
    </row>
    <row r="82" spans="1:15">
      <c r="A82" s="9"/>
      <c r="B82" s="9"/>
      <c r="C82" s="9"/>
      <c r="D82" s="9"/>
      <c r="E82" s="458" t="s">
        <v>91</v>
      </c>
      <c r="F82" s="459"/>
      <c r="G82" s="459"/>
      <c r="H82" s="459"/>
      <c r="I82" s="460"/>
      <c r="J82" s="371">
        <v>1500</v>
      </c>
      <c r="K82" s="9"/>
      <c r="L82" s="9"/>
      <c r="M82" s="9"/>
      <c r="N82" s="9"/>
      <c r="O82" s="9"/>
    </row>
    <row r="83" spans="1:15">
      <c r="A83" s="9"/>
      <c r="B83" s="9"/>
      <c r="C83" s="9"/>
      <c r="D83" s="9"/>
      <c r="E83" s="467" t="s">
        <v>92</v>
      </c>
      <c r="F83" s="468"/>
      <c r="G83" s="468"/>
      <c r="H83" s="468"/>
      <c r="I83" s="469"/>
      <c r="J83" s="370">
        <v>40</v>
      </c>
      <c r="K83" s="9"/>
      <c r="L83" s="9"/>
      <c r="M83" s="9"/>
      <c r="N83" s="9"/>
      <c r="O83" s="9"/>
    </row>
    <row r="84" spans="1:15">
      <c r="A84" s="9"/>
      <c r="B84" s="9"/>
      <c r="C84" s="9"/>
      <c r="D84" s="9"/>
      <c r="E84" s="458" t="s">
        <v>93</v>
      </c>
      <c r="F84" s="459"/>
      <c r="G84" s="459"/>
      <c r="H84" s="459"/>
      <c r="I84" s="460"/>
      <c r="J84" s="371">
        <v>1600</v>
      </c>
      <c r="K84" s="9"/>
      <c r="L84" s="9"/>
      <c r="M84" s="9"/>
      <c r="N84" s="9"/>
      <c r="O84" s="9"/>
    </row>
    <row r="85" spans="1:15">
      <c r="A85" s="9"/>
      <c r="B85" s="9"/>
      <c r="C85" s="9"/>
      <c r="D85" s="9"/>
      <c r="E85" s="467" t="s">
        <v>94</v>
      </c>
      <c r="F85" s="468"/>
      <c r="G85" s="468"/>
      <c r="H85" s="468"/>
      <c r="I85" s="469"/>
      <c r="J85" s="370" t="s">
        <v>80</v>
      </c>
      <c r="K85" s="9"/>
      <c r="L85" s="9"/>
      <c r="M85" s="9"/>
      <c r="N85" s="9"/>
      <c r="O85" s="9"/>
    </row>
    <row r="86" spans="1:15">
      <c r="A86" s="9"/>
      <c r="B86" s="9"/>
      <c r="C86" s="9"/>
      <c r="D86" s="9"/>
      <c r="E86" s="458" t="s">
        <v>95</v>
      </c>
      <c r="F86" s="459"/>
      <c r="G86" s="459"/>
      <c r="H86" s="459"/>
      <c r="I86" s="460"/>
      <c r="J86" s="371" t="s">
        <v>80</v>
      </c>
      <c r="K86" s="9"/>
      <c r="L86" s="9"/>
      <c r="M86" s="9"/>
      <c r="N86" s="9"/>
      <c r="O86" s="9"/>
    </row>
    <row r="87" spans="1:15" ht="15" thickBot="1">
      <c r="A87" s="9"/>
      <c r="B87" s="9"/>
      <c r="C87" s="9"/>
      <c r="D87" s="9"/>
      <c r="E87" s="470" t="s">
        <v>96</v>
      </c>
      <c r="F87" s="471"/>
      <c r="G87" s="471"/>
      <c r="H87" s="471"/>
      <c r="I87" s="472"/>
      <c r="J87" s="374" t="s">
        <v>80</v>
      </c>
      <c r="K87" s="9"/>
      <c r="L87" s="9"/>
      <c r="M87" s="9"/>
      <c r="N87" s="9"/>
      <c r="O87" s="9"/>
    </row>
    <row r="88" spans="1:15">
      <c r="A88" s="9"/>
      <c r="B88" s="9"/>
      <c r="C88" s="9"/>
      <c r="D88" s="9"/>
      <c r="E88" s="9"/>
      <c r="F88" s="9"/>
      <c r="G88" s="9"/>
      <c r="H88" s="9"/>
      <c r="I88" s="9"/>
      <c r="J88" s="9"/>
      <c r="K88" s="9"/>
      <c r="L88" s="9"/>
      <c r="M88" s="9"/>
      <c r="N88" s="9"/>
      <c r="O88" s="9"/>
    </row>
    <row r="89" spans="1:15" ht="15" thickBot="1">
      <c r="A89" s="9"/>
      <c r="B89" s="9"/>
      <c r="C89" s="9"/>
      <c r="D89" s="9"/>
      <c r="E89" s="9"/>
      <c r="F89" s="9"/>
      <c r="G89" s="9"/>
      <c r="H89" s="9"/>
      <c r="I89" s="9"/>
      <c r="J89" s="9"/>
      <c r="K89" s="9"/>
      <c r="L89" s="9"/>
      <c r="M89" s="9"/>
      <c r="N89" s="9"/>
      <c r="O89" s="9"/>
    </row>
    <row r="90" spans="1:15" ht="41.4">
      <c r="A90" s="9"/>
      <c r="B90" s="9"/>
      <c r="C90" s="9"/>
      <c r="D90" s="9"/>
      <c r="E90" s="464" t="s">
        <v>67</v>
      </c>
      <c r="F90" s="465"/>
      <c r="G90" s="465"/>
      <c r="H90" s="465"/>
      <c r="I90" s="466"/>
      <c r="J90" s="299" t="s">
        <v>60</v>
      </c>
      <c r="K90" s="9"/>
      <c r="L90" s="9"/>
      <c r="M90" s="9"/>
      <c r="N90" s="9"/>
      <c r="O90" s="9"/>
    </row>
    <row r="91" spans="1:15">
      <c r="A91" s="9"/>
      <c r="B91" s="9"/>
      <c r="C91" s="9"/>
      <c r="D91" s="9"/>
      <c r="E91" s="467" t="s">
        <v>97</v>
      </c>
      <c r="F91" s="468"/>
      <c r="G91" s="468"/>
      <c r="H91" s="468"/>
      <c r="I91" s="469"/>
      <c r="J91" s="370" t="s">
        <v>80</v>
      </c>
      <c r="K91" s="9"/>
      <c r="L91" s="9"/>
      <c r="M91" s="9"/>
      <c r="N91" s="9"/>
      <c r="O91" s="9"/>
    </row>
    <row r="92" spans="1:15">
      <c r="A92" s="9"/>
      <c r="B92" s="9"/>
      <c r="C92" s="9"/>
      <c r="D92" s="9"/>
      <c r="E92" s="458" t="s">
        <v>98</v>
      </c>
      <c r="F92" s="459"/>
      <c r="G92" s="459"/>
      <c r="H92" s="459"/>
      <c r="I92" s="460"/>
      <c r="J92" s="371" t="s">
        <v>80</v>
      </c>
      <c r="K92" s="9"/>
      <c r="L92" s="9"/>
      <c r="M92" s="9"/>
      <c r="N92" s="9"/>
      <c r="O92" s="9"/>
    </row>
    <row r="93" spans="1:15">
      <c r="A93" s="9"/>
      <c r="B93" s="9"/>
      <c r="C93" s="9"/>
      <c r="D93" s="9"/>
      <c r="E93" s="467" t="s">
        <v>99</v>
      </c>
      <c r="F93" s="468"/>
      <c r="G93" s="468"/>
      <c r="H93" s="468"/>
      <c r="I93" s="469"/>
      <c r="J93" s="370" t="s">
        <v>80</v>
      </c>
      <c r="K93" s="9"/>
      <c r="L93" s="9"/>
      <c r="M93" s="9"/>
      <c r="N93" s="9"/>
      <c r="O93" s="9"/>
    </row>
    <row r="94" spans="1:15">
      <c r="A94" s="9"/>
      <c r="B94" s="9"/>
      <c r="C94" s="9"/>
      <c r="D94" s="9"/>
      <c r="E94" s="458" t="s">
        <v>100</v>
      </c>
      <c r="F94" s="459"/>
      <c r="G94" s="459"/>
      <c r="H94" s="459"/>
      <c r="I94" s="460"/>
      <c r="J94" s="371" t="s">
        <v>80</v>
      </c>
      <c r="K94" s="9"/>
      <c r="L94" s="9"/>
      <c r="M94" s="9"/>
      <c r="N94" s="9"/>
      <c r="O94" s="9"/>
    </row>
    <row r="95" spans="1:15">
      <c r="A95" s="9"/>
      <c r="B95" s="9"/>
      <c r="C95" s="9"/>
      <c r="D95" s="9"/>
      <c r="E95" s="467" t="s">
        <v>101</v>
      </c>
      <c r="F95" s="468"/>
      <c r="G95" s="468"/>
      <c r="H95" s="468"/>
      <c r="I95" s="469"/>
      <c r="J95" s="370" t="s">
        <v>80</v>
      </c>
      <c r="K95" s="9"/>
      <c r="L95" s="9"/>
      <c r="M95" s="9"/>
      <c r="N95" s="9"/>
      <c r="O95" s="9"/>
    </row>
    <row r="96" spans="1:15">
      <c r="A96" s="9"/>
      <c r="B96" s="9"/>
      <c r="C96" s="9"/>
      <c r="D96" s="9"/>
      <c r="E96" s="458" t="s">
        <v>102</v>
      </c>
      <c r="F96" s="459"/>
      <c r="G96" s="459"/>
      <c r="H96" s="459"/>
      <c r="I96" s="460"/>
      <c r="J96" s="371" t="s">
        <v>80</v>
      </c>
      <c r="K96" s="9"/>
      <c r="L96" s="9"/>
      <c r="M96" s="9"/>
      <c r="N96" s="9"/>
      <c r="O96" s="9"/>
    </row>
    <row r="97" spans="1:15">
      <c r="A97" s="9"/>
      <c r="B97" s="9"/>
      <c r="C97" s="9"/>
      <c r="D97" s="9"/>
      <c r="E97" s="467" t="s">
        <v>103</v>
      </c>
      <c r="F97" s="468"/>
      <c r="G97" s="468"/>
      <c r="H97" s="468"/>
      <c r="I97" s="469"/>
      <c r="J97" s="370" t="s">
        <v>80</v>
      </c>
      <c r="K97" s="9"/>
      <c r="L97" s="9"/>
      <c r="M97" s="9"/>
      <c r="N97" s="9"/>
      <c r="O97" s="9"/>
    </row>
    <row r="98" spans="1:15">
      <c r="A98" s="9"/>
      <c r="B98" s="9"/>
      <c r="C98" s="9"/>
      <c r="D98" s="9"/>
      <c r="E98" s="458" t="s">
        <v>104</v>
      </c>
      <c r="F98" s="459"/>
      <c r="G98" s="459"/>
      <c r="H98" s="459"/>
      <c r="I98" s="460"/>
      <c r="J98" s="371" t="s">
        <v>80</v>
      </c>
      <c r="K98" s="9"/>
      <c r="L98" s="9"/>
      <c r="M98" s="9"/>
      <c r="N98" s="9"/>
      <c r="O98" s="9"/>
    </row>
    <row r="99" spans="1:15">
      <c r="A99" s="9"/>
      <c r="B99" s="9"/>
      <c r="C99" s="9"/>
      <c r="D99" s="9"/>
      <c r="E99" s="467" t="s">
        <v>105</v>
      </c>
      <c r="F99" s="468"/>
      <c r="G99" s="468"/>
      <c r="H99" s="468"/>
      <c r="I99" s="469"/>
      <c r="J99" s="370" t="s">
        <v>80</v>
      </c>
      <c r="K99" s="9"/>
      <c r="L99" s="9"/>
      <c r="M99" s="9"/>
      <c r="N99" s="9"/>
      <c r="O99" s="9"/>
    </row>
    <row r="100" spans="1:15">
      <c r="A100" s="9"/>
      <c r="B100" s="9"/>
      <c r="C100" s="9"/>
      <c r="D100" s="9"/>
      <c r="E100" s="458" t="s">
        <v>106</v>
      </c>
      <c r="F100" s="459"/>
      <c r="G100" s="459"/>
      <c r="H100" s="459"/>
      <c r="I100" s="460"/>
      <c r="J100" s="371" t="s">
        <v>80</v>
      </c>
      <c r="K100" s="9"/>
      <c r="L100" s="9"/>
      <c r="M100" s="9"/>
      <c r="N100" s="9"/>
      <c r="O100" s="9"/>
    </row>
    <row r="101" spans="1:15">
      <c r="A101" s="9"/>
      <c r="B101" s="9"/>
      <c r="C101" s="9"/>
      <c r="D101" s="9"/>
      <c r="E101" s="467"/>
      <c r="F101" s="468"/>
      <c r="G101" s="468"/>
      <c r="H101" s="468"/>
      <c r="I101" s="469"/>
      <c r="J101" s="370"/>
      <c r="K101" s="9"/>
      <c r="L101" s="9"/>
      <c r="M101" s="9"/>
      <c r="N101" s="9"/>
      <c r="O101" s="9"/>
    </row>
    <row r="102" spans="1:15">
      <c r="A102" s="9"/>
      <c r="B102" s="9"/>
      <c r="C102" s="9"/>
      <c r="D102" s="9"/>
      <c r="E102" s="458"/>
      <c r="F102" s="459"/>
      <c r="G102" s="459"/>
      <c r="H102" s="459"/>
      <c r="I102" s="460"/>
      <c r="J102" s="371"/>
      <c r="K102" s="9"/>
      <c r="L102" s="9"/>
      <c r="M102" s="9"/>
      <c r="N102" s="9"/>
      <c r="O102" s="9"/>
    </row>
    <row r="103" spans="1:15">
      <c r="A103" s="9"/>
      <c r="B103" s="9"/>
      <c r="C103" s="9"/>
      <c r="D103" s="9"/>
      <c r="E103" s="467"/>
      <c r="F103" s="468"/>
      <c r="G103" s="468"/>
      <c r="H103" s="468"/>
      <c r="I103" s="469"/>
      <c r="J103" s="370"/>
      <c r="K103" s="9"/>
      <c r="L103" s="9"/>
      <c r="M103" s="9"/>
      <c r="N103" s="9"/>
      <c r="O103" s="9"/>
    </row>
    <row r="104" spans="1:15">
      <c r="A104" s="9"/>
      <c r="B104" s="9"/>
      <c r="C104" s="9"/>
      <c r="D104" s="9"/>
      <c r="E104" s="458"/>
      <c r="F104" s="459"/>
      <c r="G104" s="459"/>
      <c r="H104" s="459"/>
      <c r="I104" s="460"/>
      <c r="J104" s="371"/>
      <c r="K104" s="9"/>
      <c r="L104" s="9"/>
      <c r="M104" s="9"/>
      <c r="N104" s="9"/>
      <c r="O104" s="9"/>
    </row>
    <row r="105" spans="1:15">
      <c r="A105" s="9"/>
      <c r="B105" s="9"/>
      <c r="C105" s="9"/>
      <c r="D105" s="9"/>
      <c r="E105" s="467"/>
      <c r="F105" s="468"/>
      <c r="G105" s="468"/>
      <c r="H105" s="468"/>
      <c r="I105" s="469"/>
      <c r="J105" s="370"/>
      <c r="K105" s="9"/>
      <c r="L105" s="9"/>
      <c r="M105" s="9"/>
      <c r="N105" s="9"/>
      <c r="O105" s="9"/>
    </row>
    <row r="106" spans="1:15">
      <c r="A106" s="9"/>
      <c r="B106" s="9"/>
      <c r="C106" s="9"/>
      <c r="D106" s="9"/>
      <c r="E106" s="458"/>
      <c r="F106" s="459"/>
      <c r="G106" s="459"/>
      <c r="H106" s="459"/>
      <c r="I106" s="460"/>
      <c r="J106" s="371"/>
      <c r="K106" s="9"/>
      <c r="L106" s="9"/>
      <c r="M106" s="9"/>
      <c r="N106" s="9"/>
      <c r="O106" s="9"/>
    </row>
    <row r="107" spans="1:15">
      <c r="A107" s="9"/>
      <c r="B107" s="9"/>
      <c r="C107" s="9"/>
      <c r="D107" s="9"/>
      <c r="E107" s="467"/>
      <c r="F107" s="468"/>
      <c r="G107" s="468"/>
      <c r="H107" s="468"/>
      <c r="I107" s="469"/>
      <c r="J107" s="370"/>
      <c r="K107" s="9"/>
      <c r="L107" s="9"/>
      <c r="M107" s="9"/>
      <c r="N107" s="9"/>
      <c r="O107" s="9"/>
    </row>
    <row r="108" spans="1:15">
      <c r="A108" s="9"/>
      <c r="B108" s="9"/>
      <c r="C108" s="9"/>
      <c r="D108" s="9"/>
      <c r="E108" s="458"/>
      <c r="F108" s="459"/>
      <c r="G108" s="459"/>
      <c r="H108" s="459"/>
      <c r="I108" s="460"/>
      <c r="J108" s="371"/>
      <c r="K108" s="9"/>
      <c r="L108" s="9"/>
      <c r="M108" s="9"/>
      <c r="N108" s="9"/>
      <c r="O108" s="9"/>
    </row>
    <row r="109" spans="1:15">
      <c r="A109" s="9"/>
      <c r="B109" s="9"/>
      <c r="C109" s="9"/>
      <c r="D109" s="9"/>
      <c r="E109" s="467"/>
      <c r="F109" s="468"/>
      <c r="G109" s="468"/>
      <c r="H109" s="468"/>
      <c r="I109" s="469"/>
      <c r="J109" s="370"/>
      <c r="K109" s="9"/>
      <c r="L109" s="9"/>
      <c r="M109" s="9"/>
      <c r="N109" s="9"/>
      <c r="O109" s="9"/>
    </row>
    <row r="110" spans="1:15">
      <c r="A110" s="9"/>
      <c r="B110" s="9"/>
      <c r="C110" s="9"/>
      <c r="D110" s="9"/>
      <c r="E110" s="458"/>
      <c r="F110" s="459"/>
      <c r="G110" s="459"/>
      <c r="H110" s="459"/>
      <c r="I110" s="460"/>
      <c r="J110" s="371"/>
      <c r="K110" s="9"/>
      <c r="L110" s="9"/>
      <c r="M110" s="9"/>
      <c r="N110" s="9"/>
      <c r="O110" s="9"/>
    </row>
    <row r="111" spans="1:15">
      <c r="A111" s="9"/>
      <c r="B111" s="9"/>
      <c r="C111" s="9"/>
      <c r="D111" s="9"/>
      <c r="E111" s="467"/>
      <c r="F111" s="468"/>
      <c r="G111" s="468"/>
      <c r="H111" s="468"/>
      <c r="I111" s="469"/>
      <c r="J111" s="370"/>
      <c r="K111" s="9"/>
      <c r="L111" s="9"/>
      <c r="M111" s="9"/>
      <c r="N111" s="9"/>
      <c r="O111" s="9"/>
    </row>
    <row r="112" spans="1:15">
      <c r="A112" s="9"/>
      <c r="B112" s="9"/>
      <c r="C112" s="9"/>
      <c r="D112" s="9"/>
      <c r="E112" s="458"/>
      <c r="F112" s="459"/>
      <c r="G112" s="459"/>
      <c r="H112" s="459"/>
      <c r="I112" s="460"/>
      <c r="J112" s="371"/>
      <c r="K112" s="9"/>
      <c r="L112" s="9"/>
      <c r="M112" s="9"/>
      <c r="N112" s="9"/>
      <c r="O112" s="9"/>
    </row>
    <row r="113" spans="1:15">
      <c r="A113" s="9"/>
      <c r="B113" s="9"/>
      <c r="C113" s="9"/>
      <c r="D113" s="9"/>
      <c r="E113" s="467"/>
      <c r="F113" s="468"/>
      <c r="G113" s="468"/>
      <c r="H113" s="468"/>
      <c r="I113" s="469"/>
      <c r="J113" s="370"/>
      <c r="K113" s="9"/>
      <c r="L113" s="9"/>
      <c r="M113" s="9"/>
      <c r="N113" s="9"/>
      <c r="O113" s="9"/>
    </row>
    <row r="114" spans="1:15">
      <c r="A114" s="9"/>
      <c r="B114" s="9"/>
      <c r="C114" s="9"/>
      <c r="D114" s="9"/>
      <c r="E114" s="458"/>
      <c r="F114" s="459"/>
      <c r="G114" s="459"/>
      <c r="H114" s="459"/>
      <c r="I114" s="460"/>
      <c r="J114" s="371"/>
      <c r="K114" s="9"/>
      <c r="L114" s="9"/>
      <c r="M114" s="9"/>
      <c r="N114" s="9"/>
      <c r="O114" s="9"/>
    </row>
    <row r="115" spans="1:15">
      <c r="A115" s="9"/>
      <c r="B115" s="9"/>
      <c r="C115" s="9"/>
      <c r="D115" s="9"/>
      <c r="E115" s="467"/>
      <c r="F115" s="468"/>
      <c r="G115" s="468"/>
      <c r="H115" s="468"/>
      <c r="I115" s="469"/>
      <c r="J115" s="370"/>
      <c r="K115" s="9"/>
      <c r="L115" s="9"/>
      <c r="M115" s="9"/>
      <c r="N115" s="9"/>
      <c r="O115" s="9"/>
    </row>
    <row r="116" spans="1:15">
      <c r="A116" s="9"/>
      <c r="B116" s="9"/>
      <c r="C116" s="9"/>
      <c r="D116" s="9"/>
      <c r="E116" s="458"/>
      <c r="F116" s="459"/>
      <c r="G116" s="459"/>
      <c r="H116" s="459"/>
      <c r="I116" s="460"/>
      <c r="J116" s="371"/>
      <c r="K116" s="9"/>
      <c r="L116" s="9"/>
      <c r="M116" s="9"/>
      <c r="N116" s="9"/>
      <c r="O116" s="9"/>
    </row>
    <row r="117" spans="1:15">
      <c r="A117" s="9"/>
      <c r="B117" s="9"/>
      <c r="C117" s="9"/>
      <c r="D117" s="9"/>
      <c r="E117" s="461"/>
      <c r="F117" s="462"/>
      <c r="G117" s="462"/>
      <c r="H117" s="462"/>
      <c r="I117" s="463"/>
      <c r="J117" s="370"/>
      <c r="K117" s="9"/>
      <c r="L117" s="9"/>
      <c r="M117" s="9"/>
      <c r="N117" s="9"/>
      <c r="O117" s="9"/>
    </row>
    <row r="118" spans="1:15">
      <c r="A118" s="9"/>
      <c r="B118" s="9"/>
      <c r="C118" s="9"/>
      <c r="D118" s="9"/>
      <c r="E118" s="458"/>
      <c r="F118" s="459"/>
      <c r="G118" s="459"/>
      <c r="H118" s="459"/>
      <c r="I118" s="460"/>
      <c r="J118" s="371"/>
      <c r="K118" s="9"/>
      <c r="L118" s="9"/>
      <c r="M118" s="9"/>
      <c r="N118" s="9"/>
      <c r="O118" s="9"/>
    </row>
    <row r="119" spans="1:15" ht="15" thickBot="1">
      <c r="A119" s="9"/>
      <c r="B119" s="9"/>
      <c r="C119" s="9"/>
      <c r="D119" s="9"/>
      <c r="E119" s="455"/>
      <c r="F119" s="456"/>
      <c r="G119" s="456"/>
      <c r="H119" s="456"/>
      <c r="I119" s="457"/>
      <c r="J119" s="374"/>
      <c r="K119" s="9"/>
      <c r="L119" s="9"/>
      <c r="M119" s="9"/>
      <c r="N119" s="9"/>
      <c r="O119" s="9"/>
    </row>
    <row r="120" spans="1:15">
      <c r="A120" s="9"/>
      <c r="B120" s="9"/>
      <c r="C120" s="9"/>
      <c r="D120" s="9"/>
      <c r="E120" s="9"/>
      <c r="F120" s="9"/>
      <c r="G120" s="9"/>
      <c r="H120" s="9"/>
      <c r="I120" s="9"/>
      <c r="J120" s="9"/>
      <c r="K120" s="9"/>
      <c r="L120" s="9"/>
      <c r="M120" s="9"/>
      <c r="N120" s="9"/>
      <c r="O120" s="9"/>
    </row>
    <row r="121" spans="1:15">
      <c r="A121" s="9"/>
      <c r="B121" s="9"/>
      <c r="C121" s="9"/>
      <c r="D121" s="9"/>
      <c r="E121" s="9"/>
      <c r="F121" s="9"/>
      <c r="G121" s="9"/>
      <c r="H121" s="9"/>
      <c r="I121" s="9"/>
      <c r="J121" s="9"/>
      <c r="K121" s="9"/>
      <c r="L121" s="9"/>
      <c r="M121" s="9"/>
      <c r="N121" s="9"/>
      <c r="O121" s="9"/>
    </row>
    <row r="122" spans="1:15" s="9" customFormat="1" hidden="1"/>
  </sheetData>
  <sheetProtection algorithmName="SHA-512" hashValue="JWR3lFdriwyQMIHm4Cax5OW137u6n9c/TtG1sZ2vrPtPovx/Z3BZSBFGly3NWLfsLu9Cdwzsz/+SufP6w8TuEg==" saltValue="o80SqcRA43GVETp6Gn5p6w==" spinCount="100000" sheet="1" selectLockedCells="1"/>
  <mergeCells count="78">
    <mergeCell ref="E85:I85"/>
    <mergeCell ref="E86:I86"/>
    <mergeCell ref="E87:I87"/>
    <mergeCell ref="E49:I49"/>
    <mergeCell ref="E50:I50"/>
    <mergeCell ref="E51:I51"/>
    <mergeCell ref="E52:I52"/>
    <mergeCell ref="E53:I53"/>
    <mergeCell ref="E54:I54"/>
    <mergeCell ref="E55:I55"/>
    <mergeCell ref="E80:I80"/>
    <mergeCell ref="E81:I81"/>
    <mergeCell ref="E82:I82"/>
    <mergeCell ref="E83:I83"/>
    <mergeCell ref="E84:I84"/>
    <mergeCell ref="E75:I75"/>
    <mergeCell ref="E76:I76"/>
    <mergeCell ref="E77:I77"/>
    <mergeCell ref="E78:I78"/>
    <mergeCell ref="E79:I79"/>
    <mergeCell ref="E70:I70"/>
    <mergeCell ref="E71:I71"/>
    <mergeCell ref="E72:I72"/>
    <mergeCell ref="E73:I73"/>
    <mergeCell ref="E74:I74"/>
    <mergeCell ref="E112:I112"/>
    <mergeCell ref="E113:I113"/>
    <mergeCell ref="E114:I114"/>
    <mergeCell ref="E115:I115"/>
    <mergeCell ref="E58:I58"/>
    <mergeCell ref="E59:I59"/>
    <mergeCell ref="E60:I60"/>
    <mergeCell ref="E61:I61"/>
    <mergeCell ref="E62:I62"/>
    <mergeCell ref="E63:I63"/>
    <mergeCell ref="E64:I64"/>
    <mergeCell ref="E65:I65"/>
    <mergeCell ref="E66:I66"/>
    <mergeCell ref="E67:I67"/>
    <mergeCell ref="E68:I68"/>
    <mergeCell ref="E69:I69"/>
    <mergeCell ref="E107:I107"/>
    <mergeCell ref="E108:I108"/>
    <mergeCell ref="E109:I109"/>
    <mergeCell ref="E110:I110"/>
    <mergeCell ref="E111:I111"/>
    <mergeCell ref="E102:I102"/>
    <mergeCell ref="E103:I103"/>
    <mergeCell ref="E104:I104"/>
    <mergeCell ref="E105:I105"/>
    <mergeCell ref="E106:I106"/>
    <mergeCell ref="E119:I119"/>
    <mergeCell ref="E118:I118"/>
    <mergeCell ref="E116:I116"/>
    <mergeCell ref="E117:I117"/>
    <mergeCell ref="E90:I90"/>
    <mergeCell ref="E91:I91"/>
    <mergeCell ref="E92:I92"/>
    <mergeCell ref="E93:I93"/>
    <mergeCell ref="E94:I94"/>
    <mergeCell ref="E95:I95"/>
    <mergeCell ref="E96:I96"/>
    <mergeCell ref="E97:I97"/>
    <mergeCell ref="E98:I98"/>
    <mergeCell ref="E99:I99"/>
    <mergeCell ref="E100:I100"/>
    <mergeCell ref="E101:I101"/>
    <mergeCell ref="C24:M25"/>
    <mergeCell ref="C2:H2"/>
    <mergeCell ref="B5:D5"/>
    <mergeCell ref="B4:D4"/>
    <mergeCell ref="I23:L23"/>
    <mergeCell ref="C10:M10"/>
    <mergeCell ref="D21:G22"/>
    <mergeCell ref="D18:G20"/>
    <mergeCell ref="D16:G17"/>
    <mergeCell ref="D14:G15"/>
    <mergeCell ref="B6:D6"/>
  </mergeCells>
  <phoneticPr fontId="5" type="noConversion"/>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1746-C898-49EB-A55C-DB5AC782859D}">
  <sheetPr codeName="Sheet6"/>
  <dimension ref="A1:O50"/>
  <sheetViews>
    <sheetView zoomScaleNormal="100" workbookViewId="0">
      <selection activeCell="I13" sqref="I13"/>
    </sheetView>
  </sheetViews>
  <sheetFormatPr defaultColWidth="0" defaultRowHeight="14.4" zeroHeight="1"/>
  <cols>
    <col min="1" max="3" width="3.6640625" customWidth="1"/>
    <col min="4" max="7" width="5.6640625" customWidth="1"/>
    <col min="8" max="8" width="3.6640625" customWidth="1"/>
    <col min="9" max="9" width="25.6640625" customWidth="1"/>
    <col min="10" max="12" width="11.6640625" customWidth="1"/>
    <col min="13" max="13" width="14.6640625" customWidth="1"/>
    <col min="14" max="15" width="3.6640625" customWidth="1"/>
    <col min="16" max="16384" width="8.77734375" hidden="1"/>
  </cols>
  <sheetData>
    <row r="1" spans="1:15" ht="25.2" customHeight="1">
      <c r="A1" s="9"/>
      <c r="B1" s="9"/>
      <c r="C1" s="9"/>
      <c r="D1" s="9"/>
      <c r="E1" s="9"/>
      <c r="F1" s="9"/>
      <c r="G1" s="9"/>
      <c r="H1" s="9"/>
      <c r="I1" s="9"/>
      <c r="J1" s="9"/>
      <c r="K1" s="9"/>
      <c r="L1" s="9"/>
      <c r="M1" s="9"/>
      <c r="N1" s="9"/>
      <c r="O1" s="9"/>
    </row>
    <row r="2" spans="1:15" ht="25.2" customHeight="1">
      <c r="A2" s="9"/>
      <c r="B2" s="116" t="s">
        <v>0</v>
      </c>
      <c r="C2" s="450" t="s">
        <v>1</v>
      </c>
      <c r="D2" s="450"/>
      <c r="E2" s="450"/>
      <c r="F2" s="450"/>
      <c r="G2" s="450"/>
      <c r="H2" s="450"/>
      <c r="I2" s="354" t="str">
        <f>+'WSA-CC-Energy'!I2</f>
        <v>Carbon Calculator-2024</v>
      </c>
      <c r="J2" s="9"/>
      <c r="K2" s="9"/>
      <c r="L2" s="9"/>
      <c r="M2" s="9"/>
      <c r="N2" s="9"/>
      <c r="O2" s="9"/>
    </row>
    <row r="3" spans="1:15" ht="25.2" customHeight="1">
      <c r="A3" s="9"/>
      <c r="B3" s="9"/>
      <c r="D3" s="9"/>
      <c r="E3" s="9"/>
      <c r="F3" s="9"/>
      <c r="G3" s="9"/>
      <c r="H3" s="9"/>
      <c r="I3" s="9"/>
      <c r="J3" s="9"/>
      <c r="K3" s="9"/>
      <c r="L3" s="9"/>
      <c r="M3" s="9"/>
      <c r="N3" s="9"/>
      <c r="O3" s="9"/>
    </row>
    <row r="4" spans="1:15" ht="15" customHeight="1">
      <c r="A4" s="9"/>
      <c r="B4" s="451" t="s">
        <v>38</v>
      </c>
      <c r="C4" s="451"/>
      <c r="D4" s="451"/>
      <c r="E4" s="9"/>
      <c r="F4" s="259" t="str">
        <f>+'WSA-CC-Energy'!F4</f>
        <v>Click here to type once to automatically fill the rest</v>
      </c>
      <c r="G4" s="117"/>
      <c r="H4" s="117"/>
      <c r="I4" s="117"/>
      <c r="J4" s="9"/>
      <c r="K4" s="118" t="s">
        <v>40</v>
      </c>
      <c r="L4" s="119" t="str">
        <f>+'WSA-CC-Energy'!L4</f>
        <v>Click here to Type</v>
      </c>
      <c r="M4" s="119"/>
      <c r="N4" s="9"/>
      <c r="O4" s="9"/>
    </row>
    <row r="5" spans="1:15" ht="15" customHeight="1">
      <c r="A5" s="9"/>
      <c r="B5" s="451"/>
      <c r="C5" s="451"/>
      <c r="D5" s="451"/>
      <c r="E5" s="9"/>
      <c r="F5" s="256"/>
      <c r="G5" s="257"/>
      <c r="H5" s="257"/>
      <c r="I5" s="257"/>
      <c r="J5" s="9"/>
      <c r="K5" s="9"/>
      <c r="L5" s="9"/>
      <c r="M5" s="9"/>
      <c r="N5" s="9"/>
      <c r="O5" s="9"/>
    </row>
    <row r="6" spans="1:15" ht="15" customHeight="1">
      <c r="A6" s="9"/>
      <c r="B6" s="451"/>
      <c r="C6" s="451"/>
      <c r="D6" s="451"/>
      <c r="E6" s="9"/>
      <c r="F6" s="258"/>
      <c r="G6" s="9"/>
      <c r="H6" s="9"/>
      <c r="I6" s="9"/>
      <c r="J6" s="9"/>
      <c r="K6" s="9"/>
      <c r="L6" s="9"/>
      <c r="M6" s="9"/>
      <c r="N6" s="9"/>
      <c r="O6" s="9"/>
    </row>
    <row r="7" spans="1:15" ht="15" customHeight="1" thickBot="1">
      <c r="A7" s="9"/>
      <c r="B7" s="9"/>
      <c r="C7" s="9"/>
      <c r="D7" s="9"/>
      <c r="E7" s="9"/>
      <c r="F7" s="9"/>
      <c r="G7" s="9"/>
      <c r="H7" s="9"/>
      <c r="I7" s="152"/>
      <c r="J7" s="9"/>
      <c r="K7" s="9"/>
      <c r="L7" s="9"/>
      <c r="M7" s="9"/>
      <c r="N7" s="9"/>
      <c r="O7" s="9"/>
    </row>
    <row r="8" spans="1:15" ht="23.4">
      <c r="A8" s="9"/>
      <c r="B8" s="120"/>
      <c r="C8" s="121" t="s">
        <v>107</v>
      </c>
      <c r="D8" s="121"/>
      <c r="E8" s="121"/>
      <c r="F8" s="121"/>
      <c r="G8" s="121"/>
      <c r="H8" s="121"/>
      <c r="I8" s="121"/>
      <c r="J8" s="121"/>
      <c r="K8" s="121"/>
      <c r="L8" s="121"/>
      <c r="M8" s="122" t="s">
        <v>108</v>
      </c>
      <c r="N8" s="123"/>
      <c r="O8" s="9"/>
    </row>
    <row r="9" spans="1:15">
      <c r="A9" s="9"/>
      <c r="B9" s="124"/>
      <c r="C9" s="9"/>
      <c r="D9" s="9"/>
      <c r="E9" s="9"/>
      <c r="F9" s="9"/>
      <c r="G9" s="9"/>
      <c r="H9" s="9"/>
      <c r="I9" s="9"/>
      <c r="J9" s="9"/>
      <c r="K9" s="9"/>
      <c r="L9" s="9"/>
      <c r="M9" s="9"/>
      <c r="N9" s="125"/>
      <c r="O9" s="9"/>
    </row>
    <row r="10" spans="1:15" ht="45" customHeight="1">
      <c r="A10" s="9"/>
      <c r="B10" s="124"/>
      <c r="C10" s="444" t="s">
        <v>491</v>
      </c>
      <c r="D10" s="444"/>
      <c r="E10" s="444"/>
      <c r="F10" s="444"/>
      <c r="G10" s="444"/>
      <c r="H10" s="444"/>
      <c r="I10" s="444"/>
      <c r="J10" s="444"/>
      <c r="K10" s="444"/>
      <c r="L10" s="444"/>
      <c r="M10" s="444"/>
      <c r="N10" s="125"/>
      <c r="O10" s="9"/>
    </row>
    <row r="11" spans="1:15" ht="15" thickBot="1">
      <c r="A11" s="9"/>
      <c r="B11" s="124"/>
      <c r="C11" s="9"/>
      <c r="D11" s="9"/>
      <c r="E11" s="9"/>
      <c r="F11" s="9"/>
      <c r="G11" s="9"/>
      <c r="H11" s="9"/>
      <c r="I11" s="9"/>
      <c r="J11" s="9"/>
      <c r="K11" s="9"/>
      <c r="L11" s="9"/>
      <c r="M11" s="9"/>
      <c r="N11" s="125"/>
      <c r="O11" s="9"/>
    </row>
    <row r="12" spans="1:15" ht="28.2" thickBot="1">
      <c r="A12" s="9"/>
      <c r="B12" s="124"/>
      <c r="C12" s="9"/>
      <c r="D12" s="9"/>
      <c r="E12" s="127"/>
      <c r="F12" s="127"/>
      <c r="G12" s="127"/>
      <c r="H12" s="9"/>
      <c r="I12" s="479" t="s">
        <v>109</v>
      </c>
      <c r="J12" s="480"/>
      <c r="K12" s="481"/>
      <c r="L12" s="130" t="s">
        <v>110</v>
      </c>
      <c r="M12" s="131" t="s">
        <v>50</v>
      </c>
      <c r="N12" s="125"/>
      <c r="O12" s="9" t="s">
        <v>51</v>
      </c>
    </row>
    <row r="13" spans="1:15" ht="15" customHeight="1" thickBot="1">
      <c r="A13" s="9"/>
      <c r="B13" s="124"/>
      <c r="C13" s="9"/>
      <c r="D13" s="9"/>
      <c r="E13" s="141"/>
      <c r="F13" s="141"/>
      <c r="G13" s="141"/>
      <c r="H13" s="9"/>
      <c r="I13" s="76"/>
      <c r="J13" s="133"/>
      <c r="K13" s="134"/>
      <c r="L13" s="377"/>
      <c r="M13" s="159" cm="1">
        <f t="array" ref="M13:M22">+'Carbon Calculator-All'!K16:K25</f>
        <v>0</v>
      </c>
      <c r="N13" s="125"/>
      <c r="O13" s="9"/>
    </row>
    <row r="14" spans="1:15" ht="15" customHeight="1" thickBot="1">
      <c r="A14" s="9"/>
      <c r="B14" s="124"/>
      <c r="C14" s="126" t="s">
        <v>52</v>
      </c>
      <c r="D14" s="9"/>
      <c r="E14" s="154"/>
      <c r="F14" s="154"/>
      <c r="G14" s="154"/>
      <c r="H14" s="9"/>
      <c r="I14" s="110"/>
      <c r="J14" s="137"/>
      <c r="K14" s="138"/>
      <c r="L14" s="378"/>
      <c r="M14" s="160">
        <v>0</v>
      </c>
      <c r="N14" s="125"/>
      <c r="O14" s="9"/>
    </row>
    <row r="15" spans="1:15" ht="15" customHeight="1" thickBot="1">
      <c r="A15" s="9"/>
      <c r="B15" s="124"/>
      <c r="C15" s="161" t="s">
        <v>6</v>
      </c>
      <c r="D15" s="442" t="s">
        <v>111</v>
      </c>
      <c r="E15" s="442"/>
      <c r="F15" s="442"/>
      <c r="G15" s="442"/>
      <c r="H15" s="9"/>
      <c r="I15" s="76"/>
      <c r="J15" s="133"/>
      <c r="K15" s="134"/>
      <c r="L15" s="377"/>
      <c r="M15" s="159">
        <v>0</v>
      </c>
      <c r="N15" s="125"/>
      <c r="O15" s="9"/>
    </row>
    <row r="16" spans="1:15" ht="15" customHeight="1" thickBot="1">
      <c r="A16" s="9"/>
      <c r="B16" s="124"/>
      <c r="C16" s="161"/>
      <c r="D16" s="442"/>
      <c r="E16" s="442"/>
      <c r="F16" s="442"/>
      <c r="G16" s="442"/>
      <c r="H16" s="9"/>
      <c r="I16" s="110"/>
      <c r="J16" s="137"/>
      <c r="K16" s="138"/>
      <c r="L16" s="378"/>
      <c r="M16" s="160">
        <v>0</v>
      </c>
      <c r="N16" s="125"/>
      <c r="O16" s="9"/>
    </row>
    <row r="17" spans="1:15" ht="15" thickBot="1">
      <c r="A17" s="9"/>
      <c r="B17" s="124"/>
      <c r="C17" s="161" t="s">
        <v>10</v>
      </c>
      <c r="D17" s="442" t="s">
        <v>112</v>
      </c>
      <c r="E17" s="442"/>
      <c r="F17" s="442"/>
      <c r="G17" s="442"/>
      <c r="H17" s="9"/>
      <c r="I17" s="76"/>
      <c r="J17" s="133"/>
      <c r="K17" s="134"/>
      <c r="L17" s="377"/>
      <c r="M17" s="159">
        <v>0</v>
      </c>
      <c r="N17" s="125"/>
      <c r="O17" s="9"/>
    </row>
    <row r="18" spans="1:15" ht="15" thickBot="1">
      <c r="A18" s="9"/>
      <c r="B18" s="124"/>
      <c r="C18" s="162"/>
      <c r="D18" s="442"/>
      <c r="E18" s="442"/>
      <c r="F18" s="442"/>
      <c r="G18" s="442"/>
      <c r="H18" s="9"/>
      <c r="I18" s="110"/>
      <c r="J18" s="137"/>
      <c r="K18" s="138"/>
      <c r="L18" s="378"/>
      <c r="M18" s="160">
        <v>0</v>
      </c>
      <c r="N18" s="125"/>
      <c r="O18" s="9"/>
    </row>
    <row r="19" spans="1:15" ht="15" thickBot="1">
      <c r="A19" s="9"/>
      <c r="B19" s="124"/>
      <c r="C19" s="126" t="s">
        <v>113</v>
      </c>
      <c r="D19" s="163"/>
      <c r="E19" s="163"/>
      <c r="F19" s="163"/>
      <c r="G19" s="163"/>
      <c r="H19" s="9"/>
      <c r="I19" s="76"/>
      <c r="J19" s="133"/>
      <c r="K19" s="134"/>
      <c r="L19" s="377"/>
      <c r="M19" s="159">
        <v>0</v>
      </c>
      <c r="N19" s="125"/>
      <c r="O19" s="9"/>
    </row>
    <row r="20" spans="1:15" ht="15" customHeight="1" thickBot="1">
      <c r="A20" s="9"/>
      <c r="B20" s="124"/>
      <c r="C20" s="482" t="s">
        <v>114</v>
      </c>
      <c r="D20" s="482"/>
      <c r="E20" s="482"/>
      <c r="F20" s="482"/>
      <c r="G20" s="482"/>
      <c r="H20" s="9"/>
      <c r="I20" s="110"/>
      <c r="J20" s="137"/>
      <c r="K20" s="138"/>
      <c r="L20" s="378"/>
      <c r="M20" s="160">
        <v>0</v>
      </c>
      <c r="N20" s="125"/>
      <c r="O20" s="9"/>
    </row>
    <row r="21" spans="1:15" ht="15" thickBot="1">
      <c r="A21" s="9"/>
      <c r="B21" s="124"/>
      <c r="C21" s="482"/>
      <c r="D21" s="482"/>
      <c r="E21" s="482"/>
      <c r="F21" s="482"/>
      <c r="G21" s="482"/>
      <c r="H21" s="9"/>
      <c r="I21" s="76"/>
      <c r="J21" s="133"/>
      <c r="K21" s="134"/>
      <c r="L21" s="377"/>
      <c r="M21" s="159">
        <v>0</v>
      </c>
      <c r="N21" s="125"/>
      <c r="O21" s="9"/>
    </row>
    <row r="22" spans="1:15" ht="15" thickBot="1">
      <c r="A22" s="9"/>
      <c r="B22" s="124"/>
      <c r="C22" s="482"/>
      <c r="D22" s="482"/>
      <c r="E22" s="482"/>
      <c r="F22" s="482"/>
      <c r="G22" s="482"/>
      <c r="H22" s="9"/>
      <c r="I22" s="110"/>
      <c r="J22" s="137"/>
      <c r="K22" s="138"/>
      <c r="L22" s="378"/>
      <c r="M22" s="160">
        <v>0</v>
      </c>
      <c r="N22" s="125"/>
      <c r="O22" s="9"/>
    </row>
    <row r="23" spans="1:15" ht="18.600000000000001" thickBot="1">
      <c r="A23" s="9"/>
      <c r="B23" s="124"/>
      <c r="C23" s="482"/>
      <c r="D23" s="482"/>
      <c r="E23" s="482"/>
      <c r="F23" s="482"/>
      <c r="G23" s="482"/>
      <c r="H23" s="9"/>
      <c r="I23" s="476" t="s">
        <v>57</v>
      </c>
      <c r="J23" s="477"/>
      <c r="K23" s="477"/>
      <c r="L23" s="478"/>
      <c r="M23" s="147">
        <f>SUM(_xlfn.ANCHORARRAY(M13))</f>
        <v>0</v>
      </c>
      <c r="N23" s="125"/>
      <c r="O23" s="9"/>
    </row>
    <row r="24" spans="1:15" ht="15" customHeight="1">
      <c r="A24" s="9"/>
      <c r="B24" s="124"/>
      <c r="C24" s="9"/>
      <c r="D24" s="148"/>
      <c r="E24" s="9"/>
      <c r="F24" s="9"/>
      <c r="G24" s="9"/>
      <c r="H24" s="9"/>
      <c r="I24" s="149"/>
      <c r="J24" s="149"/>
      <c r="K24" s="149"/>
      <c r="L24" s="149"/>
      <c r="M24" s="150"/>
      <c r="N24" s="125"/>
      <c r="O24" s="9"/>
    </row>
    <row r="25" spans="1:15" ht="15" customHeight="1">
      <c r="A25" s="9"/>
      <c r="B25" s="124"/>
      <c r="C25" s="9"/>
      <c r="D25" s="148"/>
      <c r="E25" s="9"/>
      <c r="F25" s="9"/>
      <c r="G25" s="9"/>
      <c r="H25" s="9"/>
      <c r="I25" s="149"/>
      <c r="J25" s="149"/>
      <c r="K25" s="149"/>
      <c r="L25" s="149"/>
      <c r="M25" s="150"/>
      <c r="N25" s="125"/>
      <c r="O25" s="9"/>
    </row>
    <row r="26" spans="1:15" ht="15" customHeight="1">
      <c r="A26" s="9"/>
      <c r="B26" s="124"/>
      <c r="C26" s="9"/>
      <c r="D26" s="148"/>
      <c r="E26" s="9"/>
      <c r="F26" s="9"/>
      <c r="G26" s="9"/>
      <c r="H26" s="9"/>
      <c r="I26" s="149"/>
      <c r="J26" s="149"/>
      <c r="K26" s="149"/>
      <c r="L26" s="149"/>
      <c r="M26" s="150"/>
      <c r="N26" s="125"/>
      <c r="O26" s="9"/>
    </row>
    <row r="27" spans="1:15" ht="15" customHeight="1">
      <c r="A27" s="9"/>
      <c r="B27" s="124"/>
      <c r="C27" s="9"/>
      <c r="D27" s="148"/>
      <c r="E27" s="9"/>
      <c r="F27" s="9"/>
      <c r="G27" s="9"/>
      <c r="H27" s="9"/>
      <c r="I27" s="149"/>
      <c r="J27" s="149"/>
      <c r="K27" s="149"/>
      <c r="L27" s="149"/>
      <c r="M27" s="150"/>
      <c r="N27" s="125"/>
      <c r="O27" s="9"/>
    </row>
    <row r="28" spans="1:15" ht="15" customHeight="1">
      <c r="A28" s="9"/>
      <c r="B28" s="124"/>
      <c r="C28" s="9"/>
      <c r="D28" s="148"/>
      <c r="E28" s="9"/>
      <c r="F28" s="9"/>
      <c r="G28" s="9"/>
      <c r="H28" s="9"/>
      <c r="I28" s="149"/>
      <c r="J28" s="149"/>
      <c r="K28" s="149"/>
      <c r="L28" s="149"/>
      <c r="M28" s="150"/>
      <c r="N28" s="125"/>
      <c r="O28" s="9"/>
    </row>
    <row r="29" spans="1:15" ht="15" customHeight="1">
      <c r="A29" s="9"/>
      <c r="B29" s="124"/>
      <c r="C29" s="9"/>
      <c r="D29" s="148"/>
      <c r="E29" s="9"/>
      <c r="F29" s="9"/>
      <c r="G29" s="9"/>
      <c r="H29" s="9"/>
      <c r="I29" s="149"/>
      <c r="J29" s="149"/>
      <c r="K29" s="149"/>
      <c r="L29" s="149"/>
      <c r="M29" s="150"/>
      <c r="N29" s="125"/>
      <c r="O29" s="9"/>
    </row>
    <row r="30" spans="1:15" ht="15" customHeight="1">
      <c r="A30" s="9"/>
      <c r="B30" s="124"/>
      <c r="C30" s="9"/>
      <c r="D30" s="148"/>
      <c r="E30" s="9"/>
      <c r="F30" s="9"/>
      <c r="G30" s="9"/>
      <c r="H30" s="9"/>
      <c r="I30" s="149"/>
      <c r="J30" s="149"/>
      <c r="K30" s="149"/>
      <c r="L30" s="149"/>
      <c r="M30" s="150"/>
      <c r="N30" s="125"/>
      <c r="O30" s="9"/>
    </row>
    <row r="31" spans="1:15" ht="15" customHeight="1">
      <c r="A31" s="9"/>
      <c r="B31" s="124"/>
      <c r="C31" s="9"/>
      <c r="D31" s="148"/>
      <c r="E31" s="9"/>
      <c r="F31" s="9"/>
      <c r="G31" s="9"/>
      <c r="H31" s="9"/>
      <c r="I31" s="149"/>
      <c r="J31" s="149"/>
      <c r="K31" s="149"/>
      <c r="L31" s="149"/>
      <c r="M31" s="150"/>
      <c r="N31" s="125"/>
      <c r="O31" s="9"/>
    </row>
    <row r="32" spans="1:15" ht="15" customHeight="1">
      <c r="A32" s="9"/>
      <c r="B32" s="124"/>
      <c r="C32" s="9"/>
      <c r="D32" s="148"/>
      <c r="E32" s="9"/>
      <c r="F32" s="9"/>
      <c r="G32" s="9"/>
      <c r="H32" s="9"/>
      <c r="I32" s="149"/>
      <c r="J32" s="149"/>
      <c r="K32" s="149"/>
      <c r="L32" s="149"/>
      <c r="M32" s="150"/>
      <c r="N32" s="125"/>
      <c r="O32" s="9"/>
    </row>
    <row r="33" spans="1:15" ht="15" customHeight="1">
      <c r="A33" s="9"/>
      <c r="B33" s="124"/>
      <c r="C33" s="9"/>
      <c r="D33" s="148"/>
      <c r="E33" s="9"/>
      <c r="F33" s="9"/>
      <c r="G33" s="9"/>
      <c r="H33" s="9"/>
      <c r="I33" s="149"/>
      <c r="J33" s="149"/>
      <c r="K33" s="149"/>
      <c r="L33" s="149"/>
      <c r="M33" s="150"/>
      <c r="N33" s="125"/>
      <c r="O33" s="9"/>
    </row>
    <row r="34" spans="1:15" ht="15" customHeight="1">
      <c r="A34" s="9"/>
      <c r="B34" s="124"/>
      <c r="C34" s="9"/>
      <c r="D34" s="148"/>
      <c r="E34" s="9"/>
      <c r="F34" s="9"/>
      <c r="G34" s="9"/>
      <c r="H34" s="9"/>
      <c r="I34" s="149"/>
      <c r="J34" s="149"/>
      <c r="K34" s="149"/>
      <c r="L34" s="149"/>
      <c r="M34" s="150"/>
      <c r="N34" s="125"/>
      <c r="O34" s="9"/>
    </row>
    <row r="35" spans="1:15" ht="15" customHeight="1">
      <c r="A35" s="9"/>
      <c r="B35" s="124"/>
      <c r="C35" s="9"/>
      <c r="D35" s="148"/>
      <c r="E35" s="9"/>
      <c r="F35" s="9"/>
      <c r="G35" s="9"/>
      <c r="H35" s="9"/>
      <c r="I35" s="149"/>
      <c r="J35" s="149"/>
      <c r="K35" s="149"/>
      <c r="L35" s="149"/>
      <c r="M35" s="150"/>
      <c r="N35" s="125"/>
      <c r="O35" s="9"/>
    </row>
    <row r="36" spans="1:15" ht="15" customHeight="1">
      <c r="A36" s="9"/>
      <c r="B36" s="124"/>
      <c r="C36" s="9"/>
      <c r="D36" s="148"/>
      <c r="E36" s="9"/>
      <c r="F36" s="9"/>
      <c r="G36" s="9"/>
      <c r="H36" s="9"/>
      <c r="I36" s="149"/>
      <c r="J36" s="149"/>
      <c r="K36" s="149"/>
      <c r="L36" s="149"/>
      <c r="M36" s="150"/>
      <c r="N36" s="125"/>
      <c r="O36" s="9"/>
    </row>
    <row r="37" spans="1:15" ht="15" customHeight="1">
      <c r="A37" s="9"/>
      <c r="B37" s="124"/>
      <c r="C37" s="9"/>
      <c r="D37" s="148"/>
      <c r="E37" s="9"/>
      <c r="F37" s="9"/>
      <c r="G37" s="9"/>
      <c r="H37" s="9"/>
      <c r="I37" s="149"/>
      <c r="J37" s="149"/>
      <c r="K37" s="149"/>
      <c r="L37" s="149"/>
      <c r="M37" s="150"/>
      <c r="N37" s="125"/>
      <c r="O37" s="9"/>
    </row>
    <row r="38" spans="1:15" ht="15" customHeight="1">
      <c r="A38" s="9"/>
      <c r="B38" s="124"/>
      <c r="C38" s="9"/>
      <c r="D38" s="148"/>
      <c r="E38" s="9"/>
      <c r="F38" s="9"/>
      <c r="G38" s="9"/>
      <c r="H38" s="9"/>
      <c r="I38" s="149"/>
      <c r="J38" s="149"/>
      <c r="K38" s="149"/>
      <c r="L38" s="149"/>
      <c r="M38" s="150"/>
      <c r="N38" s="125"/>
      <c r="O38" s="9"/>
    </row>
    <row r="39" spans="1:15" ht="15" customHeight="1">
      <c r="A39" s="9"/>
      <c r="B39" s="124"/>
      <c r="C39" s="9"/>
      <c r="D39" s="148"/>
      <c r="E39" s="9"/>
      <c r="F39" s="9"/>
      <c r="G39" s="9"/>
      <c r="H39" s="9"/>
      <c r="I39" s="149"/>
      <c r="J39" s="149"/>
      <c r="K39" s="149"/>
      <c r="L39" s="149"/>
      <c r="M39" s="150"/>
      <c r="N39" s="125"/>
      <c r="O39" s="9"/>
    </row>
    <row r="40" spans="1:15" ht="15" customHeight="1">
      <c r="A40" s="9"/>
      <c r="B40" s="124"/>
      <c r="C40" s="9"/>
      <c r="D40" s="148"/>
      <c r="E40" s="9"/>
      <c r="F40" s="9"/>
      <c r="G40" s="9"/>
      <c r="H40" s="9"/>
      <c r="I40" s="149"/>
      <c r="J40" s="149"/>
      <c r="K40" s="149"/>
      <c r="L40" s="149"/>
      <c r="M40" s="150"/>
      <c r="N40" s="125"/>
      <c r="O40" s="9"/>
    </row>
    <row r="41" spans="1:15" ht="15" customHeight="1">
      <c r="A41" s="9"/>
      <c r="B41" s="124"/>
      <c r="C41" s="9"/>
      <c r="D41" s="148"/>
      <c r="E41" s="9"/>
      <c r="F41" s="9"/>
      <c r="G41" s="9"/>
      <c r="H41" s="9"/>
      <c r="I41" s="149"/>
      <c r="J41" s="149"/>
      <c r="K41" s="149"/>
      <c r="L41" s="149"/>
      <c r="M41" s="150"/>
      <c r="N41" s="125"/>
      <c r="O41" s="9"/>
    </row>
    <row r="42" spans="1:15" ht="15" customHeight="1">
      <c r="A42" s="9"/>
      <c r="B42" s="124"/>
      <c r="C42" s="9"/>
      <c r="D42" s="148"/>
      <c r="E42" s="9"/>
      <c r="F42" s="9"/>
      <c r="G42" s="9"/>
      <c r="H42" s="9"/>
      <c r="I42" s="149"/>
      <c r="J42" s="149"/>
      <c r="K42" s="149"/>
      <c r="L42" s="149"/>
      <c r="M42" s="150"/>
      <c r="N42" s="125"/>
      <c r="O42" s="9"/>
    </row>
    <row r="43" spans="1:15" ht="15" customHeight="1">
      <c r="A43" s="9"/>
      <c r="B43" s="124"/>
      <c r="C43" s="9"/>
      <c r="D43" s="148"/>
      <c r="E43" s="9"/>
      <c r="F43" s="9"/>
      <c r="G43" s="9"/>
      <c r="H43" s="9"/>
      <c r="I43" s="149"/>
      <c r="J43" s="149"/>
      <c r="K43" s="149"/>
      <c r="L43" s="149"/>
      <c r="M43" s="150"/>
      <c r="N43" s="125"/>
      <c r="O43" s="9"/>
    </row>
    <row r="44" spans="1:15" ht="15" customHeight="1">
      <c r="A44" s="9"/>
      <c r="B44" s="124"/>
      <c r="C44" s="9"/>
      <c r="D44" s="148"/>
      <c r="E44" s="9"/>
      <c r="F44" s="9"/>
      <c r="G44" s="9"/>
      <c r="H44" s="9"/>
      <c r="I44" s="149"/>
      <c r="J44" s="149"/>
      <c r="K44" s="149"/>
      <c r="L44" s="149"/>
      <c r="M44" s="150"/>
      <c r="N44" s="125"/>
      <c r="O44" s="9"/>
    </row>
    <row r="45" spans="1:15" ht="15" customHeight="1">
      <c r="A45" s="9"/>
      <c r="B45" s="124"/>
      <c r="C45" s="9"/>
      <c r="D45" s="148"/>
      <c r="E45" s="9"/>
      <c r="F45" s="9"/>
      <c r="G45" s="9"/>
      <c r="H45" s="9"/>
      <c r="I45" s="149"/>
      <c r="J45" s="149"/>
      <c r="K45" s="149"/>
      <c r="L45" s="149"/>
      <c r="M45" s="150"/>
      <c r="N45" s="125"/>
      <c r="O45" s="9"/>
    </row>
    <row r="46" spans="1:15" ht="15" customHeight="1">
      <c r="A46" s="9"/>
      <c r="B46" s="124"/>
      <c r="C46" s="9"/>
      <c r="D46" s="148"/>
      <c r="E46" s="9"/>
      <c r="F46" s="9"/>
      <c r="G46" s="9"/>
      <c r="H46" s="9"/>
      <c r="I46" s="149"/>
      <c r="J46" s="149"/>
      <c r="K46" s="149"/>
      <c r="L46" s="149"/>
      <c r="M46" s="150"/>
      <c r="N46" s="125"/>
      <c r="O46" s="9"/>
    </row>
    <row r="47" spans="1:15" ht="15" customHeight="1" thickBot="1">
      <c r="A47" s="9"/>
      <c r="B47" s="151"/>
      <c r="C47" s="152"/>
      <c r="D47" s="152"/>
      <c r="E47" s="152"/>
      <c r="F47" s="152"/>
      <c r="G47" s="152"/>
      <c r="H47" s="152"/>
      <c r="I47" s="152"/>
      <c r="J47" s="152"/>
      <c r="K47" s="152"/>
      <c r="L47" s="152"/>
      <c r="M47" s="152"/>
      <c r="N47" s="153"/>
      <c r="O47" s="9"/>
    </row>
    <row r="48" spans="1:15" ht="15" customHeight="1">
      <c r="A48" s="9"/>
      <c r="B48" s="9"/>
      <c r="C48" s="9"/>
      <c r="D48" s="9"/>
      <c r="E48" s="9"/>
      <c r="F48" s="9"/>
      <c r="G48" s="9"/>
      <c r="H48" s="9"/>
      <c r="I48" s="9"/>
      <c r="J48" s="9"/>
      <c r="K48" s="9"/>
      <c r="L48" s="9"/>
      <c r="M48" s="9"/>
      <c r="N48" s="9"/>
      <c r="O48" s="9"/>
    </row>
    <row r="49" ht="15" hidden="1" customHeight="1"/>
    <row r="50" ht="15" hidden="1" customHeight="1"/>
  </sheetData>
  <sheetProtection algorithmName="SHA-512" hashValue="x8tcPn9BLbl5zlJ3bg512GnJxzsNZhJRaHaWjJJD/zgMNTmz6cbbOsFgwFCr9nBhWqJwB07K/pzhfH9fj7mP0A==" saltValue="gH0kDnvVZm9IRVBBkJqQ6w==" spinCount="100000" sheet="1" selectLockedCells="1"/>
  <mergeCells count="10">
    <mergeCell ref="C2:H2"/>
    <mergeCell ref="B4:D4"/>
    <mergeCell ref="B5:D5"/>
    <mergeCell ref="I23:L23"/>
    <mergeCell ref="B6:D6"/>
    <mergeCell ref="C10:M10"/>
    <mergeCell ref="I12:K12"/>
    <mergeCell ref="D15:G16"/>
    <mergeCell ref="D17:G18"/>
    <mergeCell ref="C20:G23"/>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9821-4811-48B7-B40C-FAC830D4AC6D}">
  <sheetPr codeName="Sheet7"/>
  <dimension ref="A1:V88"/>
  <sheetViews>
    <sheetView zoomScaleNormal="100" workbookViewId="0">
      <selection activeCell="J12" sqref="J12"/>
    </sheetView>
  </sheetViews>
  <sheetFormatPr defaultColWidth="0" defaultRowHeight="14.4" zeroHeight="1"/>
  <cols>
    <col min="1" max="3" width="3.6640625" style="239" customWidth="1"/>
    <col min="4" max="7" width="5.6640625" style="239" customWidth="1"/>
    <col min="8" max="8" width="3.6640625" style="239" customWidth="1"/>
    <col min="9" max="9" width="25.6640625" style="239" customWidth="1"/>
    <col min="10" max="12" width="11.6640625" style="239" customWidth="1"/>
    <col min="13" max="13" width="14.6640625" style="239" customWidth="1"/>
    <col min="14" max="15" width="3.6640625" style="239" customWidth="1"/>
    <col min="16" max="17" width="16.6640625" style="239" hidden="1" customWidth="1"/>
    <col min="18" max="18" width="8.77734375" style="239" hidden="1" customWidth="1"/>
    <col min="19" max="19" width="14.33203125" style="239" hidden="1" customWidth="1"/>
    <col min="20" max="20" width="10.6640625" style="239" hidden="1" customWidth="1"/>
    <col min="21" max="22" width="0" style="239" hidden="1" customWidth="1"/>
    <col min="23" max="16384" width="8.77734375" style="239" hidden="1"/>
  </cols>
  <sheetData>
    <row r="1" spans="1:22" ht="25.2" customHeight="1">
      <c r="A1" s="9"/>
      <c r="B1" s="9"/>
      <c r="C1" s="9"/>
      <c r="D1" s="9"/>
      <c r="E1" s="9"/>
      <c r="F1" s="9"/>
      <c r="G1" s="9"/>
      <c r="H1" s="9"/>
      <c r="I1" s="9"/>
      <c r="J1" s="9"/>
      <c r="K1" s="9"/>
      <c r="L1" s="9"/>
      <c r="M1" s="9"/>
      <c r="N1" s="9"/>
      <c r="O1" s="9"/>
      <c r="P1" s="229"/>
      <c r="Q1" s="229"/>
      <c r="R1" s="229"/>
      <c r="S1" s="229"/>
      <c r="T1" s="229"/>
      <c r="U1" s="246"/>
    </row>
    <row r="2" spans="1:22" ht="25.2" customHeight="1">
      <c r="A2" s="9"/>
      <c r="B2" s="116" t="s">
        <v>0</v>
      </c>
      <c r="C2" s="450" t="s">
        <v>1</v>
      </c>
      <c r="D2" s="450"/>
      <c r="E2" s="450"/>
      <c r="F2" s="450"/>
      <c r="G2" s="450"/>
      <c r="H2" s="450"/>
      <c r="I2" s="354" t="str">
        <f>+'WSA-CC-Energy'!I2</f>
        <v>Carbon Calculator-2024</v>
      </c>
      <c r="J2" s="9"/>
      <c r="K2" s="9"/>
      <c r="L2" s="9"/>
      <c r="M2" s="9"/>
      <c r="N2" s="9"/>
      <c r="O2" s="9"/>
      <c r="P2" s="229"/>
      <c r="Q2" s="229"/>
      <c r="R2" s="229"/>
      <c r="S2" s="229"/>
      <c r="T2" s="229"/>
      <c r="U2" s="246"/>
    </row>
    <row r="3" spans="1:22" ht="25.2" customHeight="1">
      <c r="A3" s="9"/>
      <c r="B3" s="9"/>
      <c r="C3"/>
      <c r="D3" s="9"/>
      <c r="E3" s="9"/>
      <c r="F3" s="9"/>
      <c r="G3" s="9"/>
      <c r="H3" s="9"/>
      <c r="I3" s="9"/>
      <c r="J3" s="9"/>
      <c r="K3" s="9"/>
      <c r="L3" s="9"/>
      <c r="M3" s="9"/>
      <c r="N3" s="9"/>
      <c r="O3" s="9"/>
      <c r="P3" s="229"/>
      <c r="Q3" s="229"/>
      <c r="R3" s="229"/>
      <c r="S3" s="229"/>
      <c r="T3" s="229"/>
      <c r="U3" s="246"/>
    </row>
    <row r="4" spans="1:22" ht="15" customHeight="1">
      <c r="A4" s="9"/>
      <c r="B4" s="451" t="s">
        <v>38</v>
      </c>
      <c r="C4" s="451"/>
      <c r="D4" s="451"/>
      <c r="E4" s="9"/>
      <c r="F4" s="259" t="str">
        <f>+'WSA-CC-Energy'!F4</f>
        <v>Click here to type once to automatically fill the rest</v>
      </c>
      <c r="G4" s="117"/>
      <c r="H4" s="117"/>
      <c r="I4" s="117"/>
      <c r="J4" s="9"/>
      <c r="K4" s="118" t="s">
        <v>40</v>
      </c>
      <c r="L4" s="119" t="str">
        <f>+'WSA-CC-Energy'!L4</f>
        <v>Click here to Type</v>
      </c>
      <c r="M4" s="119"/>
      <c r="N4" s="9"/>
      <c r="O4" s="9"/>
      <c r="P4" s="229"/>
      <c r="Q4" s="229"/>
      <c r="R4" s="229"/>
      <c r="S4" s="229"/>
      <c r="T4" s="229"/>
      <c r="U4" s="246"/>
    </row>
    <row r="5" spans="1:22" ht="15" customHeight="1">
      <c r="A5" s="9"/>
      <c r="B5" s="451"/>
      <c r="C5" s="451"/>
      <c r="D5" s="451"/>
      <c r="E5" s="9"/>
      <c r="F5" s="258"/>
      <c r="G5" s="9"/>
      <c r="H5" s="9"/>
      <c r="I5" s="9"/>
      <c r="J5" s="9"/>
      <c r="K5" s="9"/>
      <c r="L5" s="9"/>
      <c r="M5" s="9"/>
      <c r="N5" s="9"/>
      <c r="O5" s="9"/>
      <c r="P5" s="229"/>
      <c r="Q5" s="229"/>
      <c r="R5" s="229"/>
      <c r="S5" s="229"/>
      <c r="T5" s="229"/>
      <c r="U5" s="246"/>
    </row>
    <row r="6" spans="1:22" ht="15" customHeight="1">
      <c r="A6" s="9"/>
      <c r="B6" s="451"/>
      <c r="C6" s="451"/>
      <c r="D6" s="451"/>
      <c r="E6" s="9"/>
      <c r="F6" s="258"/>
      <c r="G6" s="9"/>
      <c r="H6" s="9"/>
      <c r="I6" s="9"/>
      <c r="J6" s="9"/>
      <c r="K6" s="9"/>
      <c r="L6" s="9"/>
      <c r="M6" s="9"/>
      <c r="N6" s="9"/>
      <c r="O6" s="9"/>
      <c r="P6" s="229"/>
      <c r="Q6" s="229"/>
      <c r="R6" s="229"/>
      <c r="S6" s="229"/>
      <c r="T6" s="229"/>
      <c r="U6" s="246"/>
    </row>
    <row r="7" spans="1:22" ht="15" customHeight="1" thickBot="1">
      <c r="A7" s="9"/>
      <c r="B7" s="9"/>
      <c r="C7" s="9"/>
      <c r="D7" s="9"/>
      <c r="E7" s="9"/>
      <c r="F7" s="9"/>
      <c r="G7" s="9"/>
      <c r="H7" s="9"/>
      <c r="I7" s="152"/>
      <c r="J7" s="9"/>
      <c r="K7" s="9"/>
      <c r="L7" s="9"/>
      <c r="M7" s="9"/>
      <c r="N7" s="9"/>
      <c r="O7" s="9"/>
      <c r="P7" s="229"/>
      <c r="Q7" s="229"/>
      <c r="R7" s="229"/>
      <c r="S7" s="229"/>
      <c r="T7" s="229"/>
      <c r="U7" s="246"/>
    </row>
    <row r="8" spans="1:22" ht="23.4">
      <c r="A8" s="9"/>
      <c r="B8" s="120"/>
      <c r="C8" s="121" t="s">
        <v>115</v>
      </c>
      <c r="D8" s="121"/>
      <c r="E8" s="121"/>
      <c r="F8" s="121"/>
      <c r="G8" s="121"/>
      <c r="H8" s="121"/>
      <c r="I8" s="121"/>
      <c r="J8" s="121"/>
      <c r="K8" s="121"/>
      <c r="L8" s="121"/>
      <c r="M8" s="122" t="s">
        <v>116</v>
      </c>
      <c r="N8" s="123"/>
      <c r="O8" s="9"/>
      <c r="P8" s="229"/>
      <c r="Q8" s="229"/>
      <c r="R8" s="229"/>
      <c r="S8" s="229"/>
      <c r="T8" s="229"/>
      <c r="U8" s="246"/>
    </row>
    <row r="9" spans="1:22">
      <c r="A9" s="9"/>
      <c r="B9" s="124"/>
      <c r="C9" s="9"/>
      <c r="D9" s="9"/>
      <c r="E9" s="9"/>
      <c r="F9" s="9"/>
      <c r="G9" s="9"/>
      <c r="H9" s="9"/>
      <c r="I9" s="9"/>
      <c r="J9" s="9"/>
      <c r="K9" s="9"/>
      <c r="L9" s="9"/>
      <c r="M9" s="9"/>
      <c r="N9" s="125"/>
      <c r="O9" s="9"/>
      <c r="P9" s="229"/>
      <c r="Q9" s="229"/>
      <c r="R9" s="229"/>
      <c r="S9" s="229"/>
      <c r="T9" s="229"/>
      <c r="U9" s="246"/>
    </row>
    <row r="10" spans="1:22" ht="45" customHeight="1" thickBot="1">
      <c r="A10" s="9"/>
      <c r="B10" s="124"/>
      <c r="C10" s="444" t="s">
        <v>492</v>
      </c>
      <c r="D10" s="444"/>
      <c r="E10" s="444"/>
      <c r="F10" s="444"/>
      <c r="G10" s="444"/>
      <c r="H10" s="444"/>
      <c r="I10" s="444"/>
      <c r="J10" s="444"/>
      <c r="K10" s="444"/>
      <c r="L10" s="444"/>
      <c r="M10" s="444"/>
      <c r="N10" s="125"/>
      <c r="O10" s="9"/>
      <c r="P10" s="229"/>
      <c r="Q10" s="229"/>
      <c r="R10" s="229"/>
      <c r="S10" s="229"/>
      <c r="T10" s="229"/>
      <c r="U10" s="246"/>
      <c r="V10" s="246"/>
    </row>
    <row r="11" spans="1:22" ht="29.4" thickBot="1">
      <c r="A11" s="9"/>
      <c r="B11" s="124"/>
      <c r="C11" s="9"/>
      <c r="D11" s="9"/>
      <c r="E11" s="9"/>
      <c r="F11" s="9"/>
      <c r="G11" s="9"/>
      <c r="H11" s="9"/>
      <c r="I11" s="128" t="s">
        <v>117</v>
      </c>
      <c r="J11" s="483" t="s">
        <v>118</v>
      </c>
      <c r="K11" s="481"/>
      <c r="L11" s="130" t="s">
        <v>119</v>
      </c>
      <c r="M11" s="131" t="s">
        <v>50</v>
      </c>
      <c r="N11" s="125"/>
      <c r="O11" s="9"/>
      <c r="P11" s="229"/>
      <c r="Q11" s="229"/>
      <c r="R11" s="229"/>
      <c r="S11" s="202" t="s">
        <v>120</v>
      </c>
      <c r="T11" s="202" t="s">
        <v>121</v>
      </c>
      <c r="U11" s="246"/>
      <c r="V11" s="246"/>
    </row>
    <row r="12" spans="1:22" ht="15" customHeight="1" thickBot="1">
      <c r="A12" s="9"/>
      <c r="B12" s="124"/>
      <c r="C12" s="126" t="s">
        <v>52</v>
      </c>
      <c r="D12" s="9"/>
      <c r="E12" s="127"/>
      <c r="F12" s="127"/>
      <c r="G12" s="127"/>
      <c r="H12" s="9"/>
      <c r="I12" s="132" t="s">
        <v>122</v>
      </c>
      <c r="J12" s="77"/>
      <c r="K12" s="134"/>
      <c r="L12" s="377"/>
      <c r="M12" s="252" t="str">
        <f>IF(J12="Primary material production",T13,IF(J12="Closed-loop",T14,"0.00"))</f>
        <v>0.00</v>
      </c>
      <c r="N12" s="125"/>
      <c r="O12" s="9" t="s">
        <v>51</v>
      </c>
      <c r="P12"/>
      <c r="Q12"/>
      <c r="R12"/>
      <c r="S12"/>
      <c r="T12"/>
      <c r="U12" s="246"/>
      <c r="V12" s="246"/>
    </row>
    <row r="13" spans="1:22" ht="15" customHeight="1" thickBot="1">
      <c r="A13" s="9"/>
      <c r="B13" s="124"/>
      <c r="C13" s="484" t="s">
        <v>6</v>
      </c>
      <c r="D13" s="442" t="s">
        <v>123</v>
      </c>
      <c r="E13" s="442"/>
      <c r="F13" s="442"/>
      <c r="G13" s="442"/>
      <c r="H13" s="9"/>
      <c r="I13" s="136" t="s">
        <v>124</v>
      </c>
      <c r="J13" s="185"/>
      <c r="K13" s="146"/>
      <c r="L13" s="379"/>
      <c r="M13" s="139" t="str">
        <f>IF(J13="Primary material production",T15,IF(J13="Closed-loop",T16,"0.00"))</f>
        <v>0.00</v>
      </c>
      <c r="N13" s="125"/>
      <c r="O13" s="9"/>
      <c r="P13" s="240" t="s">
        <v>125</v>
      </c>
      <c r="Q13" s="240" t="s">
        <v>126</v>
      </c>
      <c r="R13" s="241" t="str">
        <f>IF(J12="Primary material production",L12,"0")</f>
        <v>0</v>
      </c>
      <c r="S13" s="205" cm="1">
        <f t="array" ref="S13:S18">+'GHG conversion factor'!D6:D11</f>
        <v>3815.7847299999999</v>
      </c>
      <c r="T13" s="204">
        <f>(R13/1000)*S13</f>
        <v>0</v>
      </c>
      <c r="U13" s="246"/>
      <c r="V13" s="246"/>
    </row>
    <row r="14" spans="1:22" ht="15" customHeight="1" thickBot="1">
      <c r="A14" s="9"/>
      <c r="B14" s="124"/>
      <c r="C14" s="484"/>
      <c r="D14" s="442"/>
      <c r="E14" s="442"/>
      <c r="F14" s="442"/>
      <c r="G14" s="442"/>
      <c r="H14" s="9"/>
      <c r="I14" s="142" t="s">
        <v>127</v>
      </c>
      <c r="J14" s="242"/>
      <c r="K14" s="143"/>
      <c r="L14" s="380"/>
      <c r="M14" s="144" t="str">
        <f>IF(J14="Primary material production",T17,IF(J14="Closed-loop",T18,"0.00"))</f>
        <v>0.00</v>
      </c>
      <c r="N14" s="125"/>
      <c r="O14" s="9"/>
      <c r="P14" s="240" t="s">
        <v>125</v>
      </c>
      <c r="Q14" s="240" t="s">
        <v>128</v>
      </c>
      <c r="R14" s="241" t="str">
        <f>IF(J12="Closed-loop",L12,"0")</f>
        <v>0</v>
      </c>
      <c r="S14" s="205">
        <v>1630.7866100000001</v>
      </c>
      <c r="T14" s="204">
        <f>(R14/1000)*S14</f>
        <v>0</v>
      </c>
      <c r="U14" s="246"/>
      <c r="V14" s="246"/>
    </row>
    <row r="15" spans="1:22" ht="15" customHeight="1" thickBot="1">
      <c r="A15" s="9"/>
      <c r="B15" s="124"/>
      <c r="C15" s="484"/>
      <c r="D15" s="442"/>
      <c r="E15" s="442"/>
      <c r="F15" s="442"/>
      <c r="G15" s="442"/>
      <c r="H15" s="9"/>
      <c r="I15" s="136" t="s">
        <v>129</v>
      </c>
      <c r="J15" s="264" t="s">
        <v>80</v>
      </c>
      <c r="K15" s="138"/>
      <c r="L15" s="378"/>
      <c r="M15" s="139">
        <f>+'Carbon Calculator-All'!K36</f>
        <v>0</v>
      </c>
      <c r="N15" s="125"/>
      <c r="O15" s="9"/>
      <c r="P15" s="240" t="s">
        <v>130</v>
      </c>
      <c r="Q15" s="240" t="s">
        <v>126</v>
      </c>
      <c r="R15" s="241" t="str">
        <f>IF(J13="Primary material production",L13,"0")</f>
        <v>0</v>
      </c>
      <c r="S15" s="205">
        <v>9106.9185099999995</v>
      </c>
      <c r="T15" s="204">
        <f t="shared" ref="T15:T23" si="0">(R15/1000)*S15</f>
        <v>0</v>
      </c>
      <c r="U15" s="246"/>
      <c r="V15" s="246"/>
    </row>
    <row r="16" spans="1:22" ht="15" customHeight="1" thickBot="1">
      <c r="A16" s="9"/>
      <c r="B16" s="124"/>
      <c r="C16" s="484" t="s">
        <v>10</v>
      </c>
      <c r="D16" s="442" t="s">
        <v>131</v>
      </c>
      <c r="E16" s="442"/>
      <c r="F16" s="442"/>
      <c r="G16" s="442"/>
      <c r="H16" s="9"/>
      <c r="I16" s="142" t="s">
        <v>132</v>
      </c>
      <c r="J16" s="242"/>
      <c r="K16" s="143"/>
      <c r="L16" s="380"/>
      <c r="M16" s="144" t="str">
        <f>IF(J16="Primary material production",T19,IF(J16="Closed-loop",T20,"0.00"))</f>
        <v>0.00</v>
      </c>
      <c r="N16" s="125"/>
      <c r="O16" s="9"/>
      <c r="P16" s="240" t="s">
        <v>130</v>
      </c>
      <c r="Q16" s="240" t="s">
        <v>128</v>
      </c>
      <c r="R16" s="241" t="str">
        <f>IF(J13="Closed-loop",L13,"0")</f>
        <v>0</v>
      </c>
      <c r="S16" s="206">
        <v>990.47810000000004</v>
      </c>
      <c r="T16" s="204">
        <f t="shared" si="0"/>
        <v>0</v>
      </c>
      <c r="U16" s="246"/>
      <c r="V16" s="246"/>
    </row>
    <row r="17" spans="1:22" ht="15" customHeight="1" thickBot="1">
      <c r="A17" s="9"/>
      <c r="B17" s="124"/>
      <c r="C17" s="484"/>
      <c r="D17" s="442"/>
      <c r="E17" s="442"/>
      <c r="F17" s="442"/>
      <c r="G17" s="442"/>
      <c r="H17" s="9"/>
      <c r="I17" s="136" t="s">
        <v>133</v>
      </c>
      <c r="J17" s="243"/>
      <c r="K17" s="138"/>
      <c r="L17" s="378"/>
      <c r="M17" s="139" t="str">
        <f>IF(J17="Primary material production",T21,IF(J17="Re-used",T22,"0.00"))</f>
        <v>0.00</v>
      </c>
      <c r="N17" s="125"/>
      <c r="O17" s="9"/>
      <c r="P17" s="240" t="s">
        <v>134</v>
      </c>
      <c r="Q17" s="240" t="s">
        <v>126</v>
      </c>
      <c r="R17" s="241" t="str">
        <f>IF(J14="Primary material production",L14,"0")</f>
        <v>0</v>
      </c>
      <c r="S17" s="206">
        <v>3464.56448</v>
      </c>
      <c r="T17" s="204">
        <f t="shared" si="0"/>
        <v>0</v>
      </c>
      <c r="U17" s="246"/>
      <c r="V17" s="246"/>
    </row>
    <row r="18" spans="1:22" ht="15" customHeight="1" thickBot="1">
      <c r="A18" s="9"/>
      <c r="B18" s="124"/>
      <c r="C18" s="126" t="s">
        <v>135</v>
      </c>
      <c r="D18" s="141"/>
      <c r="E18" s="141"/>
      <c r="F18" s="141"/>
      <c r="G18" s="141"/>
      <c r="H18" s="9"/>
      <c r="I18" s="142" t="s">
        <v>136</v>
      </c>
      <c r="J18" s="242"/>
      <c r="K18" s="143"/>
      <c r="L18" s="380"/>
      <c r="M18" s="144" t="str">
        <f>IF(J18="Primary material production",T23,IF(J18="Re-used",T24,IF(J18="Closed-loop",T25,"0.00")))</f>
        <v>0.00</v>
      </c>
      <c r="N18" s="125"/>
      <c r="O18" s="9"/>
      <c r="P18" s="240" t="s">
        <v>134</v>
      </c>
      <c r="Q18" s="240" t="s">
        <v>128</v>
      </c>
      <c r="R18" s="241" t="str">
        <f>IF(J14="Closed-loop",L14,"0")</f>
        <v>0</v>
      </c>
      <c r="S18" s="207">
        <v>1620.2760599999999</v>
      </c>
      <c r="T18" s="204">
        <f t="shared" si="0"/>
        <v>0</v>
      </c>
      <c r="U18" s="246"/>
      <c r="V18" s="246"/>
    </row>
    <row r="19" spans="1:22" ht="15" customHeight="1" thickBot="1">
      <c r="A19" s="9"/>
      <c r="B19" s="124"/>
      <c r="C19" s="447" t="s">
        <v>137</v>
      </c>
      <c r="D19" s="447"/>
      <c r="E19" s="447"/>
      <c r="F19" s="447"/>
      <c r="G19" s="447"/>
      <c r="H19" s="9"/>
      <c r="I19" s="136" t="s">
        <v>138</v>
      </c>
      <c r="J19" s="185"/>
      <c r="K19" s="138"/>
      <c r="L19" s="378"/>
      <c r="M19" s="139" t="str">
        <f>IF(J19="Primary material production",T26,IF(J19="Closed-loop",T27,"0.00"))</f>
        <v>0.00</v>
      </c>
      <c r="N19" s="125"/>
      <c r="O19" s="9"/>
      <c r="P19" s="240" t="s">
        <v>139</v>
      </c>
      <c r="Q19" s="240" t="s">
        <v>126</v>
      </c>
      <c r="R19" s="241" t="str">
        <f>IF(J16="Primary material production",L16,"0")</f>
        <v>0</v>
      </c>
      <c r="S19" s="206" cm="1">
        <f t="array" ref="S19:S25">+'GHG conversion factor'!D13:D19</f>
        <v>120.05</v>
      </c>
      <c r="T19" s="204">
        <f t="shared" si="0"/>
        <v>0</v>
      </c>
      <c r="U19" s="246"/>
      <c r="V19" s="246"/>
    </row>
    <row r="20" spans="1:22" ht="15" customHeight="1" thickBot="1">
      <c r="A20" s="9"/>
      <c r="B20" s="124"/>
      <c r="C20" s="447"/>
      <c r="D20" s="447"/>
      <c r="E20" s="447"/>
      <c r="F20" s="447"/>
      <c r="G20" s="447"/>
      <c r="H20" s="9"/>
      <c r="I20" s="142" t="s">
        <v>140</v>
      </c>
      <c r="J20" s="265" t="s">
        <v>141</v>
      </c>
      <c r="K20" s="143"/>
      <c r="L20" s="380"/>
      <c r="M20" s="144">
        <f>+T28</f>
        <v>0</v>
      </c>
      <c r="N20" s="125"/>
      <c r="O20" s="9"/>
      <c r="P20" s="240" t="s">
        <v>139</v>
      </c>
      <c r="Q20" s="240" t="s">
        <v>128</v>
      </c>
      <c r="R20" s="241" t="str">
        <f>IF(J16="Closed-loop",L16,"0")</f>
        <v>0</v>
      </c>
      <c r="S20" s="206">
        <v>32.17</v>
      </c>
      <c r="T20" s="204">
        <f t="shared" si="0"/>
        <v>0</v>
      </c>
      <c r="U20" s="246"/>
      <c r="V20" s="246"/>
    </row>
    <row r="21" spans="1:22" ht="15" thickBot="1">
      <c r="A21" s="9"/>
      <c r="B21" s="124"/>
      <c r="C21" s="447"/>
      <c r="D21" s="447"/>
      <c r="E21" s="447"/>
      <c r="F21" s="447"/>
      <c r="G21" s="447"/>
      <c r="H21" s="9"/>
      <c r="I21" s="136" t="s">
        <v>142</v>
      </c>
      <c r="J21" s="264" t="s">
        <v>143</v>
      </c>
      <c r="K21" s="138"/>
      <c r="L21" s="378"/>
      <c r="M21" s="139">
        <f>+T29</f>
        <v>0</v>
      </c>
      <c r="N21" s="125"/>
      <c r="O21" s="9"/>
      <c r="P21" s="240" t="s">
        <v>144</v>
      </c>
      <c r="Q21" s="240" t="s">
        <v>126</v>
      </c>
      <c r="R21" s="241" t="str">
        <f>IF(J17="Primary material production",L17,"0")</f>
        <v>0</v>
      </c>
      <c r="S21" s="206">
        <v>3335.5718999999999</v>
      </c>
      <c r="T21" s="204">
        <f t="shared" si="0"/>
        <v>0</v>
      </c>
      <c r="U21" s="246"/>
      <c r="V21" s="246"/>
    </row>
    <row r="22" spans="1:22" ht="15" thickBot="1">
      <c r="A22" s="9"/>
      <c r="B22" s="124"/>
      <c r="C22" s="447"/>
      <c r="D22" s="447"/>
      <c r="E22" s="447"/>
      <c r="F22" s="447"/>
      <c r="G22" s="447"/>
      <c r="H22" s="9"/>
      <c r="I22" s="142" t="s">
        <v>145</v>
      </c>
      <c r="J22" s="265" t="s">
        <v>80</v>
      </c>
      <c r="K22" s="143"/>
      <c r="L22" s="380"/>
      <c r="M22" s="144">
        <f>+'Carbon Calculator-All'!K48</f>
        <v>0</v>
      </c>
      <c r="N22" s="125"/>
      <c r="O22" s="9"/>
      <c r="P22" s="240" t="s">
        <v>144</v>
      </c>
      <c r="Q22" s="240" t="s">
        <v>143</v>
      </c>
      <c r="R22" s="241" t="str">
        <f>IF(J17="Re-used",L17,"0")</f>
        <v>0</v>
      </c>
      <c r="S22" s="206">
        <v>731.21789000000001</v>
      </c>
      <c r="T22" s="204">
        <f t="shared" si="0"/>
        <v>0</v>
      </c>
      <c r="U22" s="246"/>
      <c r="V22" s="246"/>
    </row>
    <row r="23" spans="1:22" ht="15" thickBot="1">
      <c r="A23" s="9"/>
      <c r="B23" s="124"/>
      <c r="C23" s="447"/>
      <c r="D23" s="447"/>
      <c r="E23" s="447"/>
      <c r="F23" s="447"/>
      <c r="G23" s="447"/>
      <c r="H23" s="9"/>
      <c r="I23" s="136" t="s">
        <v>146</v>
      </c>
      <c r="J23" s="243"/>
      <c r="K23" s="138"/>
      <c r="L23" s="378"/>
      <c r="M23" s="139" t="str">
        <f>IF(J23="Primary material production",T30,IF(J23="Closed-loop",T31,"0.00"))</f>
        <v>0.00</v>
      </c>
      <c r="N23" s="125"/>
      <c r="O23" s="9"/>
      <c r="P23" s="240" t="s">
        <v>147</v>
      </c>
      <c r="Q23" s="240" t="s">
        <v>126</v>
      </c>
      <c r="R23" s="241" t="str">
        <f>IF(J18="Primary material production",L18,"0")</f>
        <v>0</v>
      </c>
      <c r="S23" s="205">
        <v>269.50416000000001</v>
      </c>
      <c r="T23" s="204">
        <f t="shared" si="0"/>
        <v>0</v>
      </c>
      <c r="U23" s="246"/>
      <c r="V23" s="246"/>
    </row>
    <row r="24" spans="1:22" ht="15" thickBot="1">
      <c r="A24" s="9"/>
      <c r="B24" s="124"/>
      <c r="C24" s="447"/>
      <c r="D24" s="447"/>
      <c r="E24" s="447"/>
      <c r="F24" s="447"/>
      <c r="G24" s="447"/>
      <c r="H24" s="9"/>
      <c r="I24" s="142" t="s">
        <v>148</v>
      </c>
      <c r="J24" s="242"/>
      <c r="K24" s="143"/>
      <c r="L24" s="380"/>
      <c r="M24" s="144" t="str">
        <f>IF(J24="Primary material production",T32,IF(J24="Closed-loop",T33,"0.00"))</f>
        <v>0.00</v>
      </c>
      <c r="N24" s="125"/>
      <c r="O24" s="9"/>
      <c r="P24" s="240" t="s">
        <v>147</v>
      </c>
      <c r="Q24" s="240" t="s">
        <v>143</v>
      </c>
      <c r="R24" s="241" t="str">
        <f>IF(J18="Re-used",L18,"0")</f>
        <v>0</v>
      </c>
      <c r="S24" s="208">
        <v>38.542879999999997</v>
      </c>
      <c r="T24" s="204">
        <f t="shared" ref="T24:T27" si="1">(R24/1000)*S24</f>
        <v>0</v>
      </c>
      <c r="U24" s="246"/>
      <c r="V24" s="246"/>
    </row>
    <row r="25" spans="1:22" ht="15" thickBot="1">
      <c r="A25" s="9"/>
      <c r="B25" s="124"/>
      <c r="C25" s="447"/>
      <c r="D25" s="447"/>
      <c r="E25" s="447"/>
      <c r="F25" s="447"/>
      <c r="G25" s="447"/>
      <c r="H25" s="9"/>
      <c r="I25" s="136" t="s">
        <v>149</v>
      </c>
      <c r="J25" s="243"/>
      <c r="K25" s="138"/>
      <c r="L25" s="378"/>
      <c r="M25" s="139" t="str">
        <f>IF(J25="Primary material production",T34,IF(J25="Closed-loop",T35,"0.00"))</f>
        <v>0.00</v>
      </c>
      <c r="N25" s="125"/>
      <c r="O25" s="9"/>
      <c r="P25" s="240" t="s">
        <v>147</v>
      </c>
      <c r="Q25" s="240" t="s">
        <v>128</v>
      </c>
      <c r="R25" s="241" t="str">
        <f>IF(J18="Closed-loop",L18,"0")</f>
        <v>0</v>
      </c>
      <c r="S25" s="208">
        <v>112.96968372342414</v>
      </c>
      <c r="T25" s="204">
        <f t="shared" si="1"/>
        <v>0</v>
      </c>
      <c r="U25" s="246"/>
      <c r="V25" s="246"/>
    </row>
    <row r="26" spans="1:22" ht="15" thickBot="1">
      <c r="A26" s="9"/>
      <c r="B26" s="124"/>
      <c r="C26" s="447"/>
      <c r="D26" s="447"/>
      <c r="E26" s="447"/>
      <c r="F26" s="447"/>
      <c r="G26" s="447"/>
      <c r="H26" s="9"/>
      <c r="I26" s="142" t="s">
        <v>150</v>
      </c>
      <c r="J26" s="242"/>
      <c r="K26" s="143"/>
      <c r="L26" s="380"/>
      <c r="M26" s="144" t="str">
        <f>IF(J26="Primary material production",T36,IF(J26="Closed-loop",T38,"0.00"))</f>
        <v>0.00</v>
      </c>
      <c r="N26" s="125"/>
      <c r="O26" s="9"/>
      <c r="P26" s="211" t="s">
        <v>151</v>
      </c>
      <c r="Q26" s="240" t="s">
        <v>126</v>
      </c>
      <c r="R26" s="241" t="str">
        <f>IF(J19="Primary material production",L19,"0")</f>
        <v>0</v>
      </c>
      <c r="S26" s="209" cm="1">
        <f t="array" ref="S26:S29">+'GHG conversion factor'!D20:D23</f>
        <v>1402.76667</v>
      </c>
      <c r="T26" s="204">
        <f t="shared" si="1"/>
        <v>0</v>
      </c>
      <c r="U26" s="246"/>
      <c r="V26" s="246"/>
    </row>
    <row r="27" spans="1:22" ht="15" thickBot="1">
      <c r="A27" s="9"/>
      <c r="B27" s="124"/>
      <c r="C27" s="447"/>
      <c r="D27" s="447"/>
      <c r="E27" s="447"/>
      <c r="F27" s="447"/>
      <c r="G27" s="447"/>
      <c r="H27" s="9"/>
      <c r="I27" s="136" t="s">
        <v>152</v>
      </c>
      <c r="J27" s="264" t="s">
        <v>80</v>
      </c>
      <c r="K27" s="138"/>
      <c r="L27" s="378"/>
      <c r="M27" s="139" cm="1">
        <f t="array" ref="M27:M33">+T39:T45</f>
        <v>0</v>
      </c>
      <c r="N27" s="125"/>
      <c r="O27" s="9"/>
      <c r="P27" s="211" t="s">
        <v>151</v>
      </c>
      <c r="Q27" s="240" t="s">
        <v>128</v>
      </c>
      <c r="R27" s="241" t="str">
        <f>IF(J19="Closed-loop",L19,"0")</f>
        <v>0</v>
      </c>
      <c r="S27" s="209">
        <v>823.18953999999997</v>
      </c>
      <c r="T27" s="204">
        <f t="shared" si="1"/>
        <v>0</v>
      </c>
      <c r="U27" s="246"/>
      <c r="V27" s="246"/>
    </row>
    <row r="28" spans="1:22" ht="15" customHeight="1" thickBot="1">
      <c r="A28" s="9"/>
      <c r="B28" s="124"/>
      <c r="C28" s="447"/>
      <c r="D28" s="447"/>
      <c r="E28" s="447"/>
      <c r="F28" s="447"/>
      <c r="G28" s="447"/>
      <c r="H28" s="9"/>
      <c r="I28" s="142" t="s">
        <v>153</v>
      </c>
      <c r="J28" s="265" t="s">
        <v>80</v>
      </c>
      <c r="K28" s="143"/>
      <c r="L28" s="380"/>
      <c r="M28" s="144">
        <v>0</v>
      </c>
      <c r="N28" s="125"/>
      <c r="O28" s="9"/>
      <c r="P28" s="211" t="s">
        <v>154</v>
      </c>
      <c r="Q28" s="240" t="s">
        <v>126</v>
      </c>
      <c r="R28" s="262">
        <f>+L20</f>
        <v>0</v>
      </c>
      <c r="S28" s="263">
        <v>22310</v>
      </c>
      <c r="T28" s="204">
        <f>(R28/1000)*S28</f>
        <v>0</v>
      </c>
      <c r="U28" s="246"/>
      <c r="V28" s="246"/>
    </row>
    <row r="29" spans="1:22" ht="15" customHeight="1" thickBot="1">
      <c r="A29" s="9"/>
      <c r="B29" s="124"/>
      <c r="C29" s="447" t="s">
        <v>155</v>
      </c>
      <c r="D29" s="447"/>
      <c r="E29" s="447"/>
      <c r="F29" s="447"/>
      <c r="G29" s="447"/>
      <c r="H29" s="9"/>
      <c r="I29" s="136" t="s">
        <v>156</v>
      </c>
      <c r="J29" s="264" t="s">
        <v>80</v>
      </c>
      <c r="K29" s="138"/>
      <c r="L29" s="378"/>
      <c r="M29" s="139">
        <v>0</v>
      </c>
      <c r="N29" s="125"/>
      <c r="O29" s="9"/>
      <c r="P29" s="211" t="s">
        <v>157</v>
      </c>
      <c r="Q29" s="240" t="s">
        <v>143</v>
      </c>
      <c r="R29" s="262">
        <f>+L21</f>
        <v>0</v>
      </c>
      <c r="S29" s="211">
        <v>152.25</v>
      </c>
      <c r="T29" s="204">
        <f>(R29/1000)*S29</f>
        <v>0</v>
      </c>
      <c r="U29" s="246"/>
      <c r="V29" s="246"/>
    </row>
    <row r="30" spans="1:22" ht="15" thickBot="1">
      <c r="A30" s="9"/>
      <c r="B30" s="124"/>
      <c r="C30" s="447"/>
      <c r="D30" s="447"/>
      <c r="E30" s="447"/>
      <c r="F30" s="447"/>
      <c r="G30" s="447"/>
      <c r="H30" s="9"/>
      <c r="I30" s="142" t="s">
        <v>158</v>
      </c>
      <c r="J30" s="265" t="s">
        <v>80</v>
      </c>
      <c r="K30" s="143"/>
      <c r="L30" s="380"/>
      <c r="M30" s="144">
        <v>0</v>
      </c>
      <c r="N30" s="125"/>
      <c r="O30" s="9"/>
      <c r="P30" s="211" t="s">
        <v>159</v>
      </c>
      <c r="Q30" s="240" t="s">
        <v>126</v>
      </c>
      <c r="R30" s="241" t="str">
        <f>IF(J23="Primary material production",L23,"0")</f>
        <v>0</v>
      </c>
      <c r="S30" s="212" cm="1">
        <f t="array" ref="S30:S33">+'GHG conversion factor'!D25:D28</f>
        <v>3164.7804900000001</v>
      </c>
      <c r="T30" s="204">
        <f t="shared" ref="T30:T38" si="2">(R30/1000)*S30</f>
        <v>0</v>
      </c>
      <c r="U30" s="246"/>
      <c r="V30" s="246"/>
    </row>
    <row r="31" spans="1:22" ht="15" thickBot="1">
      <c r="A31" s="9"/>
      <c r="B31" s="124"/>
      <c r="C31" s="447"/>
      <c r="D31" s="447"/>
      <c r="E31" s="447"/>
      <c r="F31" s="447"/>
      <c r="G31" s="447"/>
      <c r="H31" s="9"/>
      <c r="I31" s="136" t="s">
        <v>160</v>
      </c>
      <c r="J31" s="264" t="s">
        <v>80</v>
      </c>
      <c r="K31" s="138"/>
      <c r="L31" s="378"/>
      <c r="M31" s="139">
        <v>0</v>
      </c>
      <c r="N31" s="125"/>
      <c r="O31" s="9"/>
      <c r="P31" s="211" t="s">
        <v>159</v>
      </c>
      <c r="Q31" s="240" t="s">
        <v>128</v>
      </c>
      <c r="R31" s="241" t="str">
        <f>IF(J23="Closed-loop",L23,"0")</f>
        <v>0</v>
      </c>
      <c r="S31" s="212">
        <v>1566.3863799999999</v>
      </c>
      <c r="T31" s="204">
        <f t="shared" si="2"/>
        <v>0</v>
      </c>
      <c r="U31" s="246"/>
      <c r="V31" s="246"/>
    </row>
    <row r="32" spans="1:22" ht="15" customHeight="1" thickBot="1">
      <c r="A32" s="9"/>
      <c r="B32" s="124"/>
      <c r="C32" s="447" t="s">
        <v>161</v>
      </c>
      <c r="D32" s="447"/>
      <c r="E32" s="447"/>
      <c r="F32" s="447"/>
      <c r="G32" s="447"/>
      <c r="H32" s="9"/>
      <c r="I32" s="142" t="s">
        <v>162</v>
      </c>
      <c r="J32" s="265" t="s">
        <v>80</v>
      </c>
      <c r="K32" s="143"/>
      <c r="L32" s="380"/>
      <c r="M32" s="144">
        <v>0</v>
      </c>
      <c r="N32" s="125"/>
      <c r="O32" s="9"/>
      <c r="P32" s="211" t="s">
        <v>163</v>
      </c>
      <c r="Q32" s="240" t="s">
        <v>126</v>
      </c>
      <c r="R32" s="241" t="str">
        <f>IF(J24="Primary material production",L24,"0")</f>
        <v>0</v>
      </c>
      <c r="S32" s="212">
        <v>2910.4652900000001</v>
      </c>
      <c r="T32" s="204">
        <f t="shared" si="2"/>
        <v>0</v>
      </c>
      <c r="U32" s="246"/>
      <c r="V32" s="246"/>
    </row>
    <row r="33" spans="1:22" ht="15" thickBot="1">
      <c r="A33" s="9"/>
      <c r="B33" s="124"/>
      <c r="C33" s="447"/>
      <c r="D33" s="447"/>
      <c r="E33" s="447"/>
      <c r="F33" s="447"/>
      <c r="G33" s="447"/>
      <c r="H33" s="9"/>
      <c r="I33" s="136" t="s">
        <v>164</v>
      </c>
      <c r="J33" s="264" t="s">
        <v>80</v>
      </c>
      <c r="K33" s="138"/>
      <c r="L33" s="378"/>
      <c r="M33" s="139">
        <v>0</v>
      </c>
      <c r="N33" s="125"/>
      <c r="O33" s="9"/>
      <c r="P33" s="211" t="s">
        <v>163</v>
      </c>
      <c r="Q33" s="240" t="s">
        <v>128</v>
      </c>
      <c r="R33" s="241" t="str">
        <f>IF(J24="Closed-loop",L24,"0")</f>
        <v>0</v>
      </c>
      <c r="S33" s="212">
        <v>1094.58257</v>
      </c>
      <c r="T33" s="204">
        <f t="shared" si="2"/>
        <v>0</v>
      </c>
      <c r="U33" s="246"/>
      <c r="V33" s="246"/>
    </row>
    <row r="34" spans="1:22" ht="18.600000000000001" thickBot="1">
      <c r="A34" s="9"/>
      <c r="B34" s="124"/>
      <c r="C34" s="447"/>
      <c r="D34" s="447"/>
      <c r="E34" s="447"/>
      <c r="F34" s="447"/>
      <c r="G34" s="447"/>
      <c r="H34" s="9"/>
      <c r="I34" s="476" t="s">
        <v>57</v>
      </c>
      <c r="J34" s="477"/>
      <c r="K34" s="477"/>
      <c r="L34" s="478"/>
      <c r="M34" s="147">
        <f>SUM(M12:M33)</f>
        <v>0</v>
      </c>
      <c r="N34" s="125"/>
      <c r="O34" s="9"/>
      <c r="P34" s="250" t="s">
        <v>165</v>
      </c>
      <c r="Q34" s="247" t="s">
        <v>126</v>
      </c>
      <c r="R34" s="248" t="str">
        <f>IF(J25="Primary material production",L25,"0")</f>
        <v>0</v>
      </c>
      <c r="S34" s="261" cm="1">
        <f t="array" ref="S34:S37">+'GHG conversion factor'!D29:D32</f>
        <v>1193.96586</v>
      </c>
      <c r="T34" s="249">
        <f t="shared" si="2"/>
        <v>0</v>
      </c>
      <c r="U34" s="246"/>
      <c r="V34" s="246"/>
    </row>
    <row r="35" spans="1:22" ht="15" customHeight="1">
      <c r="A35" s="9"/>
      <c r="B35" s="124"/>
      <c r="C35" s="447"/>
      <c r="D35" s="447"/>
      <c r="E35" s="447"/>
      <c r="F35" s="447"/>
      <c r="G35" s="447"/>
      <c r="H35" s="9"/>
      <c r="I35" s="149"/>
      <c r="J35" s="149"/>
      <c r="K35" s="149"/>
      <c r="L35" s="149"/>
      <c r="M35" s="150"/>
      <c r="N35" s="125"/>
      <c r="O35" s="9"/>
      <c r="P35" s="250" t="s">
        <v>166</v>
      </c>
      <c r="Q35" s="247" t="s">
        <v>128</v>
      </c>
      <c r="R35" s="248" t="str">
        <f>IF(J25="Closed-loop",L25,"0")</f>
        <v>0</v>
      </c>
      <c r="S35" s="261">
        <v>1092.3548599999999</v>
      </c>
      <c r="T35" s="249">
        <f t="shared" si="2"/>
        <v>0</v>
      </c>
      <c r="U35" s="246"/>
      <c r="V35" s="246"/>
    </row>
    <row r="36" spans="1:22" ht="15" customHeight="1">
      <c r="A36" s="9"/>
      <c r="B36" s="124"/>
      <c r="C36" s="447"/>
      <c r="D36" s="447"/>
      <c r="E36" s="447"/>
      <c r="F36" s="447"/>
      <c r="G36" s="447"/>
      <c r="H36" s="9"/>
      <c r="I36" s="149"/>
      <c r="J36" s="149"/>
      <c r="K36" s="149"/>
      <c r="L36" s="149"/>
      <c r="M36" s="150"/>
      <c r="N36" s="125"/>
      <c r="O36" s="9"/>
      <c r="P36" s="250" t="s">
        <v>167</v>
      </c>
      <c r="Q36" s="247" t="s">
        <v>126</v>
      </c>
      <c r="R36" s="248" t="str">
        <f>IF(J26="Primary material production",L26,"0")</f>
        <v>0</v>
      </c>
      <c r="S36" s="261">
        <v>1339.31834</v>
      </c>
      <c r="T36" s="249">
        <f t="shared" si="2"/>
        <v>0</v>
      </c>
      <c r="U36" s="246"/>
      <c r="V36" s="246"/>
    </row>
    <row r="37" spans="1:22" ht="18.45" customHeight="1">
      <c r="A37" s="9"/>
      <c r="B37" s="124"/>
      <c r="C37" s="447"/>
      <c r="D37" s="447"/>
      <c r="E37" s="447"/>
      <c r="F37" s="447"/>
      <c r="G37" s="447"/>
      <c r="H37" s="9"/>
      <c r="I37" s="149"/>
      <c r="J37" s="149"/>
      <c r="K37" s="149"/>
      <c r="L37" s="149"/>
      <c r="M37" s="150"/>
      <c r="N37" s="125"/>
      <c r="O37" s="9"/>
      <c r="P37" s="250"/>
      <c r="Q37" s="247"/>
      <c r="R37" s="248"/>
      <c r="S37" s="261">
        <v>1044.31834</v>
      </c>
      <c r="T37" s="249"/>
      <c r="U37" s="246"/>
      <c r="V37" s="246"/>
    </row>
    <row r="38" spans="1:22" ht="15" customHeight="1">
      <c r="A38" s="9"/>
      <c r="B38" s="124"/>
      <c r="C38" s="9"/>
      <c r="D38" s="148"/>
      <c r="E38" s="9"/>
      <c r="F38" s="9"/>
      <c r="G38" s="9"/>
      <c r="H38" s="9"/>
      <c r="I38" s="149"/>
      <c r="J38" s="149"/>
      <c r="K38" s="149"/>
      <c r="L38" s="149"/>
      <c r="M38" s="150"/>
      <c r="N38" s="125"/>
      <c r="O38" s="9"/>
      <c r="P38" s="250" t="s">
        <v>167</v>
      </c>
      <c r="Q38" s="247" t="s">
        <v>128</v>
      </c>
      <c r="R38" s="248" t="str">
        <f>IF(J26="Closed-loop",L26,"0")</f>
        <v>0</v>
      </c>
      <c r="S38" s="261"/>
      <c r="T38" s="249">
        <f t="shared" si="2"/>
        <v>0</v>
      </c>
      <c r="U38" s="246"/>
      <c r="V38" s="246"/>
    </row>
    <row r="39" spans="1:22" ht="15" customHeight="1">
      <c r="A39" s="9"/>
      <c r="B39" s="124"/>
      <c r="C39" s="9"/>
      <c r="D39" s="148"/>
      <c r="E39" s="9"/>
      <c r="F39" s="9"/>
      <c r="G39" s="9"/>
      <c r="H39" s="9"/>
      <c r="I39" s="149"/>
      <c r="J39" s="149"/>
      <c r="K39" s="149"/>
      <c r="L39" s="149"/>
      <c r="M39" s="150"/>
      <c r="N39" s="125"/>
      <c r="O39" s="9"/>
      <c r="P39" s="250" t="s">
        <v>168</v>
      </c>
      <c r="Q39" s="250"/>
      <c r="R39" s="260">
        <f t="shared" ref="R39:R45" si="3">+L27</f>
        <v>0</v>
      </c>
      <c r="S39" s="250" cm="1">
        <f t="array" ref="S39:S45">+'GHG conversion factor'!G23:G29</f>
        <v>6.9450000000000003</v>
      </c>
      <c r="T39" s="249">
        <f>R39*S39</f>
        <v>0</v>
      </c>
      <c r="U39" s="246"/>
      <c r="V39" s="246"/>
    </row>
    <row r="40" spans="1:22" ht="15" customHeight="1">
      <c r="A40" s="9"/>
      <c r="B40" s="124"/>
      <c r="C40" s="9"/>
      <c r="D40" s="148"/>
      <c r="E40" s="9"/>
      <c r="F40" s="9"/>
      <c r="G40" s="9"/>
      <c r="H40" s="9"/>
      <c r="I40" s="149"/>
      <c r="J40" s="149"/>
      <c r="K40" s="149"/>
      <c r="L40" s="149"/>
      <c r="M40" s="150"/>
      <c r="N40" s="125"/>
      <c r="O40" s="9"/>
      <c r="P40" s="250" t="s">
        <v>169</v>
      </c>
      <c r="Q40" s="250"/>
      <c r="R40" s="260">
        <f t="shared" si="3"/>
        <v>0</v>
      </c>
      <c r="S40" s="250">
        <v>5.7649999999999997</v>
      </c>
      <c r="T40" s="249">
        <f t="shared" ref="T40:T45" si="4">R40*S40</f>
        <v>0</v>
      </c>
      <c r="U40" s="246"/>
      <c r="V40" s="246"/>
    </row>
    <row r="41" spans="1:22" ht="15" customHeight="1">
      <c r="A41" s="9"/>
      <c r="B41" s="124"/>
      <c r="C41" s="9"/>
      <c r="D41" s="148"/>
      <c r="E41" s="9"/>
      <c r="F41" s="9"/>
      <c r="G41" s="9"/>
      <c r="H41" s="9"/>
      <c r="I41" s="149"/>
      <c r="J41" s="149"/>
      <c r="K41" s="149"/>
      <c r="L41" s="149"/>
      <c r="M41" s="150"/>
      <c r="N41" s="125"/>
      <c r="O41" s="9"/>
      <c r="P41" s="250" t="s">
        <v>170</v>
      </c>
      <c r="Q41" s="250"/>
      <c r="R41" s="260">
        <f t="shared" si="3"/>
        <v>0</v>
      </c>
      <c r="S41" s="250">
        <v>4.1500000000000004</v>
      </c>
      <c r="T41" s="249">
        <f t="shared" si="4"/>
        <v>0</v>
      </c>
      <c r="U41" s="246"/>
      <c r="V41" s="246"/>
    </row>
    <row r="42" spans="1:22" ht="15" customHeight="1">
      <c r="A42" s="9"/>
      <c r="B42" s="124"/>
      <c r="C42" s="9"/>
      <c r="D42" s="148"/>
      <c r="E42" s="9"/>
      <c r="F42" s="9"/>
      <c r="G42" s="9"/>
      <c r="H42" s="9"/>
      <c r="I42" s="149"/>
      <c r="J42" s="149"/>
      <c r="K42" s="149"/>
      <c r="L42" s="149"/>
      <c r="M42" s="150"/>
      <c r="N42" s="125"/>
      <c r="O42" s="9"/>
      <c r="P42" s="250" t="s">
        <v>171</v>
      </c>
      <c r="Q42" s="250"/>
      <c r="R42" s="260">
        <f t="shared" si="3"/>
        <v>0</v>
      </c>
      <c r="S42" s="250">
        <v>3.8149999999999999</v>
      </c>
      <c r="T42" s="249">
        <f t="shared" si="4"/>
        <v>0</v>
      </c>
      <c r="U42" s="246"/>
      <c r="V42" s="246"/>
    </row>
    <row r="43" spans="1:22" ht="15" customHeight="1">
      <c r="A43" s="9"/>
      <c r="B43" s="124"/>
      <c r="C43" s="9"/>
      <c r="D43" s="148"/>
      <c r="E43" s="9"/>
      <c r="F43" s="9"/>
      <c r="G43" s="9"/>
      <c r="H43" s="9"/>
      <c r="I43" s="149"/>
      <c r="J43" s="149"/>
      <c r="K43" s="149"/>
      <c r="L43" s="149"/>
      <c r="M43" s="150"/>
      <c r="N43" s="125"/>
      <c r="O43" s="9"/>
      <c r="P43" s="250" t="s">
        <v>172</v>
      </c>
      <c r="Q43" s="250"/>
      <c r="R43" s="260">
        <f t="shared" si="3"/>
        <v>0</v>
      </c>
      <c r="S43" s="250">
        <v>3.6549999999999998</v>
      </c>
      <c r="T43" s="249">
        <f t="shared" si="4"/>
        <v>0</v>
      </c>
      <c r="U43" s="246"/>
      <c r="V43" s="246"/>
    </row>
    <row r="44" spans="1:22" ht="15" customHeight="1">
      <c r="A44" s="9"/>
      <c r="B44" s="124"/>
      <c r="C44" s="9"/>
      <c r="D44" s="148"/>
      <c r="E44" s="9"/>
      <c r="F44" s="9"/>
      <c r="G44" s="9"/>
      <c r="H44" s="9"/>
      <c r="I44" s="149"/>
      <c r="J44" s="149"/>
      <c r="K44" s="149"/>
      <c r="L44" s="149"/>
      <c r="M44" s="150"/>
      <c r="N44" s="125"/>
      <c r="O44" s="9"/>
      <c r="P44" s="250" t="s">
        <v>173</v>
      </c>
      <c r="Q44" s="250"/>
      <c r="R44" s="260">
        <f t="shared" si="3"/>
        <v>0</v>
      </c>
      <c r="S44" s="250">
        <v>3.2</v>
      </c>
      <c r="T44" s="249">
        <f t="shared" si="4"/>
        <v>0</v>
      </c>
      <c r="U44" s="246"/>
      <c r="V44" s="246"/>
    </row>
    <row r="45" spans="1:22" ht="15" customHeight="1">
      <c r="A45" s="9"/>
      <c r="B45" s="124"/>
      <c r="C45" s="9"/>
      <c r="D45" s="148"/>
      <c r="E45" s="9"/>
      <c r="F45" s="9"/>
      <c r="G45" s="9"/>
      <c r="H45" s="9"/>
      <c r="I45" s="149"/>
      <c r="J45" s="149"/>
      <c r="K45" s="149"/>
      <c r="L45" s="149"/>
      <c r="M45" s="150"/>
      <c r="N45" s="125"/>
      <c r="O45" s="9"/>
      <c r="P45" s="250" t="s">
        <v>174</v>
      </c>
      <c r="Q45" s="250"/>
      <c r="R45" s="260">
        <f t="shared" si="3"/>
        <v>0</v>
      </c>
      <c r="S45" s="250">
        <v>2.25</v>
      </c>
      <c r="T45" s="249">
        <f t="shared" si="4"/>
        <v>0</v>
      </c>
      <c r="U45" s="246"/>
      <c r="V45" s="246"/>
    </row>
    <row r="46" spans="1:22" ht="15" customHeight="1">
      <c r="A46" s="9"/>
      <c r="B46" s="124"/>
      <c r="C46" s="9"/>
      <c r="D46" s="148"/>
      <c r="E46" s="9"/>
      <c r="F46" s="9"/>
      <c r="G46" s="9"/>
      <c r="H46" s="9"/>
      <c r="I46" s="149"/>
      <c r="J46" s="149"/>
      <c r="K46" s="149"/>
      <c r="L46" s="149"/>
      <c r="M46" s="150"/>
      <c r="N46" s="125"/>
      <c r="O46" s="9"/>
      <c r="P46" s="246"/>
      <c r="Q46" s="246"/>
      <c r="R46" s="246"/>
      <c r="S46" s="246"/>
      <c r="T46" s="251"/>
      <c r="U46" s="246"/>
      <c r="V46" s="246"/>
    </row>
    <row r="47" spans="1:22" ht="15" customHeight="1">
      <c r="A47" s="9"/>
      <c r="B47" s="124"/>
      <c r="C47" s="9"/>
      <c r="D47" s="148"/>
      <c r="E47" s="9"/>
      <c r="F47" s="9"/>
      <c r="G47" s="9"/>
      <c r="H47" s="9"/>
      <c r="I47" s="149"/>
      <c r="J47" s="149"/>
      <c r="K47" s="149"/>
      <c r="L47" s="149"/>
      <c r="M47" s="150"/>
      <c r="N47" s="125"/>
      <c r="O47" s="9"/>
      <c r="P47" s="246"/>
      <c r="Q47" s="246"/>
      <c r="R47" s="246"/>
      <c r="S47" s="246"/>
      <c r="T47" s="246"/>
      <c r="U47" s="246"/>
      <c r="V47" s="246"/>
    </row>
    <row r="48" spans="1:22" ht="15" customHeight="1">
      <c r="A48" s="9"/>
      <c r="B48" s="124"/>
      <c r="C48" s="9"/>
      <c r="D48" s="148"/>
      <c r="E48" s="9"/>
      <c r="F48" s="9"/>
      <c r="G48" s="9"/>
      <c r="H48" s="9"/>
      <c r="I48" s="149"/>
      <c r="J48" s="149"/>
      <c r="K48" s="149"/>
      <c r="L48" s="149"/>
      <c r="M48" s="150"/>
      <c r="N48" s="125"/>
      <c r="O48" s="9"/>
      <c r="P48" s="246"/>
      <c r="Q48" s="246"/>
      <c r="R48" s="246"/>
      <c r="S48" s="246"/>
      <c r="T48" s="246"/>
      <c r="U48" s="246"/>
      <c r="V48" s="246"/>
    </row>
    <row r="49" spans="1:22" ht="15" customHeight="1">
      <c r="A49" s="9"/>
      <c r="B49" s="124"/>
      <c r="C49" s="9"/>
      <c r="D49" s="148"/>
      <c r="E49" s="9"/>
      <c r="F49" s="9"/>
      <c r="G49" s="9"/>
      <c r="H49" s="9"/>
      <c r="I49" s="149"/>
      <c r="J49" s="149"/>
      <c r="K49" s="149"/>
      <c r="L49" s="149"/>
      <c r="M49" s="150"/>
      <c r="N49" s="125"/>
      <c r="O49" s="9"/>
      <c r="P49" s="246"/>
      <c r="Q49" s="246"/>
      <c r="R49" s="246"/>
      <c r="S49" s="246"/>
      <c r="T49" s="246"/>
      <c r="U49" s="246"/>
      <c r="V49" s="246"/>
    </row>
    <row r="50" spans="1:22" ht="15" customHeight="1">
      <c r="A50" s="9"/>
      <c r="B50" s="124"/>
      <c r="C50" s="9"/>
      <c r="D50" s="148"/>
      <c r="E50" s="9"/>
      <c r="F50" s="9"/>
      <c r="G50" s="9"/>
      <c r="H50" s="9"/>
      <c r="I50" s="149"/>
      <c r="J50" s="149"/>
      <c r="K50" s="149"/>
      <c r="L50" s="149"/>
      <c r="M50" s="150"/>
      <c r="N50" s="125"/>
      <c r="O50" s="9"/>
      <c r="P50" s="246"/>
      <c r="Q50" s="246"/>
      <c r="R50" s="246"/>
      <c r="S50" s="246"/>
      <c r="T50" s="246"/>
      <c r="U50" s="246"/>
      <c r="V50" s="246"/>
    </row>
    <row r="51" spans="1:22" ht="15" customHeight="1">
      <c r="A51" s="9"/>
      <c r="B51" s="124"/>
      <c r="C51" s="9"/>
      <c r="D51" s="148"/>
      <c r="E51" s="9"/>
      <c r="F51" s="9"/>
      <c r="G51" s="9"/>
      <c r="H51" s="9"/>
      <c r="I51" s="149"/>
      <c r="J51" s="149"/>
      <c r="K51" s="149"/>
      <c r="L51" s="149"/>
      <c r="M51" s="150"/>
      <c r="N51" s="125"/>
      <c r="O51" s="9"/>
      <c r="P51" s="246"/>
      <c r="Q51" s="246"/>
      <c r="R51" s="246"/>
      <c r="S51" s="246"/>
      <c r="T51" s="246"/>
      <c r="U51" s="246"/>
      <c r="V51" s="246"/>
    </row>
    <row r="52" spans="1:22" ht="15" customHeight="1">
      <c r="A52" s="9"/>
      <c r="B52" s="124"/>
      <c r="C52" s="9"/>
      <c r="D52" s="148"/>
      <c r="E52" s="9"/>
      <c r="F52" s="9"/>
      <c r="G52" s="9"/>
      <c r="H52" s="9"/>
      <c r="I52" s="149"/>
      <c r="J52" s="149"/>
      <c r="K52" s="149"/>
      <c r="L52" s="149"/>
      <c r="M52" s="150"/>
      <c r="N52" s="125"/>
      <c r="O52" s="9"/>
      <c r="P52" s="246"/>
      <c r="Q52" s="246"/>
      <c r="R52" s="246"/>
      <c r="S52" s="246"/>
      <c r="T52" s="246"/>
      <c r="U52" s="246"/>
      <c r="V52" s="246"/>
    </row>
    <row r="53" spans="1:22" ht="15" customHeight="1">
      <c r="A53" s="9"/>
      <c r="B53" s="124"/>
      <c r="C53" s="9"/>
      <c r="D53" s="148"/>
      <c r="E53" s="9"/>
      <c r="F53" s="9"/>
      <c r="G53" s="9"/>
      <c r="H53" s="9"/>
      <c r="I53" s="149"/>
      <c r="J53" s="149"/>
      <c r="K53" s="149"/>
      <c r="L53" s="149"/>
      <c r="M53" s="150"/>
      <c r="N53" s="125"/>
      <c r="O53" s="9"/>
      <c r="P53" s="246"/>
      <c r="Q53" s="246"/>
      <c r="R53" s="246"/>
      <c r="S53" s="246"/>
      <c r="T53" s="246"/>
      <c r="U53" s="246"/>
      <c r="V53" s="246"/>
    </row>
    <row r="54" spans="1:22" ht="15" customHeight="1">
      <c r="A54" s="9"/>
      <c r="B54" s="124"/>
      <c r="C54" s="9"/>
      <c r="D54" s="148"/>
      <c r="E54" s="9"/>
      <c r="F54" s="9"/>
      <c r="G54" s="9"/>
      <c r="H54" s="9"/>
      <c r="I54" s="149"/>
      <c r="J54" s="149"/>
      <c r="K54" s="149"/>
      <c r="L54" s="149"/>
      <c r="M54" s="150"/>
      <c r="N54" s="125"/>
      <c r="O54" s="9"/>
      <c r="P54" s="246"/>
      <c r="Q54" s="246"/>
      <c r="R54" s="246"/>
      <c r="S54" s="246"/>
      <c r="T54" s="246"/>
      <c r="U54" s="246"/>
      <c r="V54" s="246"/>
    </row>
    <row r="55" spans="1:22" ht="15" customHeight="1">
      <c r="A55" s="9"/>
      <c r="B55" s="124"/>
      <c r="C55" s="9"/>
      <c r="D55" s="148"/>
      <c r="E55" s="9"/>
      <c r="F55" s="9"/>
      <c r="G55" s="9"/>
      <c r="H55" s="9"/>
      <c r="I55" s="149"/>
      <c r="J55" s="149"/>
      <c r="K55" s="149"/>
      <c r="L55" s="149"/>
      <c r="M55" s="150"/>
      <c r="N55" s="125"/>
      <c r="O55" s="9"/>
      <c r="P55" s="246"/>
      <c r="Q55" s="246"/>
      <c r="R55" s="246"/>
      <c r="S55" s="246"/>
      <c r="T55" s="246"/>
      <c r="U55" s="246"/>
      <c r="V55" s="246"/>
    </row>
    <row r="56" spans="1:22" ht="15" customHeight="1">
      <c r="A56" s="9"/>
      <c r="B56" s="124"/>
      <c r="C56" s="9"/>
      <c r="D56" s="148"/>
      <c r="E56" s="9"/>
      <c r="F56" s="9"/>
      <c r="G56" s="9"/>
      <c r="H56" s="9"/>
      <c r="I56" s="149"/>
      <c r="J56" s="149"/>
      <c r="K56" s="149"/>
      <c r="L56" s="149"/>
      <c r="M56" s="150"/>
      <c r="N56" s="125"/>
      <c r="O56" s="9"/>
      <c r="P56" s="246"/>
      <c r="Q56" s="246"/>
      <c r="R56" s="246"/>
      <c r="S56" s="246"/>
      <c r="T56" s="246"/>
      <c r="U56" s="246"/>
      <c r="V56" s="246"/>
    </row>
    <row r="57" spans="1:22" ht="15" customHeight="1" thickBot="1">
      <c r="A57"/>
      <c r="B57" s="151"/>
      <c r="C57" s="152"/>
      <c r="D57" s="152"/>
      <c r="E57" s="152"/>
      <c r="F57" s="152"/>
      <c r="G57" s="152"/>
      <c r="H57" s="152"/>
      <c r="I57" s="152"/>
      <c r="J57" s="152"/>
      <c r="K57" s="152"/>
      <c r="L57" s="152"/>
      <c r="M57" s="152"/>
      <c r="N57" s="153"/>
      <c r="O57"/>
    </row>
    <row r="58" spans="1:22" ht="15" customHeight="1">
      <c r="A58" s="9"/>
      <c r="B58" s="9"/>
      <c r="C58" s="9"/>
      <c r="D58" s="9"/>
      <c r="E58" s="9"/>
      <c r="F58" s="9"/>
      <c r="G58" s="9"/>
      <c r="H58" s="9"/>
      <c r="I58" s="9"/>
      <c r="J58" s="9"/>
      <c r="K58" s="9"/>
      <c r="L58" s="9"/>
      <c r="M58" s="9"/>
      <c r="N58" s="9"/>
      <c r="O58" s="9"/>
    </row>
    <row r="59" spans="1:22">
      <c r="A59" s="9"/>
      <c r="B59" s="9"/>
      <c r="C59" s="9"/>
      <c r="D59" s="9"/>
      <c r="E59" s="9"/>
      <c r="F59" s="9"/>
      <c r="G59" s="9"/>
      <c r="H59" s="9"/>
      <c r="I59" s="9"/>
      <c r="J59" s="9"/>
      <c r="K59" s="9"/>
      <c r="L59" s="9"/>
      <c r="M59" s="9"/>
      <c r="N59" s="9"/>
      <c r="O59" s="9"/>
    </row>
    <row r="60" spans="1:22">
      <c r="A60" s="9"/>
      <c r="B60" s="9"/>
      <c r="C60" s="9"/>
      <c r="D60" s="9"/>
      <c r="E60" s="9"/>
      <c r="F60" s="9"/>
      <c r="G60" s="9"/>
      <c r="H60" s="9"/>
      <c r="I60" s="9"/>
      <c r="J60" s="9"/>
      <c r="K60" s="9"/>
      <c r="L60" s="9"/>
      <c r="M60" s="9"/>
      <c r="N60" s="9"/>
      <c r="O60" s="9"/>
    </row>
    <row r="61" spans="1:22">
      <c r="A61" s="9"/>
      <c r="B61" s="9"/>
      <c r="C61" s="9"/>
      <c r="D61" s="9"/>
      <c r="E61" s="9"/>
      <c r="F61" s="9"/>
      <c r="G61" s="9"/>
      <c r="H61" s="9"/>
      <c r="I61" s="9"/>
      <c r="J61" s="9"/>
      <c r="K61" s="9"/>
      <c r="L61" s="9"/>
      <c r="M61" s="9"/>
      <c r="N61" s="9"/>
      <c r="O61" s="9"/>
    </row>
    <row r="62" spans="1:22">
      <c r="A62" s="9"/>
      <c r="B62" s="9"/>
      <c r="C62" s="9"/>
      <c r="D62" s="9"/>
      <c r="E62" s="9"/>
      <c r="F62" s="9"/>
      <c r="G62" s="9"/>
      <c r="H62" s="9"/>
      <c r="I62" s="9"/>
      <c r="J62" s="9"/>
      <c r="K62" s="9"/>
      <c r="L62" s="9"/>
      <c r="M62" s="9"/>
      <c r="N62" s="9"/>
      <c r="O62" s="9"/>
    </row>
    <row r="63" spans="1:22">
      <c r="A63" s="9"/>
      <c r="B63" s="9"/>
      <c r="C63" s="9"/>
      <c r="D63" s="9"/>
      <c r="E63" s="9"/>
      <c r="F63" s="9"/>
      <c r="G63" s="9"/>
      <c r="H63" s="9"/>
      <c r="I63" s="9" t="s">
        <v>175</v>
      </c>
      <c r="J63" s="9"/>
      <c r="K63" s="9"/>
      <c r="L63" s="9"/>
      <c r="M63" s="9"/>
      <c r="N63" s="9"/>
      <c r="O63" s="9"/>
    </row>
    <row r="64" spans="1:22">
      <c r="A64" s="9"/>
      <c r="B64" s="9"/>
      <c r="C64" s="9"/>
      <c r="D64" s="9"/>
      <c r="E64" s="9"/>
      <c r="F64" s="9"/>
      <c r="G64" s="9"/>
      <c r="H64" s="9"/>
      <c r="I64" s="300" t="s">
        <v>176</v>
      </c>
      <c r="J64" s="9"/>
      <c r="K64" s="9"/>
      <c r="L64" s="9"/>
      <c r="M64" s="9"/>
      <c r="N64" s="9"/>
      <c r="O64" s="9"/>
    </row>
    <row r="65" spans="1:15">
      <c r="A65" s="9"/>
      <c r="B65" s="9"/>
      <c r="C65"/>
      <c r="D65" s="9"/>
      <c r="E65" s="9"/>
      <c r="F65" s="9"/>
      <c r="G65" s="9"/>
      <c r="H65" s="9"/>
      <c r="I65" s="224" t="s">
        <v>177</v>
      </c>
      <c r="J65" s="9"/>
      <c r="K65" s="9"/>
      <c r="L65" s="9"/>
      <c r="M65" s="9"/>
      <c r="N65" s="9"/>
      <c r="O65" s="9"/>
    </row>
    <row r="66" spans="1:15" ht="15" thickBot="1">
      <c r="A66" s="9"/>
      <c r="B66" s="9"/>
      <c r="C66" s="9"/>
      <c r="D66" s="9"/>
      <c r="E66" s="9"/>
      <c r="F66" s="9"/>
      <c r="G66" s="9"/>
      <c r="H66" s="9"/>
      <c r="I66" s="9"/>
      <c r="J66" s="9"/>
      <c r="K66" s="9"/>
      <c r="L66" s="9"/>
      <c r="M66" s="9"/>
      <c r="N66" s="9"/>
      <c r="O66" s="9"/>
    </row>
    <row r="67" spans="1:15" ht="41.4">
      <c r="A67" s="9"/>
      <c r="B67" s="9"/>
      <c r="C67" s="9"/>
      <c r="D67" s="9"/>
      <c r="E67" s="9"/>
      <c r="F67" s="9"/>
      <c r="G67" s="9"/>
      <c r="H67" s="9"/>
      <c r="I67" s="297" t="s">
        <v>117</v>
      </c>
      <c r="J67" s="298" t="s">
        <v>119</v>
      </c>
      <c r="K67" s="299" t="s">
        <v>50</v>
      </c>
      <c r="L67" s="305"/>
      <c r="M67" s="305"/>
      <c r="N67" s="9"/>
      <c r="O67" s="9"/>
    </row>
    <row r="68" spans="1:15">
      <c r="A68" s="9"/>
      <c r="B68" s="9"/>
      <c r="C68" s="9"/>
      <c r="D68" s="9"/>
      <c r="E68" s="9"/>
      <c r="F68" s="9"/>
      <c r="G68" s="9"/>
      <c r="H68" s="9"/>
      <c r="I68" s="289"/>
      <c r="K68" s="301"/>
      <c r="L68" s="304"/>
      <c r="M68" s="306"/>
      <c r="N68" s="9"/>
      <c r="O68" s="9"/>
    </row>
    <row r="69" spans="1:15">
      <c r="A69" s="9"/>
      <c r="B69" s="9"/>
      <c r="C69" s="9"/>
      <c r="D69" s="9"/>
      <c r="E69" s="9"/>
      <c r="F69" s="9"/>
      <c r="G69" s="9"/>
      <c r="H69" s="9"/>
      <c r="I69" s="292"/>
      <c r="J69" s="293"/>
      <c r="K69" s="302"/>
      <c r="L69" s="304"/>
      <c r="M69" s="306"/>
      <c r="N69" s="9"/>
      <c r="O69" s="9"/>
    </row>
    <row r="70" spans="1:15">
      <c r="A70" s="9"/>
      <c r="B70" s="9"/>
      <c r="C70" s="9"/>
      <c r="D70" s="9"/>
      <c r="E70" s="9"/>
      <c r="F70" s="9"/>
      <c r="G70" s="9"/>
      <c r="H70" s="9"/>
      <c r="I70" s="289"/>
      <c r="K70" s="301"/>
      <c r="L70" s="304"/>
      <c r="M70" s="306"/>
      <c r="N70" s="9"/>
      <c r="O70" s="9"/>
    </row>
    <row r="71" spans="1:15">
      <c r="A71" s="9"/>
      <c r="B71" s="9"/>
      <c r="C71" s="9"/>
      <c r="D71" s="9"/>
      <c r="E71" s="9"/>
      <c r="F71" s="9"/>
      <c r="G71" s="9"/>
      <c r="H71" s="9"/>
      <c r="I71" s="292"/>
      <c r="J71" s="293"/>
      <c r="K71" s="302"/>
      <c r="L71" s="304"/>
      <c r="M71" s="306"/>
      <c r="N71" s="9"/>
      <c r="O71" s="9"/>
    </row>
    <row r="72" spans="1:15">
      <c r="A72" s="9"/>
      <c r="B72" s="9"/>
      <c r="C72" s="9"/>
      <c r="D72" s="9"/>
      <c r="E72" s="9"/>
      <c r="F72" s="9"/>
      <c r="G72" s="9"/>
      <c r="H72" s="9"/>
      <c r="I72" s="289"/>
      <c r="K72" s="301"/>
      <c r="L72" s="304"/>
      <c r="M72" s="306"/>
      <c r="N72" s="9"/>
      <c r="O72" s="9"/>
    </row>
    <row r="73" spans="1:15">
      <c r="A73" s="9"/>
      <c r="B73" s="9"/>
      <c r="C73" s="9"/>
      <c r="D73" s="9"/>
      <c r="E73" s="9"/>
      <c r="F73" s="9"/>
      <c r="G73" s="9"/>
      <c r="H73" s="9"/>
      <c r="I73" s="292"/>
      <c r="J73" s="293"/>
      <c r="K73" s="302"/>
      <c r="L73" s="304"/>
      <c r="M73" s="306"/>
      <c r="N73" s="9"/>
      <c r="O73" s="9"/>
    </row>
    <row r="74" spans="1:15">
      <c r="A74" s="9"/>
      <c r="B74" s="9"/>
      <c r="C74" s="9"/>
      <c r="D74" s="9"/>
      <c r="E74" s="9"/>
      <c r="F74" s="9"/>
      <c r="G74" s="9"/>
      <c r="H74" s="9"/>
      <c r="I74" s="289"/>
      <c r="K74" s="301"/>
      <c r="L74" s="304"/>
      <c r="M74" s="306"/>
      <c r="N74" s="9"/>
      <c r="O74" s="9"/>
    </row>
    <row r="75" spans="1:15">
      <c r="A75" s="9"/>
      <c r="B75" s="9"/>
      <c r="C75" s="9"/>
      <c r="D75" s="9"/>
      <c r="E75" s="9"/>
      <c r="F75" s="9"/>
      <c r="G75" s="9"/>
      <c r="H75" s="9"/>
      <c r="I75" s="292"/>
      <c r="J75" s="293"/>
      <c r="K75" s="302"/>
      <c r="L75" s="304"/>
      <c r="M75" s="306"/>
      <c r="N75" s="9"/>
      <c r="O75" s="9"/>
    </row>
    <row r="76" spans="1:15">
      <c r="A76" s="9"/>
      <c r="B76" s="9"/>
      <c r="C76" s="9"/>
      <c r="D76" s="9"/>
      <c r="E76" s="9"/>
      <c r="F76" s="9"/>
      <c r="G76" s="9"/>
      <c r="H76" s="9"/>
      <c r="I76" s="289"/>
      <c r="K76" s="301"/>
      <c r="L76" s="304"/>
      <c r="M76" s="306"/>
      <c r="N76" s="9"/>
      <c r="O76" s="9"/>
    </row>
    <row r="77" spans="1:15">
      <c r="A77" s="9"/>
      <c r="B77" s="9"/>
      <c r="C77" s="9"/>
      <c r="D77" s="9"/>
      <c r="E77" s="9"/>
      <c r="F77" s="9"/>
      <c r="G77" s="9"/>
      <c r="H77" s="9"/>
      <c r="I77" s="292"/>
      <c r="J77" s="293"/>
      <c r="K77" s="302"/>
      <c r="L77" s="304"/>
      <c r="M77" s="306"/>
      <c r="N77" s="9"/>
      <c r="O77" s="9"/>
    </row>
    <row r="78" spans="1:15">
      <c r="A78" s="9"/>
      <c r="B78" s="9"/>
      <c r="C78" s="9"/>
      <c r="D78" s="9"/>
      <c r="E78" s="9"/>
      <c r="F78" s="9"/>
      <c r="G78" s="9"/>
      <c r="H78" s="9"/>
      <c r="I78" s="289"/>
      <c r="K78" s="301"/>
      <c r="L78" s="304"/>
      <c r="M78" s="306"/>
      <c r="N78" s="9"/>
      <c r="O78" s="9"/>
    </row>
    <row r="79" spans="1:15">
      <c r="A79" s="9"/>
      <c r="B79" s="9"/>
      <c r="C79" s="9"/>
      <c r="D79" s="9"/>
      <c r="E79" s="9"/>
      <c r="F79" s="9"/>
      <c r="G79" s="9"/>
      <c r="H79" s="9"/>
      <c r="I79" s="292"/>
      <c r="J79" s="293"/>
      <c r="K79" s="302"/>
      <c r="L79" s="304"/>
      <c r="M79" s="306"/>
      <c r="N79" s="9"/>
      <c r="O79" s="9"/>
    </row>
    <row r="80" spans="1:15">
      <c r="A80" s="9"/>
      <c r="B80" s="9"/>
      <c r="C80" s="9"/>
      <c r="D80" s="9"/>
      <c r="E80" s="9"/>
      <c r="F80" s="9"/>
      <c r="G80" s="9"/>
      <c r="H80" s="9"/>
      <c r="I80" s="289"/>
      <c r="K80" s="301"/>
      <c r="L80" s="304"/>
      <c r="M80" s="306"/>
      <c r="N80" s="9"/>
      <c r="O80" s="9"/>
    </row>
    <row r="81" spans="1:15">
      <c r="A81" s="9"/>
      <c r="B81" s="9"/>
      <c r="C81" s="9"/>
      <c r="D81" s="9"/>
      <c r="E81" s="9"/>
      <c r="F81" s="9"/>
      <c r="G81" s="9"/>
      <c r="H81" s="9"/>
      <c r="I81" s="292"/>
      <c r="J81" s="293"/>
      <c r="K81" s="302"/>
      <c r="L81" s="304"/>
      <c r="M81" s="306"/>
      <c r="N81" s="9"/>
      <c r="O81" s="9"/>
    </row>
    <row r="82" spans="1:15">
      <c r="A82" s="9"/>
      <c r="B82" s="9"/>
      <c r="C82" s="9"/>
      <c r="D82" s="9"/>
      <c r="E82" s="9"/>
      <c r="F82" s="9"/>
      <c r="G82" s="9"/>
      <c r="H82" s="9"/>
      <c r="I82" s="289"/>
      <c r="K82" s="301"/>
      <c r="L82" s="304"/>
      <c r="M82" s="306"/>
      <c r="N82" s="9"/>
      <c r="O82" s="9"/>
    </row>
    <row r="83" spans="1:15">
      <c r="A83" s="9"/>
      <c r="B83" s="9"/>
      <c r="C83" s="9"/>
      <c r="D83" s="9"/>
      <c r="E83" s="9"/>
      <c r="F83" s="9"/>
      <c r="G83" s="9"/>
      <c r="H83" s="9"/>
      <c r="I83" s="292"/>
      <c r="J83" s="293"/>
      <c r="K83" s="302"/>
      <c r="L83" s="304"/>
      <c r="M83" s="306"/>
      <c r="N83" s="9"/>
      <c r="O83" s="9"/>
    </row>
    <row r="84" spans="1:15">
      <c r="A84" s="9"/>
      <c r="B84" s="9"/>
      <c r="C84" s="9"/>
      <c r="D84" s="9"/>
      <c r="E84" s="9"/>
      <c r="F84" s="9"/>
      <c r="G84" s="9"/>
      <c r="H84" s="9"/>
      <c r="I84" s="289"/>
      <c r="K84" s="301"/>
      <c r="L84" s="304"/>
      <c r="M84" s="306"/>
      <c r="N84" s="9"/>
      <c r="O84" s="9"/>
    </row>
    <row r="85" spans="1:15">
      <c r="A85" s="9"/>
      <c r="B85" s="9"/>
      <c r="C85" s="9"/>
      <c r="D85" s="9"/>
      <c r="E85" s="9"/>
      <c r="F85" s="9"/>
      <c r="G85" s="9"/>
      <c r="H85" s="9"/>
      <c r="I85" s="292"/>
      <c r="J85" s="293"/>
      <c r="K85" s="302"/>
      <c r="L85" s="304"/>
      <c r="M85" s="306"/>
      <c r="N85" s="9"/>
      <c r="O85" s="9"/>
    </row>
    <row r="86" spans="1:15" ht="15" thickBot="1">
      <c r="A86" s="9"/>
      <c r="B86" s="9"/>
      <c r="C86" s="9"/>
      <c r="D86" s="9"/>
      <c r="E86" s="9"/>
      <c r="F86" s="9"/>
      <c r="G86" s="9"/>
      <c r="H86" s="9"/>
      <c r="I86" s="290"/>
      <c r="J86" s="291"/>
      <c r="K86" s="303"/>
      <c r="L86" s="304"/>
      <c r="M86" s="306"/>
      <c r="N86" s="9"/>
      <c r="O86" s="9"/>
    </row>
    <row r="87" spans="1:15">
      <c r="A87" s="9"/>
      <c r="B87" s="9"/>
      <c r="C87" s="9"/>
      <c r="D87" s="9"/>
      <c r="E87" s="9"/>
      <c r="F87" s="9"/>
      <c r="G87" s="9"/>
      <c r="H87" s="9"/>
      <c r="I87" s="9"/>
      <c r="J87" s="9"/>
      <c r="K87" s="9"/>
      <c r="L87" s="9"/>
      <c r="M87" s="9"/>
      <c r="N87" s="9"/>
      <c r="O87" s="9"/>
    </row>
    <row r="88" spans="1:15">
      <c r="A88" s="9"/>
      <c r="B88" s="9"/>
      <c r="C88" s="9"/>
      <c r="D88" s="9"/>
      <c r="E88" s="9"/>
      <c r="F88" s="9"/>
      <c r="G88" s="9"/>
      <c r="H88" s="9"/>
      <c r="I88" s="9"/>
      <c r="J88" s="9"/>
      <c r="K88" s="9"/>
      <c r="L88" s="9"/>
      <c r="M88" s="9"/>
      <c r="N88" s="9"/>
      <c r="O88" s="9"/>
    </row>
  </sheetData>
  <sheetProtection algorithmName="SHA-512" hashValue="ONSEvTZwv1hcqYeQTijKaPOA1bPihAWSczn2hEcQd1Fynif4wuDnxmzzsc4HaI+UgHvHRbSZCkcPXAYTpGxaHA==" saltValue="OE2iRVmEWTbDaIh8eom4DQ==" spinCount="100000" sheet="1" selectLockedCells="1"/>
  <mergeCells count="14">
    <mergeCell ref="I34:L34"/>
    <mergeCell ref="J11:K11"/>
    <mergeCell ref="C2:H2"/>
    <mergeCell ref="B4:D4"/>
    <mergeCell ref="B5:D5"/>
    <mergeCell ref="B6:D6"/>
    <mergeCell ref="C10:M10"/>
    <mergeCell ref="D13:G15"/>
    <mergeCell ref="D16:G17"/>
    <mergeCell ref="C13:C15"/>
    <mergeCell ref="C16:C17"/>
    <mergeCell ref="C29:G31"/>
    <mergeCell ref="C19:G28"/>
    <mergeCell ref="C32:G37"/>
  </mergeCells>
  <dataValidations count="3">
    <dataValidation type="list" allowBlank="1" showInputMessage="1" showErrorMessage="1" sqref="J12:J14 J16 J19 J23:J26" xr:uid="{62930C81-9BA6-41E7-B31D-4D1ECAC89BA2}">
      <formula1>"Primary material production, Closed-loop"</formula1>
    </dataValidation>
    <dataValidation type="list" allowBlank="1" showInputMessage="1" showErrorMessage="1" sqref="J17" xr:uid="{C91978D2-F836-43E5-AEB5-D49988ADF3D9}">
      <formula1>"Primary material production, Re-used"</formula1>
    </dataValidation>
    <dataValidation type="list" allowBlank="1" showInputMessage="1" showErrorMessage="1" sqref="J18" xr:uid="{F1CA1184-6EAC-4603-A51D-93DA4F22A2A5}">
      <formula1>"Primary material production, Re-used, Closed-loop"</formula1>
    </dataValidation>
  </dataValidations>
  <hyperlinks>
    <hyperlink ref="I65" r:id="rId1" display="https://www.co2everything.com/" xr:uid="{6A708C55-C684-4933-B63A-4C7DC856B443}"/>
  </hyperlinks>
  <pageMargins left="0.7" right="0.7" top="0.75" bottom="0.75" header="0.3" footer="0.3"/>
  <pageSetup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50B5-A458-47E8-A4A8-B6E14A94324F}">
  <sheetPr codeName="Sheet8"/>
  <dimension ref="A1:T85"/>
  <sheetViews>
    <sheetView topLeftCell="A7" zoomScaleNormal="100" workbookViewId="0">
      <selection activeCell="J13" sqref="J13"/>
    </sheetView>
  </sheetViews>
  <sheetFormatPr defaultColWidth="0" defaultRowHeight="14.55" customHeight="1" zeroHeight="1"/>
  <cols>
    <col min="1" max="3" width="3.6640625" customWidth="1"/>
    <col min="4" max="7" width="5.6640625" customWidth="1"/>
    <col min="8" max="8" width="3.6640625" customWidth="1"/>
    <col min="9" max="9" width="25.6640625" customWidth="1"/>
    <col min="10" max="12" width="11.6640625" customWidth="1"/>
    <col min="13" max="13" width="14.6640625" customWidth="1"/>
    <col min="14" max="15" width="3.6640625" customWidth="1"/>
    <col min="16" max="17" width="16.6640625" hidden="1" customWidth="1"/>
    <col min="18" max="18" width="8.77734375" hidden="1" customWidth="1"/>
    <col min="19" max="20" width="10.6640625" hidden="1" customWidth="1"/>
    <col min="21" max="16384" width="8.77734375" hidden="1"/>
  </cols>
  <sheetData>
    <row r="1" spans="1:20" ht="25.2" customHeight="1">
      <c r="A1" s="9"/>
      <c r="B1" s="9"/>
      <c r="C1" s="9"/>
      <c r="D1" s="9"/>
      <c r="E1" s="9"/>
      <c r="F1" s="9"/>
      <c r="G1" s="9"/>
      <c r="H1" s="9"/>
      <c r="I1" s="9"/>
      <c r="J1" s="9"/>
      <c r="K1" s="9"/>
      <c r="L1" s="9"/>
      <c r="M1" s="9"/>
      <c r="N1" s="9"/>
      <c r="O1" s="9"/>
    </row>
    <row r="2" spans="1:20" ht="25.2" customHeight="1">
      <c r="A2" s="9"/>
      <c r="B2" s="116" t="s">
        <v>0</v>
      </c>
      <c r="C2" s="450" t="s">
        <v>1</v>
      </c>
      <c r="D2" s="450"/>
      <c r="E2" s="450"/>
      <c r="F2" s="450"/>
      <c r="G2" s="450"/>
      <c r="H2" s="450"/>
      <c r="I2" s="354" t="str">
        <f>+'WSA-CC-Energy'!I2</f>
        <v>Carbon Calculator-2024</v>
      </c>
      <c r="J2" s="9"/>
      <c r="K2" s="9"/>
      <c r="L2" s="9"/>
      <c r="M2" s="9"/>
      <c r="N2" s="9"/>
      <c r="O2" s="9"/>
    </row>
    <row r="3" spans="1:20" ht="25.2" customHeight="1">
      <c r="A3" s="9"/>
      <c r="B3" s="9"/>
      <c r="D3" s="9"/>
      <c r="E3" s="9"/>
      <c r="F3" s="9"/>
      <c r="G3" s="9"/>
      <c r="H3" s="9"/>
      <c r="I3" s="9"/>
      <c r="J3" s="9"/>
      <c r="K3" s="9"/>
      <c r="L3" s="9"/>
      <c r="M3" s="9"/>
      <c r="N3" s="9"/>
      <c r="O3" s="9"/>
    </row>
    <row r="4" spans="1:20" ht="15" customHeight="1">
      <c r="A4" s="9"/>
      <c r="B4" s="451" t="s">
        <v>38</v>
      </c>
      <c r="C4" s="451"/>
      <c r="D4" s="451"/>
      <c r="E4" s="9"/>
      <c r="F4" s="259" t="str">
        <f>+'WSA-CC-Energy'!F4</f>
        <v>Click here to type once to automatically fill the rest</v>
      </c>
      <c r="G4" s="117"/>
      <c r="H4" s="117"/>
      <c r="I4" s="117"/>
      <c r="J4" s="9"/>
      <c r="K4" s="118" t="s">
        <v>40</v>
      </c>
      <c r="L4" s="119" t="str">
        <f>+'WSA-CC-Energy'!L4</f>
        <v>Click here to Type</v>
      </c>
      <c r="M4" s="119"/>
      <c r="N4" s="9"/>
      <c r="O4" s="9"/>
    </row>
    <row r="5" spans="1:20" ht="15" customHeight="1">
      <c r="A5" s="9"/>
      <c r="B5" s="451"/>
      <c r="C5" s="451"/>
      <c r="D5" s="451"/>
      <c r="E5" s="9"/>
      <c r="F5" s="258"/>
      <c r="G5" s="9"/>
      <c r="H5" s="9"/>
      <c r="I5" s="9"/>
      <c r="J5" s="9"/>
      <c r="K5" s="9"/>
      <c r="L5" s="9"/>
      <c r="M5" s="9"/>
      <c r="N5" s="9"/>
      <c r="O5" s="9"/>
    </row>
    <row r="6" spans="1:20" ht="15" customHeight="1">
      <c r="A6" s="9"/>
      <c r="B6" s="451"/>
      <c r="C6" s="451"/>
      <c r="D6" s="451"/>
      <c r="E6" s="9"/>
      <c r="F6" s="258"/>
      <c r="G6" s="9"/>
      <c r="H6" s="9"/>
      <c r="I6" s="9"/>
      <c r="J6" s="9"/>
      <c r="K6" s="9"/>
      <c r="L6" s="9"/>
      <c r="M6" s="9"/>
      <c r="N6" s="9"/>
      <c r="O6" s="9"/>
    </row>
    <row r="7" spans="1:20" ht="15" customHeight="1" thickBot="1">
      <c r="A7" s="9"/>
      <c r="B7" s="9"/>
      <c r="C7" s="9"/>
      <c r="D7" s="9"/>
      <c r="E7" s="9"/>
      <c r="F7" s="9"/>
      <c r="G7" s="9"/>
      <c r="H7" s="9"/>
      <c r="I7" s="152"/>
      <c r="J7" s="9"/>
      <c r="K7" s="9"/>
      <c r="L7" s="9"/>
      <c r="M7" s="9"/>
      <c r="N7" s="9"/>
      <c r="O7" s="9"/>
    </row>
    <row r="8" spans="1:20" ht="23.4">
      <c r="A8" s="9"/>
      <c r="B8" s="120"/>
      <c r="C8" s="121" t="s">
        <v>178</v>
      </c>
      <c r="D8" s="121"/>
      <c r="E8" s="121"/>
      <c r="F8" s="121"/>
      <c r="G8" s="121"/>
      <c r="H8" s="121"/>
      <c r="I8" s="121"/>
      <c r="J8" s="121"/>
      <c r="K8" s="121"/>
      <c r="L8" s="121"/>
      <c r="M8" s="122" t="s">
        <v>179</v>
      </c>
      <c r="N8" s="123"/>
      <c r="O8" s="9"/>
    </row>
    <row r="9" spans="1:20" ht="14.4">
      <c r="A9" s="9"/>
      <c r="B9" s="124"/>
      <c r="C9" s="9"/>
      <c r="D9" s="9"/>
      <c r="E9" s="9"/>
      <c r="F9" s="9"/>
      <c r="G9" s="9"/>
      <c r="H9" s="9"/>
      <c r="I9" s="9"/>
      <c r="J9" s="9"/>
      <c r="K9" s="9"/>
      <c r="L9" s="9"/>
      <c r="M9" s="9"/>
      <c r="N9" s="125"/>
      <c r="O9" s="9"/>
    </row>
    <row r="10" spans="1:20" ht="45" customHeight="1">
      <c r="A10" s="9"/>
      <c r="B10" s="124"/>
      <c r="C10" s="444" t="s">
        <v>493</v>
      </c>
      <c r="D10" s="444"/>
      <c r="E10" s="444"/>
      <c r="F10" s="444"/>
      <c r="G10" s="444"/>
      <c r="H10" s="444"/>
      <c r="I10" s="444"/>
      <c r="J10" s="444"/>
      <c r="K10" s="444"/>
      <c r="L10" s="444"/>
      <c r="M10" s="444"/>
      <c r="N10" s="125"/>
      <c r="O10" s="9"/>
    </row>
    <row r="11" spans="1:20" ht="15" thickBot="1">
      <c r="A11" s="9"/>
      <c r="B11" s="124"/>
      <c r="C11" s="9"/>
      <c r="D11" s="9"/>
      <c r="E11" s="9"/>
      <c r="F11" s="9"/>
      <c r="G11" s="9"/>
      <c r="H11" s="9"/>
      <c r="I11" s="9"/>
      <c r="J11" s="9"/>
      <c r="K11" s="9"/>
      <c r="L11" s="9"/>
      <c r="M11" s="9"/>
      <c r="N11" s="125"/>
      <c r="O11" s="9"/>
      <c r="P11" s="164"/>
      <c r="Q11" s="164"/>
      <c r="R11" s="164"/>
      <c r="S11" s="164"/>
      <c r="T11" s="164"/>
    </row>
    <row r="12" spans="1:20" ht="29.4" thickBot="1">
      <c r="A12" s="9"/>
      <c r="B12" s="124"/>
      <c r="C12" s="126" t="s">
        <v>52</v>
      </c>
      <c r="D12" s="9"/>
      <c r="E12" s="127"/>
      <c r="F12" s="127"/>
      <c r="G12" s="127"/>
      <c r="H12" s="9"/>
      <c r="I12" s="128" t="s">
        <v>180</v>
      </c>
      <c r="J12" s="483" t="s">
        <v>181</v>
      </c>
      <c r="K12" s="481"/>
      <c r="L12" s="130" t="s">
        <v>182</v>
      </c>
      <c r="M12" s="131" t="s">
        <v>50</v>
      </c>
      <c r="N12" s="125"/>
      <c r="O12" s="9" t="s">
        <v>51</v>
      </c>
      <c r="P12" s="187" t="s">
        <v>183</v>
      </c>
      <c r="Q12" s="187" t="s">
        <v>181</v>
      </c>
      <c r="R12" s="187" t="s">
        <v>119</v>
      </c>
      <c r="S12" s="165" t="s">
        <v>120</v>
      </c>
      <c r="T12" s="165" t="s">
        <v>121</v>
      </c>
    </row>
    <row r="13" spans="1:20" ht="15" customHeight="1" thickBot="1">
      <c r="A13" s="9"/>
      <c r="B13" s="124"/>
      <c r="C13" s="484" t="s">
        <v>6</v>
      </c>
      <c r="D13" s="442" t="s">
        <v>184</v>
      </c>
      <c r="E13" s="442"/>
      <c r="F13" s="442"/>
      <c r="G13" s="442"/>
      <c r="H13" s="9"/>
      <c r="I13" s="132" t="s">
        <v>185</v>
      </c>
      <c r="J13" s="77"/>
      <c r="K13" s="134"/>
      <c r="L13" s="377"/>
      <c r="M13" s="135">
        <f>+'Carbon Calculator-All'!K77</f>
        <v>0</v>
      </c>
      <c r="N13" s="125"/>
      <c r="O13" s="9"/>
      <c r="P13" s="166" t="s">
        <v>186</v>
      </c>
      <c r="Q13" s="166" t="s">
        <v>128</v>
      </c>
      <c r="R13" s="167" t="str">
        <f>IF(AND(I14="Soil",J14="Closed-loop"),L14,"0")</f>
        <v>0</v>
      </c>
      <c r="S13" s="188" cm="1">
        <f t="array" ref="S13:S14">+'GHG conversion factor'!D35:D36</f>
        <v>0.18573999999999999</v>
      </c>
      <c r="T13" s="169">
        <f>(R13/1000)*S13</f>
        <v>0</v>
      </c>
    </row>
    <row r="14" spans="1:20" ht="15" customHeight="1" thickBot="1">
      <c r="A14" s="9"/>
      <c r="B14" s="124"/>
      <c r="C14" s="484"/>
      <c r="D14" s="442"/>
      <c r="E14" s="442"/>
      <c r="F14" s="442"/>
      <c r="G14" s="442"/>
      <c r="H14" s="9"/>
      <c r="I14" s="431" t="s">
        <v>186</v>
      </c>
      <c r="J14" s="108"/>
      <c r="K14" s="138"/>
      <c r="L14" s="379"/>
      <c r="M14" s="139" t="str">
        <f>IF(AND(I14="Soil",J14="Closed-loop"),T13,IF(J14="Landfill",T14,"0.00"))</f>
        <v>0.00</v>
      </c>
      <c r="N14" s="125"/>
      <c r="O14" s="9"/>
      <c r="P14" s="166" t="s">
        <v>186</v>
      </c>
      <c r="Q14" s="166" t="s">
        <v>187</v>
      </c>
      <c r="R14" s="167" t="str">
        <f>IF(AND(I14="Soil",J14="Landfill"),L14,"0")</f>
        <v>0</v>
      </c>
      <c r="S14" s="188">
        <v>0.98485</v>
      </c>
      <c r="T14" s="169">
        <f>(R14/1000)*S14</f>
        <v>0</v>
      </c>
    </row>
    <row r="15" spans="1:20" ht="15" customHeight="1" thickBot="1">
      <c r="A15" s="9"/>
      <c r="B15" s="124"/>
      <c r="C15" s="484" t="s">
        <v>10</v>
      </c>
      <c r="D15" s="442" t="s">
        <v>188</v>
      </c>
      <c r="E15" s="442"/>
      <c r="F15" s="442"/>
      <c r="G15" s="442"/>
      <c r="H15" s="9"/>
      <c r="I15" s="432" t="s">
        <v>139</v>
      </c>
      <c r="J15" s="183"/>
      <c r="K15" s="134"/>
      <c r="L15" s="377"/>
      <c r="M15" s="140" t="str">
        <f>IF(AND(I15="Plasterboard",J15="Closed-loop"),T15,IF(J15="Landfill",T16,"0.00"))</f>
        <v>0.00</v>
      </c>
      <c r="N15" s="125"/>
      <c r="O15" s="9"/>
      <c r="P15" s="166" t="s">
        <v>139</v>
      </c>
      <c r="Q15" s="166" t="s">
        <v>128</v>
      </c>
      <c r="R15" s="167" t="str">
        <f>IF(AND(I15="Plasterboard",J15="Closed-loop"),L15,"0")</f>
        <v>0</v>
      </c>
      <c r="S15" s="168" cm="1">
        <f t="array" ref="S15:S16">+'GHG conversion factor'!D38:D39</f>
        <v>6.4106100000000001</v>
      </c>
      <c r="T15" s="169">
        <f t="shared" ref="T15:T23" si="0">(R15/1000)*S15</f>
        <v>0</v>
      </c>
    </row>
    <row r="16" spans="1:20" ht="15" customHeight="1" thickBot="1">
      <c r="A16" s="9"/>
      <c r="B16" s="124"/>
      <c r="C16" s="484"/>
      <c r="D16" s="442"/>
      <c r="E16" s="442"/>
      <c r="F16" s="442"/>
      <c r="G16" s="442"/>
      <c r="H16" s="9"/>
      <c r="I16" s="136" t="s">
        <v>144</v>
      </c>
      <c r="J16" s="108"/>
      <c r="K16" s="138"/>
      <c r="L16" s="379"/>
      <c r="M16" s="139">
        <f>+'Carbon Calculator-All'!K82</f>
        <v>0</v>
      </c>
      <c r="N16" s="125"/>
      <c r="O16" s="9"/>
      <c r="P16" s="166" t="s">
        <v>139</v>
      </c>
      <c r="Q16" s="166" t="s">
        <v>187</v>
      </c>
      <c r="R16" s="167" t="str">
        <f>IF(AND(I15="Plasterboard",J15="Landfill"),L15,"0")</f>
        <v>0</v>
      </c>
      <c r="S16" s="170">
        <v>71.95</v>
      </c>
      <c r="T16" s="169">
        <f t="shared" si="0"/>
        <v>0</v>
      </c>
    </row>
    <row r="17" spans="1:20" ht="15" customHeight="1" thickBot="1">
      <c r="A17" s="9"/>
      <c r="B17" s="124"/>
      <c r="C17" s="157"/>
      <c r="D17" s="442"/>
      <c r="E17" s="442"/>
      <c r="F17" s="442"/>
      <c r="G17" s="442"/>
      <c r="H17" s="9"/>
      <c r="I17" s="132" t="s">
        <v>147</v>
      </c>
      <c r="J17" s="77"/>
      <c r="K17" s="134"/>
      <c r="L17" s="377"/>
      <c r="M17" s="144" t="str">
        <f>IF(J17="Closed-loop",T17,IF(J17="Combustion",T18,IF(J17="Composting",T19,IF(J17="Landfill",T20,"0.00"))))</f>
        <v>0.00</v>
      </c>
      <c r="N17" s="125"/>
      <c r="O17" s="9"/>
      <c r="P17" s="166" t="s">
        <v>147</v>
      </c>
      <c r="Q17" s="166" t="s">
        <v>128</v>
      </c>
      <c r="R17" s="167" t="str">
        <f>IF(J17="Closed-loop", L17, "0")</f>
        <v>0</v>
      </c>
      <c r="S17" s="170" cm="1">
        <f t="array" ref="S17:S20">+'GHG conversion factor'!D41:D44</f>
        <v>6.4106100000000001</v>
      </c>
      <c r="T17" s="169">
        <f t="shared" si="0"/>
        <v>0</v>
      </c>
    </row>
    <row r="18" spans="1:20" ht="15" customHeight="1" thickBot="1">
      <c r="A18" s="9"/>
      <c r="B18" s="124"/>
      <c r="C18" s="126" t="s">
        <v>135</v>
      </c>
      <c r="D18" s="141"/>
      <c r="E18" s="141"/>
      <c r="F18" s="141"/>
      <c r="G18" s="141"/>
      <c r="H18" s="9"/>
      <c r="I18" s="136" t="s">
        <v>189</v>
      </c>
      <c r="J18" s="185"/>
      <c r="K18" s="138"/>
      <c r="L18" s="379"/>
      <c r="M18" s="139" t="str">
        <f>IF(J18="Closed-loop",T21,IF(J18="Combustion",T22,IF(J18="Composting",T23,IF(J18="Landfill",T24,"0.00"))))</f>
        <v>0.00</v>
      </c>
      <c r="N18" s="125"/>
      <c r="O18" s="9"/>
      <c r="P18" s="166" t="s">
        <v>147</v>
      </c>
      <c r="Q18" s="166" t="s">
        <v>190</v>
      </c>
      <c r="R18" s="167" t="str">
        <f>IF(J17="Combustion", L17, "0")</f>
        <v>0</v>
      </c>
      <c r="S18" s="171">
        <v>6.4106100000000001</v>
      </c>
      <c r="T18" s="169">
        <f t="shared" si="0"/>
        <v>0</v>
      </c>
    </row>
    <row r="19" spans="1:20" ht="15" thickBot="1">
      <c r="A19" s="9"/>
      <c r="B19" s="124"/>
      <c r="C19" s="485" t="s">
        <v>494</v>
      </c>
      <c r="D19" s="447"/>
      <c r="E19" s="447"/>
      <c r="F19" s="447"/>
      <c r="G19" s="447"/>
      <c r="H19" s="9"/>
      <c r="I19" s="132" t="s">
        <v>151</v>
      </c>
      <c r="J19" s="77"/>
      <c r="K19" s="134"/>
      <c r="L19" s="377"/>
      <c r="M19" s="140" t="str">
        <f>IF(J19="Open-loop",T25,IF(J19="Closed-loop",T26,IF(J19="Combustion",T27,IF(J19="Landfill",T28,"0.00"))))</f>
        <v>0.00</v>
      </c>
      <c r="N19" s="125"/>
      <c r="O19" s="9"/>
      <c r="P19" s="166" t="s">
        <v>147</v>
      </c>
      <c r="Q19" s="166" t="s">
        <v>191</v>
      </c>
      <c r="R19" s="167" t="str">
        <f>IF(J17="Composting", L17, "0")</f>
        <v>0</v>
      </c>
      <c r="S19" s="170">
        <v>8.8838600000000003</v>
      </c>
      <c r="T19" s="169">
        <f t="shared" si="0"/>
        <v>0</v>
      </c>
    </row>
    <row r="20" spans="1:20" ht="15" customHeight="1" thickBot="1">
      <c r="A20" s="9"/>
      <c r="B20" s="124"/>
      <c r="C20" s="447"/>
      <c r="D20" s="447"/>
      <c r="E20" s="447"/>
      <c r="F20" s="447"/>
      <c r="G20" s="447"/>
      <c r="H20" s="9"/>
      <c r="I20" s="136" t="s">
        <v>192</v>
      </c>
      <c r="J20" s="108"/>
      <c r="K20" s="138"/>
      <c r="L20" s="379"/>
      <c r="M20" s="139" t="str">
        <f>IF(J20="Closed-loop",T29,IF(J20="Combustion",T30,IF(J20="Landfill",T31,"0.00")))</f>
        <v>0.00</v>
      </c>
      <c r="N20" s="125"/>
      <c r="O20" s="9"/>
      <c r="P20" s="166" t="s">
        <v>147</v>
      </c>
      <c r="Q20" s="166" t="s">
        <v>187</v>
      </c>
      <c r="R20" s="167" t="str">
        <f>IF(J17="Landfill", L17, "0")</f>
        <v>0</v>
      </c>
      <c r="S20" s="170">
        <v>925.24423000000002</v>
      </c>
      <c r="T20" s="169">
        <f t="shared" si="0"/>
        <v>0</v>
      </c>
    </row>
    <row r="21" spans="1:20" ht="15" thickBot="1">
      <c r="A21" s="9"/>
      <c r="B21" s="124"/>
      <c r="C21" s="447"/>
      <c r="D21" s="447"/>
      <c r="E21" s="447"/>
      <c r="F21" s="447"/>
      <c r="G21" s="447"/>
      <c r="H21" s="9"/>
      <c r="I21" s="142" t="s">
        <v>193</v>
      </c>
      <c r="J21" s="87"/>
      <c r="K21" s="143"/>
      <c r="L21" s="377"/>
      <c r="M21" s="144" t="str">
        <f>IF(J21="Combustion", T32, IF(J21="Landfill", T33, "0.00"))</f>
        <v>0.00</v>
      </c>
      <c r="N21" s="125"/>
      <c r="O21" s="9"/>
      <c r="P21" s="166" t="s">
        <v>189</v>
      </c>
      <c r="Q21" s="166" t="s">
        <v>128</v>
      </c>
      <c r="R21" s="167" t="str">
        <f>IF(J18="Closed-loop", L18, "0")</f>
        <v>0</v>
      </c>
      <c r="S21" s="170" cm="1">
        <f t="array" ref="S21:S24">+'GHG conversion factor'!D45:D48</f>
        <v>6.4106100000000001</v>
      </c>
      <c r="T21" s="169">
        <f t="shared" si="0"/>
        <v>0</v>
      </c>
    </row>
    <row r="22" spans="1:20" ht="15" thickBot="1">
      <c r="A22" s="9"/>
      <c r="B22" s="124"/>
      <c r="C22" s="447"/>
      <c r="D22" s="447"/>
      <c r="E22" s="447"/>
      <c r="F22" s="447"/>
      <c r="G22" s="447"/>
      <c r="H22" s="9"/>
      <c r="I22" s="136" t="s">
        <v>194</v>
      </c>
      <c r="J22" s="108"/>
      <c r="K22" s="138"/>
      <c r="L22" s="379"/>
      <c r="M22" s="139" t="str">
        <f>IF(J22="Combustion",T34,IF(J22="Composting",T35,IF(J22="Landfill",T36,"0.00")))</f>
        <v>0.00</v>
      </c>
      <c r="N22" s="125"/>
      <c r="O22" s="9"/>
      <c r="P22" s="166" t="s">
        <v>189</v>
      </c>
      <c r="Q22" s="166" t="s">
        <v>190</v>
      </c>
      <c r="R22" s="167" t="str">
        <f>IF(J18="Combustion", L18, "0")</f>
        <v>0</v>
      </c>
      <c r="S22" s="170">
        <v>6.4106100000000001</v>
      </c>
      <c r="T22" s="169">
        <f t="shared" si="0"/>
        <v>0</v>
      </c>
    </row>
    <row r="23" spans="1:20" ht="15" thickBot="1">
      <c r="A23" s="9"/>
      <c r="B23" s="124"/>
      <c r="C23" s="447"/>
      <c r="D23" s="447"/>
      <c r="E23" s="447"/>
      <c r="F23" s="447"/>
      <c r="G23" s="447"/>
      <c r="H23" s="9"/>
      <c r="I23" s="132" t="s">
        <v>195</v>
      </c>
      <c r="J23" s="77"/>
      <c r="K23" s="134"/>
      <c r="L23" s="377"/>
      <c r="M23" s="140" t="str">
        <f>IF(J23="Combustion", T37, IF(J23="Landfill", T38, "0.00"))</f>
        <v>0.00</v>
      </c>
      <c r="N23" s="125"/>
      <c r="O23" s="9"/>
      <c r="P23" s="166" t="s">
        <v>189</v>
      </c>
      <c r="Q23" s="166" t="s">
        <v>191</v>
      </c>
      <c r="R23" s="167" t="str">
        <f>IF(J18="Composting", L18, "0")</f>
        <v>0</v>
      </c>
      <c r="S23" s="168">
        <v>8.8838600000000003</v>
      </c>
      <c r="T23" s="169">
        <f t="shared" si="0"/>
        <v>0</v>
      </c>
    </row>
    <row r="24" spans="1:20" ht="15" thickBot="1">
      <c r="A24" s="9"/>
      <c r="B24" s="124"/>
      <c r="C24" s="447"/>
      <c r="D24" s="447"/>
      <c r="E24" s="447"/>
      <c r="F24" s="447"/>
      <c r="G24" s="447"/>
      <c r="H24" s="9"/>
      <c r="I24" s="145" t="s">
        <v>196</v>
      </c>
      <c r="J24" s="108"/>
      <c r="K24" s="146"/>
      <c r="L24" s="379"/>
      <c r="M24" s="139" t="str">
        <f>IF(J24="Open/ Closed-loop/ Combustion", T39, IF(J24="Landfill", T40, "0.00"))</f>
        <v>0.00</v>
      </c>
      <c r="N24" s="125"/>
      <c r="O24" s="9"/>
      <c r="P24" s="166" t="s">
        <v>189</v>
      </c>
      <c r="Q24" s="166" t="s">
        <v>187</v>
      </c>
      <c r="R24" s="167" t="str">
        <f>IF(J18="Landfill", L18, "0")</f>
        <v>0</v>
      </c>
      <c r="S24" s="172">
        <v>1164.3901499999999</v>
      </c>
      <c r="T24" s="169">
        <f>(R24/1000)*S24</f>
        <v>0</v>
      </c>
    </row>
    <row r="25" spans="1:20" ht="15" thickBot="1">
      <c r="A25" s="9"/>
      <c r="B25" s="124"/>
      <c r="C25" s="447"/>
      <c r="D25" s="447"/>
      <c r="E25" s="447"/>
      <c r="F25" s="447"/>
      <c r="G25" s="447"/>
      <c r="H25" s="9"/>
      <c r="I25" s="132" t="s">
        <v>197</v>
      </c>
      <c r="J25" s="87"/>
      <c r="K25" s="134"/>
      <c r="L25" s="377"/>
      <c r="M25" s="140" t="str">
        <f>IF(J25="Open/ Closed-loop/ Combustion", T41, IF(J25="Landfill", T42, "0.00"))</f>
        <v>0.00</v>
      </c>
      <c r="N25" s="125"/>
      <c r="O25" s="9"/>
      <c r="P25" s="189" t="s">
        <v>151</v>
      </c>
      <c r="Q25" s="166" t="s">
        <v>198</v>
      </c>
      <c r="R25" s="167" t="str">
        <f>IF(J19="Open-loop", L19, "0")</f>
        <v>0</v>
      </c>
      <c r="S25" s="172" cm="1">
        <f t="array" ref="S25:S28">+'GHG conversion factor'!D49:D52</f>
        <v>6.4106100000000001</v>
      </c>
      <c r="T25" s="169">
        <f>(R25/1000)*S25</f>
        <v>0</v>
      </c>
    </row>
    <row r="26" spans="1:20" ht="15" thickBot="1">
      <c r="A26" s="9"/>
      <c r="B26" s="124"/>
      <c r="C26" s="447"/>
      <c r="D26" s="447"/>
      <c r="E26" s="447"/>
      <c r="F26" s="447"/>
      <c r="G26" s="447"/>
      <c r="H26" s="9"/>
      <c r="I26" s="145" t="s">
        <v>199</v>
      </c>
      <c r="J26" s="108"/>
      <c r="K26" s="138"/>
      <c r="L26" s="379"/>
      <c r="M26" s="139" t="str">
        <f>IF(J26="Closed-loop/ Combustion",T43,IF(J26="Composting",T44,IF(J26="Landfill",T45,"0.00")))</f>
        <v>0.00</v>
      </c>
      <c r="N26" s="125"/>
      <c r="O26" s="9"/>
      <c r="P26" s="189" t="s">
        <v>151</v>
      </c>
      <c r="Q26" s="166" t="s">
        <v>128</v>
      </c>
      <c r="R26" s="167" t="str">
        <f>IF(J19="Closed-loop", L19, "0")</f>
        <v>0</v>
      </c>
      <c r="S26" s="174">
        <v>6.4106100000000001</v>
      </c>
      <c r="T26" s="169">
        <f>(R26/1000)*S26</f>
        <v>0</v>
      </c>
    </row>
    <row r="27" spans="1:20" ht="18.600000000000001" thickBot="1">
      <c r="A27" s="9"/>
      <c r="B27" s="124"/>
      <c r="C27" s="447"/>
      <c r="D27" s="447"/>
      <c r="E27" s="447"/>
      <c r="F27" s="447"/>
      <c r="G27" s="447"/>
      <c r="H27" s="9"/>
      <c r="I27" s="476" t="s">
        <v>57</v>
      </c>
      <c r="J27" s="477"/>
      <c r="K27" s="477"/>
      <c r="L27" s="478"/>
      <c r="M27" s="147">
        <f>SUM(M13:M26)</f>
        <v>0</v>
      </c>
      <c r="N27" s="125"/>
      <c r="O27" s="9"/>
      <c r="P27" s="189" t="s">
        <v>151</v>
      </c>
      <c r="Q27" s="166" t="s">
        <v>190</v>
      </c>
      <c r="R27" s="167" t="str">
        <f>IF(J19="Combustion", L19, "0")</f>
        <v>0</v>
      </c>
      <c r="S27" s="174">
        <v>6.4106100000000001</v>
      </c>
      <c r="T27" s="169">
        <f>(R27/1000)*S27</f>
        <v>0</v>
      </c>
    </row>
    <row r="28" spans="1:20" ht="15" customHeight="1">
      <c r="A28" s="9"/>
      <c r="B28" s="124"/>
      <c r="C28" s="9"/>
      <c r="D28" s="148"/>
      <c r="E28" s="9"/>
      <c r="F28" s="9"/>
      <c r="G28" s="9"/>
      <c r="H28" s="9"/>
      <c r="I28" s="149"/>
      <c r="J28" s="149"/>
      <c r="K28" s="149"/>
      <c r="L28" s="149"/>
      <c r="M28" s="150"/>
      <c r="N28" s="125"/>
      <c r="O28" s="9"/>
      <c r="P28" s="189" t="s">
        <v>151</v>
      </c>
      <c r="Q28" s="166" t="s">
        <v>187</v>
      </c>
      <c r="R28" s="167" t="str">
        <f>IF(J19="Landfill", L19, "0")</f>
        <v>0</v>
      </c>
      <c r="S28" s="190">
        <v>8.8838600000000003</v>
      </c>
      <c r="T28" s="169">
        <f t="shared" ref="T28:T45" si="1">(R28/1000)*S28</f>
        <v>0</v>
      </c>
    </row>
    <row r="29" spans="1:20" ht="15" customHeight="1">
      <c r="A29" s="9"/>
      <c r="B29" s="124"/>
      <c r="C29" s="9"/>
      <c r="D29" s="148"/>
      <c r="E29" s="9"/>
      <c r="F29" s="9"/>
      <c r="G29" s="9"/>
      <c r="H29" s="9"/>
      <c r="I29" s="149"/>
      <c r="J29" s="149"/>
      <c r="K29" s="149"/>
      <c r="L29" s="149"/>
      <c r="M29" s="150"/>
      <c r="N29" s="125"/>
      <c r="O29" s="9"/>
      <c r="P29" s="173" t="s">
        <v>192</v>
      </c>
      <c r="Q29" s="166" t="s">
        <v>128</v>
      </c>
      <c r="R29" s="167" t="str">
        <f>IF(J20="Closed-loop", L20, "0")</f>
        <v>0</v>
      </c>
      <c r="S29" s="190" cm="1">
        <f t="array" ref="S29:S31">+'GHG conversion factor'!D53:D55</f>
        <v>6.4106100000000001</v>
      </c>
      <c r="T29" s="169">
        <f t="shared" si="1"/>
        <v>0</v>
      </c>
    </row>
    <row r="30" spans="1:20" ht="15" customHeight="1">
      <c r="A30" s="9"/>
      <c r="B30" s="124"/>
      <c r="C30" s="9"/>
      <c r="D30" s="148"/>
      <c r="E30" s="9"/>
      <c r="F30" s="9"/>
      <c r="G30" s="9"/>
      <c r="H30" s="9"/>
      <c r="I30" s="149"/>
      <c r="J30" s="149"/>
      <c r="K30" s="149"/>
      <c r="L30" s="149"/>
      <c r="M30" s="150"/>
      <c r="N30" s="125"/>
      <c r="O30" s="9"/>
      <c r="P30" s="173" t="s">
        <v>192</v>
      </c>
      <c r="Q30" s="166" t="s">
        <v>190</v>
      </c>
      <c r="R30" s="167" t="str">
        <f>IF(J20="Combustion", L20, "0")</f>
        <v>0</v>
      </c>
      <c r="S30" s="175">
        <v>6.4106100000000001</v>
      </c>
      <c r="T30" s="169">
        <f t="shared" si="1"/>
        <v>0</v>
      </c>
    </row>
    <row r="31" spans="1:20" ht="15" customHeight="1">
      <c r="A31" s="9"/>
      <c r="B31" s="124"/>
      <c r="C31" s="9"/>
      <c r="D31" s="148"/>
      <c r="E31" s="9"/>
      <c r="F31" s="9"/>
      <c r="G31" s="9"/>
      <c r="H31" s="9"/>
      <c r="I31" s="149"/>
      <c r="J31" s="149"/>
      <c r="K31" s="149"/>
      <c r="L31" s="149"/>
      <c r="M31" s="150"/>
      <c r="N31" s="125"/>
      <c r="O31" s="9"/>
      <c r="P31" s="173" t="s">
        <v>192</v>
      </c>
      <c r="Q31" s="166" t="s">
        <v>187</v>
      </c>
      <c r="R31" s="167" t="str">
        <f>IF(J20="Landfill", L20, "0")</f>
        <v>0</v>
      </c>
      <c r="S31" s="175">
        <v>496.68302999999997</v>
      </c>
      <c r="T31" s="169">
        <f t="shared" si="1"/>
        <v>0</v>
      </c>
    </row>
    <row r="32" spans="1:20" ht="15" customHeight="1">
      <c r="A32" s="9"/>
      <c r="B32" s="124"/>
      <c r="C32" s="9"/>
      <c r="D32" s="148"/>
      <c r="E32" s="9"/>
      <c r="F32" s="9"/>
      <c r="G32" s="9"/>
      <c r="H32" s="9"/>
      <c r="I32" s="149"/>
      <c r="J32" s="149"/>
      <c r="K32" s="149"/>
      <c r="L32" s="149"/>
      <c r="M32" s="150"/>
      <c r="N32" s="125"/>
      <c r="O32" s="9"/>
      <c r="P32" s="173" t="s">
        <v>200</v>
      </c>
      <c r="Q32" s="166" t="s">
        <v>190</v>
      </c>
      <c r="R32" s="167" t="str">
        <f>IF(J21="Combustion", L21, "0")</f>
        <v>0</v>
      </c>
      <c r="S32" s="175" cm="1">
        <f t="array" ref="S32:S33">+'GHG conversion factor'!D56:D57</f>
        <v>6.4106100000000001</v>
      </c>
      <c r="T32" s="169">
        <f t="shared" si="1"/>
        <v>0</v>
      </c>
    </row>
    <row r="33" spans="1:20" ht="15" customHeight="1">
      <c r="A33" s="9"/>
      <c r="B33" s="124"/>
      <c r="C33" s="9"/>
      <c r="D33" s="148"/>
      <c r="E33" s="9"/>
      <c r="F33" s="9"/>
      <c r="G33" s="9"/>
      <c r="H33" s="9"/>
      <c r="I33" s="149"/>
      <c r="J33" s="149"/>
      <c r="K33" s="149"/>
      <c r="L33" s="149"/>
      <c r="M33" s="150"/>
      <c r="N33" s="125"/>
      <c r="O33" s="9"/>
      <c r="P33" s="173" t="s">
        <v>200</v>
      </c>
      <c r="Q33" s="166" t="s">
        <v>187</v>
      </c>
      <c r="R33" s="167" t="str">
        <f>IF(J21="Landfill", L21, "0")</f>
        <v>0</v>
      </c>
      <c r="S33" s="175">
        <v>497.04415999999998</v>
      </c>
      <c r="T33" s="169">
        <f t="shared" si="1"/>
        <v>0</v>
      </c>
    </row>
    <row r="34" spans="1:20" ht="15" customHeight="1">
      <c r="A34" s="9"/>
      <c r="B34" s="124"/>
      <c r="C34" s="9"/>
      <c r="D34" s="148"/>
      <c r="E34" s="9"/>
      <c r="F34" s="9"/>
      <c r="G34" s="9"/>
      <c r="H34" s="9"/>
      <c r="I34" s="149"/>
      <c r="J34" s="149"/>
      <c r="K34" s="149"/>
      <c r="L34" s="149"/>
      <c r="M34" s="150"/>
      <c r="N34" s="125"/>
      <c r="O34" s="9"/>
      <c r="P34" s="173" t="s">
        <v>194</v>
      </c>
      <c r="Q34" s="166" t="s">
        <v>190</v>
      </c>
      <c r="R34" s="167" t="str">
        <f>IF(J22="Combustion", L22, "0")</f>
        <v>0</v>
      </c>
      <c r="S34" s="190" cm="1">
        <f t="array" ref="S34:S36">+'GHG conversion factor'!D58:D60</f>
        <v>6.4106100000000001</v>
      </c>
      <c r="T34" s="169">
        <f t="shared" si="1"/>
        <v>0</v>
      </c>
    </row>
    <row r="35" spans="1:20" ht="15" customHeight="1">
      <c r="A35" s="9"/>
      <c r="B35" s="124"/>
      <c r="C35" s="9"/>
      <c r="D35" s="148"/>
      <c r="E35" s="9"/>
      <c r="F35" s="9"/>
      <c r="G35" s="9"/>
      <c r="H35" s="9"/>
      <c r="I35" s="149"/>
      <c r="J35" s="149"/>
      <c r="K35" s="149"/>
      <c r="L35" s="149"/>
      <c r="M35" s="150"/>
      <c r="N35" s="125"/>
      <c r="O35" s="9"/>
      <c r="P35" s="173" t="s">
        <v>194</v>
      </c>
      <c r="Q35" s="166" t="s">
        <v>191</v>
      </c>
      <c r="R35" s="167" t="str">
        <f>IF(J22="Composting", L22, "0")</f>
        <v>0</v>
      </c>
      <c r="S35" s="190">
        <v>8.8838600000000003</v>
      </c>
      <c r="T35" s="169">
        <f t="shared" si="1"/>
        <v>0</v>
      </c>
    </row>
    <row r="36" spans="1:20" ht="15" customHeight="1">
      <c r="A36" s="9"/>
      <c r="B36" s="124"/>
      <c r="C36" s="9"/>
      <c r="D36" s="148"/>
      <c r="E36" s="9"/>
      <c r="F36" s="9"/>
      <c r="G36" s="9"/>
      <c r="H36" s="9"/>
      <c r="I36" s="149"/>
      <c r="J36" s="149"/>
      <c r="K36" s="149"/>
      <c r="L36" s="149"/>
      <c r="M36" s="150"/>
      <c r="N36" s="125"/>
      <c r="O36" s="9"/>
      <c r="P36" s="173" t="s">
        <v>194</v>
      </c>
      <c r="Q36" s="166" t="s">
        <v>187</v>
      </c>
      <c r="R36" s="167" t="str">
        <f>IF(J22="Landfill", L22, "0")</f>
        <v>0</v>
      </c>
      <c r="S36" s="190">
        <v>700.20961</v>
      </c>
      <c r="T36" s="169">
        <f t="shared" si="1"/>
        <v>0</v>
      </c>
    </row>
    <row r="37" spans="1:20" ht="15" customHeight="1">
      <c r="A37" s="9"/>
      <c r="B37" s="124"/>
      <c r="C37" s="9"/>
      <c r="D37" s="148"/>
      <c r="E37" s="9"/>
      <c r="F37" s="9"/>
      <c r="G37" s="9"/>
      <c r="H37" s="9"/>
      <c r="I37" s="149"/>
      <c r="J37" s="149"/>
      <c r="K37" s="149"/>
      <c r="L37" s="149"/>
      <c r="M37" s="150"/>
      <c r="N37" s="125"/>
      <c r="O37" s="9"/>
      <c r="P37" s="173" t="s">
        <v>195</v>
      </c>
      <c r="Q37" s="166" t="s">
        <v>190</v>
      </c>
      <c r="R37" s="167" t="str">
        <f>IF(J23="Combustion", L23, "0")</f>
        <v>0</v>
      </c>
      <c r="S37" s="190" cm="1">
        <f t="array" ref="S37:S38">+'GHG conversion factor'!D61:D62</f>
        <v>6.4106100000000001</v>
      </c>
      <c r="T37" s="169">
        <f t="shared" si="1"/>
        <v>0</v>
      </c>
    </row>
    <row r="38" spans="1:20" ht="15" customHeight="1">
      <c r="A38" s="9"/>
      <c r="B38" s="124"/>
      <c r="C38" s="9"/>
      <c r="D38" s="148"/>
      <c r="E38" s="9"/>
      <c r="F38" s="9"/>
      <c r="G38" s="9"/>
      <c r="H38" s="9"/>
      <c r="I38" s="149"/>
      <c r="J38" s="149"/>
      <c r="K38" s="149"/>
      <c r="L38" s="149"/>
      <c r="M38" s="150"/>
      <c r="N38" s="125"/>
      <c r="O38" s="9"/>
      <c r="P38" s="173" t="s">
        <v>195</v>
      </c>
      <c r="Q38" s="166" t="s">
        <v>187</v>
      </c>
      <c r="R38" s="167" t="str">
        <f>IF(J23="Landfill", L23, "0")</f>
        <v>0</v>
      </c>
      <c r="S38" s="190">
        <v>520.33420000000001</v>
      </c>
      <c r="T38" s="169">
        <f t="shared" si="1"/>
        <v>0</v>
      </c>
    </row>
    <row r="39" spans="1:20" ht="15" customHeight="1">
      <c r="A39" s="9"/>
      <c r="B39" s="124"/>
      <c r="C39" s="9"/>
      <c r="D39" s="148"/>
      <c r="E39" s="9"/>
      <c r="F39" s="9"/>
      <c r="G39" s="9"/>
      <c r="H39" s="9"/>
      <c r="I39" s="149"/>
      <c r="J39" s="149"/>
      <c r="K39" s="149"/>
      <c r="L39" s="149"/>
      <c r="M39" s="150"/>
      <c r="N39" s="125"/>
      <c r="O39" s="9"/>
      <c r="P39" s="173" t="s">
        <v>196</v>
      </c>
      <c r="Q39" s="173" t="s">
        <v>201</v>
      </c>
      <c r="R39" s="167" t="str">
        <f>IF(J24="Open/ Closed-loop/ Combustion", L24, "0")</f>
        <v>0</v>
      </c>
      <c r="S39" s="190" cm="1">
        <f t="array" ref="S39:S40">+'GHG conversion factor'!D63:D64</f>
        <v>6.4106100000000001</v>
      </c>
      <c r="T39" s="169">
        <f t="shared" si="1"/>
        <v>0</v>
      </c>
    </row>
    <row r="40" spans="1:20" ht="15" customHeight="1">
      <c r="A40" s="9"/>
      <c r="B40" s="124"/>
      <c r="C40" s="9"/>
      <c r="D40" s="148"/>
      <c r="E40" s="9"/>
      <c r="F40" s="9"/>
      <c r="G40" s="9"/>
      <c r="H40" s="9"/>
      <c r="I40" s="149"/>
      <c r="J40" s="149"/>
      <c r="K40" s="149"/>
      <c r="L40" s="149"/>
      <c r="M40" s="150"/>
      <c r="N40" s="125"/>
      <c r="O40" s="9"/>
      <c r="P40" s="173" t="s">
        <v>196</v>
      </c>
      <c r="Q40" s="166" t="s">
        <v>187</v>
      </c>
      <c r="R40" s="167" t="str">
        <f>IF(J24="Landfill", L24, "0")</f>
        <v>0</v>
      </c>
      <c r="S40" s="190">
        <v>8.8838600000000003</v>
      </c>
      <c r="T40" s="169">
        <f t="shared" si="1"/>
        <v>0</v>
      </c>
    </row>
    <row r="41" spans="1:20" ht="15" customHeight="1">
      <c r="A41" s="9"/>
      <c r="B41" s="124"/>
      <c r="C41" s="9"/>
      <c r="D41" s="148"/>
      <c r="E41" s="9"/>
      <c r="F41" s="9"/>
      <c r="G41" s="9"/>
      <c r="H41" s="9"/>
      <c r="I41" s="149"/>
      <c r="J41" s="149"/>
      <c r="K41" s="149"/>
      <c r="L41" s="149"/>
      <c r="M41" s="150"/>
      <c r="N41" s="125"/>
      <c r="O41" s="9"/>
      <c r="P41" s="173" t="s">
        <v>197</v>
      </c>
      <c r="Q41" s="173" t="s">
        <v>201</v>
      </c>
      <c r="R41" s="167" t="str">
        <f>IF(J25="Open/ Closed-loop/ Combustion", L25, "0")</f>
        <v>0</v>
      </c>
      <c r="S41" s="190" cm="1">
        <f t="array" ref="S41:S42">+'GHG conversion factor'!D65:D66</f>
        <v>6.4106100000000001</v>
      </c>
      <c r="T41" s="169">
        <f t="shared" si="1"/>
        <v>0</v>
      </c>
    </row>
    <row r="42" spans="1:20" ht="15" customHeight="1">
      <c r="A42" s="9"/>
      <c r="B42" s="124"/>
      <c r="C42" s="9"/>
      <c r="D42" s="148"/>
      <c r="E42" s="9"/>
      <c r="F42" s="9"/>
      <c r="G42" s="9"/>
      <c r="H42" s="9"/>
      <c r="I42" s="149"/>
      <c r="J42" s="149"/>
      <c r="K42" s="149"/>
      <c r="L42" s="149"/>
      <c r="M42" s="150"/>
      <c r="N42" s="125"/>
      <c r="O42" s="9"/>
      <c r="P42" s="173" t="s">
        <v>197</v>
      </c>
      <c r="Q42" s="166" t="s">
        <v>187</v>
      </c>
      <c r="R42" s="167" t="str">
        <f>IF(J25="Landfill", L25, "0")</f>
        <v>0</v>
      </c>
      <c r="S42" s="190">
        <v>8.8838600000000003</v>
      </c>
      <c r="T42" s="169">
        <f t="shared" si="1"/>
        <v>0</v>
      </c>
    </row>
    <row r="43" spans="1:20" ht="15" customHeight="1">
      <c r="A43" s="9"/>
      <c r="B43" s="124"/>
      <c r="C43" s="9"/>
      <c r="D43" s="148"/>
      <c r="E43" s="9"/>
      <c r="F43" s="9"/>
      <c r="G43" s="9"/>
      <c r="H43" s="9"/>
      <c r="I43" s="149"/>
      <c r="J43" s="149"/>
      <c r="K43" s="149"/>
      <c r="L43" s="149"/>
      <c r="M43" s="150"/>
      <c r="N43" s="125"/>
      <c r="O43" s="9"/>
      <c r="P43" s="173" t="s">
        <v>199</v>
      </c>
      <c r="Q43" s="166" t="s">
        <v>202</v>
      </c>
      <c r="R43" s="167" t="str">
        <f>IF(J26="Closed-loop/ Combustion", L26, "0")</f>
        <v>0</v>
      </c>
      <c r="S43" s="190" cm="1">
        <f t="array" ref="S43:S45">+'GHG conversion factor'!D67:D69</f>
        <v>6.4106100000000001</v>
      </c>
      <c r="T43" s="169">
        <f t="shared" si="1"/>
        <v>0</v>
      </c>
    </row>
    <row r="44" spans="1:20" ht="15" customHeight="1">
      <c r="A44" s="9"/>
      <c r="B44" s="124"/>
      <c r="C44" s="9"/>
      <c r="D44" s="148"/>
      <c r="E44" s="9"/>
      <c r="F44" s="9"/>
      <c r="G44" s="9"/>
      <c r="H44" s="9"/>
      <c r="I44" s="149"/>
      <c r="J44" s="149"/>
      <c r="K44" s="149"/>
      <c r="L44" s="149"/>
      <c r="M44" s="150"/>
      <c r="N44" s="125"/>
      <c r="O44" s="9"/>
      <c r="P44" s="173" t="s">
        <v>199</v>
      </c>
      <c r="Q44" s="166" t="s">
        <v>191</v>
      </c>
      <c r="R44" s="167" t="str">
        <f>IF(J26="Composting", L26, "0")</f>
        <v>0</v>
      </c>
      <c r="S44" s="190">
        <v>8.8838600000000003</v>
      </c>
      <c r="T44" s="169">
        <f t="shared" si="1"/>
        <v>0</v>
      </c>
    </row>
    <row r="45" spans="1:20" ht="15" customHeight="1">
      <c r="A45" s="9"/>
      <c r="B45" s="124"/>
      <c r="C45" s="9"/>
      <c r="D45" s="148"/>
      <c r="E45" s="9"/>
      <c r="F45" s="9"/>
      <c r="G45" s="9"/>
      <c r="H45" s="9"/>
      <c r="I45" s="149"/>
      <c r="J45" s="149"/>
      <c r="K45" s="149"/>
      <c r="L45" s="149"/>
      <c r="M45" s="150"/>
      <c r="N45" s="125"/>
      <c r="O45" s="9"/>
      <c r="P45" s="173" t="s">
        <v>199</v>
      </c>
      <c r="Q45" s="166" t="s">
        <v>187</v>
      </c>
      <c r="R45" s="167" t="str">
        <f>IF(J26="Landfill", L26, "0")</f>
        <v>0</v>
      </c>
      <c r="S45" s="190">
        <v>1164.3901499999999</v>
      </c>
      <c r="T45" s="169">
        <f t="shared" si="1"/>
        <v>0</v>
      </c>
    </row>
    <row r="46" spans="1:20" ht="15" customHeight="1">
      <c r="A46" s="9"/>
      <c r="B46" s="124"/>
      <c r="C46" s="9"/>
      <c r="D46" s="148"/>
      <c r="E46" s="9"/>
      <c r="F46" s="9"/>
      <c r="G46" s="9"/>
      <c r="H46" s="9"/>
      <c r="I46" s="149"/>
      <c r="J46" s="149"/>
      <c r="K46" s="149"/>
      <c r="L46" s="149"/>
      <c r="M46" s="150"/>
      <c r="N46" s="125"/>
      <c r="O46" s="9"/>
      <c r="P46" s="178"/>
      <c r="R46" s="179"/>
      <c r="S46" s="182"/>
      <c r="T46" s="176"/>
    </row>
    <row r="47" spans="1:20" ht="15" customHeight="1" thickBot="1">
      <c r="A47" s="9"/>
      <c r="B47" s="151"/>
      <c r="C47" s="152"/>
      <c r="D47" s="152"/>
      <c r="E47" s="152"/>
      <c r="F47" s="152"/>
      <c r="G47" s="152"/>
      <c r="H47" s="152"/>
      <c r="I47" s="152"/>
      <c r="J47" s="152"/>
      <c r="K47" s="152"/>
      <c r="L47" s="152"/>
      <c r="M47" s="152"/>
      <c r="N47" s="153"/>
      <c r="O47" s="9"/>
      <c r="P47" s="178"/>
      <c r="Q47" s="177"/>
      <c r="R47" s="179"/>
      <c r="S47" s="182"/>
      <c r="T47" s="176"/>
    </row>
    <row r="48" spans="1:20" ht="15" customHeight="1">
      <c r="A48" s="9"/>
      <c r="B48" s="9"/>
      <c r="C48" s="9"/>
      <c r="D48" s="9"/>
      <c r="E48" s="9"/>
      <c r="F48" s="9"/>
      <c r="G48" s="9"/>
      <c r="H48" s="9"/>
      <c r="I48" s="9"/>
      <c r="J48" s="9"/>
      <c r="K48" s="9"/>
      <c r="L48" s="9"/>
      <c r="M48" s="9"/>
      <c r="N48" s="9"/>
      <c r="O48" s="9"/>
      <c r="P48" s="179"/>
      <c r="Q48" s="179"/>
      <c r="R48" s="179"/>
      <c r="S48" s="179"/>
      <c r="T48" s="179"/>
    </row>
    <row r="49" spans="1:20" ht="15" customHeight="1">
      <c r="A49" s="9"/>
      <c r="B49" s="9"/>
      <c r="C49" s="9"/>
      <c r="D49" s="9"/>
      <c r="E49" s="9"/>
      <c r="F49" s="9"/>
      <c r="G49" s="9"/>
      <c r="H49" s="9"/>
      <c r="I49" s="9"/>
      <c r="J49" s="9"/>
      <c r="K49" s="9"/>
      <c r="L49" s="9"/>
      <c r="M49" s="9"/>
      <c r="N49" s="9"/>
      <c r="O49" s="9"/>
      <c r="P49" s="179"/>
      <c r="Q49" s="179"/>
      <c r="R49" s="179"/>
      <c r="S49" s="179"/>
      <c r="T49" s="179"/>
    </row>
    <row r="50" spans="1:20" ht="15" customHeight="1">
      <c r="A50" s="9"/>
      <c r="B50" s="9"/>
      <c r="C50" s="9"/>
      <c r="D50" s="9"/>
      <c r="E50" s="9"/>
      <c r="F50" s="9"/>
      <c r="G50" s="9"/>
      <c r="H50" s="9"/>
      <c r="I50" s="9"/>
      <c r="J50" s="9"/>
      <c r="K50" s="9"/>
      <c r="L50" s="9"/>
      <c r="M50" s="9"/>
      <c r="N50" s="9"/>
      <c r="O50" s="9"/>
      <c r="P50" s="179"/>
      <c r="Q50" s="179"/>
      <c r="R50" s="179"/>
      <c r="S50" s="179"/>
      <c r="T50" s="179"/>
    </row>
    <row r="51" spans="1:20" ht="15" customHeight="1">
      <c r="A51" s="9"/>
      <c r="B51" s="9"/>
      <c r="C51" s="9"/>
      <c r="D51" s="9"/>
      <c r="E51" s="9"/>
      <c r="F51" s="9"/>
      <c r="G51" s="9"/>
      <c r="H51" s="9"/>
      <c r="I51" s="9"/>
      <c r="J51" s="9"/>
      <c r="K51" s="9"/>
      <c r="L51" s="9"/>
      <c r="M51" s="9"/>
      <c r="N51" s="9"/>
      <c r="O51" s="9"/>
      <c r="P51" s="179"/>
      <c r="Q51" s="179"/>
      <c r="R51" s="179"/>
      <c r="S51" s="179"/>
      <c r="T51" s="179"/>
    </row>
    <row r="52" spans="1:20" ht="15" customHeight="1">
      <c r="A52" s="9"/>
      <c r="B52" s="9"/>
      <c r="C52" s="9"/>
      <c r="D52" s="9"/>
      <c r="E52" s="9"/>
      <c r="F52" s="9"/>
      <c r="G52" s="9"/>
      <c r="H52" s="9"/>
      <c r="I52" s="9"/>
      <c r="J52" s="9"/>
      <c r="K52" s="9"/>
      <c r="L52" s="9"/>
      <c r="M52" s="9"/>
      <c r="N52" s="9"/>
      <c r="O52" s="9"/>
      <c r="P52" s="179"/>
      <c r="Q52" s="179"/>
      <c r="R52" s="179"/>
      <c r="S52" s="179"/>
      <c r="T52" s="179"/>
    </row>
    <row r="53" spans="1:20" ht="15" customHeight="1">
      <c r="A53" s="9"/>
      <c r="B53" s="9"/>
      <c r="C53" s="9"/>
      <c r="D53" s="9"/>
      <c r="E53" s="9"/>
      <c r="F53" s="9"/>
      <c r="G53" s="9"/>
      <c r="H53" s="9"/>
      <c r="I53" s="9"/>
      <c r="J53" s="9"/>
      <c r="K53" s="9"/>
      <c r="L53" s="9"/>
      <c r="M53" s="9"/>
      <c r="N53" s="9"/>
      <c r="O53" s="9"/>
      <c r="P53" s="179"/>
      <c r="Q53" s="179"/>
      <c r="R53" s="179"/>
      <c r="S53" s="179"/>
      <c r="T53" s="179"/>
    </row>
    <row r="54" spans="1:20" ht="15" customHeight="1">
      <c r="A54" s="9"/>
      <c r="B54" s="9"/>
      <c r="C54" s="9"/>
      <c r="D54" s="9"/>
      <c r="E54" s="9"/>
      <c r="F54" s="9"/>
      <c r="G54" s="9"/>
      <c r="H54" s="9"/>
      <c r="I54" s="9"/>
      <c r="J54" s="9"/>
      <c r="K54" s="9"/>
      <c r="L54" s="9"/>
      <c r="M54" s="9"/>
      <c r="N54" s="9"/>
      <c r="O54" s="9"/>
      <c r="P54" s="179"/>
      <c r="Q54" s="179"/>
      <c r="R54" s="179"/>
      <c r="S54" s="179"/>
      <c r="T54" s="179"/>
    </row>
    <row r="55" spans="1:20" ht="15" customHeight="1">
      <c r="A55" s="9"/>
      <c r="B55" s="9"/>
      <c r="C55" s="9"/>
      <c r="D55" s="9"/>
      <c r="E55" s="9"/>
      <c r="F55" s="9"/>
      <c r="G55" s="9"/>
      <c r="H55" s="9"/>
      <c r="I55" s="9"/>
      <c r="J55" s="9"/>
      <c r="K55" s="9"/>
      <c r="L55" s="9"/>
      <c r="M55" s="9"/>
      <c r="N55" s="9"/>
      <c r="O55" s="9"/>
      <c r="P55" s="179"/>
      <c r="Q55" s="179"/>
      <c r="R55" s="179"/>
      <c r="S55" s="179"/>
      <c r="T55" s="179"/>
    </row>
    <row r="56" spans="1:20" ht="15" customHeight="1">
      <c r="A56" s="9"/>
      <c r="B56" s="9"/>
      <c r="C56" s="9"/>
      <c r="D56" s="9"/>
      <c r="E56" s="9"/>
      <c r="F56" s="9"/>
      <c r="G56" s="9"/>
      <c r="H56" s="9"/>
      <c r="I56" s="9"/>
      <c r="J56" s="9"/>
      <c r="K56" s="9"/>
      <c r="L56" s="9"/>
      <c r="M56" s="9"/>
      <c r="N56" s="9"/>
      <c r="O56" s="9"/>
      <c r="P56" s="179"/>
      <c r="Q56" s="179"/>
      <c r="R56" s="179"/>
      <c r="S56" s="179"/>
      <c r="T56" s="179"/>
    </row>
    <row r="57" spans="1:20" ht="15" customHeight="1">
      <c r="A57" s="9"/>
      <c r="B57" s="9"/>
      <c r="C57" s="9"/>
      <c r="D57" s="9"/>
      <c r="E57" s="9"/>
      <c r="F57" s="9"/>
      <c r="G57" s="9"/>
      <c r="H57" s="9"/>
      <c r="I57" s="9"/>
      <c r="J57" s="9"/>
      <c r="K57" s="9"/>
      <c r="L57" s="9"/>
      <c r="M57" s="9"/>
      <c r="N57" s="9"/>
      <c r="O57" s="9"/>
      <c r="P57" s="179"/>
      <c r="Q57" s="179"/>
      <c r="R57" s="179"/>
      <c r="S57" s="179"/>
      <c r="T57" s="179"/>
    </row>
    <row r="58" spans="1:20" ht="15" customHeight="1">
      <c r="A58" s="9"/>
      <c r="B58" s="9"/>
      <c r="C58" s="9"/>
      <c r="D58" s="9"/>
      <c r="E58" s="9"/>
      <c r="F58" s="9"/>
      <c r="G58" s="9"/>
      <c r="H58" s="9"/>
      <c r="I58" s="9"/>
      <c r="J58" s="9"/>
      <c r="K58" s="9"/>
      <c r="L58" s="9"/>
      <c r="M58" s="9"/>
      <c r="N58" s="9"/>
      <c r="O58" s="9"/>
      <c r="P58" s="179"/>
      <c r="Q58" s="179"/>
      <c r="R58" s="179"/>
      <c r="S58" s="179"/>
      <c r="T58" s="179"/>
    </row>
    <row r="59" spans="1:20" ht="15" customHeight="1">
      <c r="A59" s="9"/>
      <c r="B59" s="9"/>
      <c r="C59" s="9"/>
      <c r="D59" s="9"/>
      <c r="E59" s="9"/>
      <c r="F59" s="9"/>
      <c r="G59" s="9"/>
      <c r="H59" s="9"/>
      <c r="I59" s="9"/>
      <c r="J59" s="9"/>
      <c r="K59" s="9"/>
      <c r="L59" s="9"/>
      <c r="M59" s="9"/>
      <c r="N59" s="9"/>
      <c r="O59" s="9"/>
      <c r="P59" s="179"/>
      <c r="Q59" s="179"/>
      <c r="R59" s="179"/>
      <c r="S59" s="179"/>
      <c r="T59" s="179"/>
    </row>
    <row r="60" spans="1:20" ht="15" customHeight="1">
      <c r="A60" s="9"/>
      <c r="B60" s="9"/>
      <c r="C60" s="9"/>
      <c r="D60" s="9"/>
      <c r="E60" s="9"/>
      <c r="F60" s="9"/>
      <c r="G60" s="9"/>
      <c r="H60" s="9"/>
      <c r="I60" s="9"/>
      <c r="J60" s="9"/>
      <c r="K60" s="9"/>
      <c r="L60" s="9"/>
      <c r="M60" s="9"/>
      <c r="N60" s="9"/>
      <c r="O60" s="9"/>
      <c r="P60" s="179"/>
      <c r="Q60" s="179"/>
      <c r="R60" s="179"/>
      <c r="S60" s="179"/>
      <c r="T60" s="179"/>
    </row>
    <row r="61" spans="1:20" ht="15" customHeight="1">
      <c r="A61" s="9"/>
      <c r="B61" s="9"/>
      <c r="C61" s="9"/>
      <c r="D61" s="9"/>
      <c r="E61" s="9"/>
      <c r="F61" s="9"/>
      <c r="G61" s="9"/>
      <c r="H61" s="9"/>
      <c r="I61" s="9"/>
      <c r="J61" s="9"/>
      <c r="K61" s="9"/>
      <c r="L61" s="9"/>
      <c r="M61" s="9"/>
      <c r="N61" s="9"/>
      <c r="O61" s="9"/>
    </row>
    <row r="62" spans="1:20" ht="15" customHeight="1">
      <c r="A62" s="9"/>
      <c r="B62" s="9"/>
      <c r="C62" s="9"/>
      <c r="D62" s="9"/>
      <c r="E62" s="9"/>
      <c r="F62" s="9"/>
      <c r="G62" s="9"/>
      <c r="H62" s="9"/>
      <c r="I62" s="9" t="s">
        <v>203</v>
      </c>
      <c r="J62" s="9"/>
      <c r="K62" s="9"/>
      <c r="L62" s="9"/>
      <c r="M62" s="9"/>
      <c r="N62" s="9"/>
      <c r="O62" s="9"/>
    </row>
    <row r="63" spans="1:20" ht="14.55" customHeight="1" thickBot="1">
      <c r="A63" s="9"/>
      <c r="B63" s="9"/>
      <c r="C63" s="9"/>
      <c r="D63" s="9"/>
      <c r="E63" s="9"/>
      <c r="F63" s="9"/>
      <c r="G63" s="9"/>
      <c r="H63" s="9"/>
      <c r="I63" s="9"/>
      <c r="J63" s="9"/>
      <c r="K63" s="9"/>
      <c r="L63" s="9"/>
      <c r="M63" s="9"/>
      <c r="N63" s="9"/>
      <c r="O63" s="9"/>
    </row>
    <row r="64" spans="1:20" s="9" customFormat="1" ht="28.2" customHeight="1">
      <c r="I64" s="297" t="s">
        <v>117</v>
      </c>
      <c r="J64" s="486" t="s">
        <v>204</v>
      </c>
      <c r="K64" s="466"/>
      <c r="L64" s="298" t="s">
        <v>119</v>
      </c>
      <c r="M64" s="299" t="s">
        <v>50</v>
      </c>
    </row>
    <row r="65" spans="9:13" s="9" customFormat="1" ht="14.55" customHeight="1">
      <c r="I65" s="289"/>
      <c r="J65" s="487"/>
      <c r="K65" s="487"/>
      <c r="L65" s="239"/>
      <c r="M65" s="294" t="s">
        <v>80</v>
      </c>
    </row>
    <row r="66" spans="9:13" s="9" customFormat="1" ht="14.55" customHeight="1">
      <c r="I66" s="292"/>
      <c r="J66" s="488"/>
      <c r="K66" s="488"/>
      <c r="L66" s="293"/>
      <c r="M66" s="295" t="s">
        <v>80</v>
      </c>
    </row>
    <row r="67" spans="9:13" s="9" customFormat="1" ht="14.55" customHeight="1">
      <c r="I67" s="289"/>
      <c r="J67" s="487"/>
      <c r="K67" s="487"/>
      <c r="L67" s="239"/>
      <c r="M67" s="294" t="s">
        <v>80</v>
      </c>
    </row>
    <row r="68" spans="9:13" s="9" customFormat="1" ht="14.55" customHeight="1">
      <c r="I68" s="292"/>
      <c r="J68" s="488"/>
      <c r="K68" s="488"/>
      <c r="L68" s="293"/>
      <c r="M68" s="295" t="s">
        <v>80</v>
      </c>
    </row>
    <row r="69" spans="9:13" s="9" customFormat="1" ht="14.55" customHeight="1">
      <c r="I69" s="289"/>
      <c r="J69" s="487"/>
      <c r="K69" s="487"/>
      <c r="L69" s="239"/>
      <c r="M69" s="294" t="s">
        <v>80</v>
      </c>
    </row>
    <row r="70" spans="9:13" s="9" customFormat="1" ht="14.55" customHeight="1">
      <c r="I70" s="292"/>
      <c r="J70" s="488"/>
      <c r="K70" s="488"/>
      <c r="L70" s="293"/>
      <c r="M70" s="295" t="s">
        <v>80</v>
      </c>
    </row>
    <row r="71" spans="9:13" s="9" customFormat="1" ht="14.55" customHeight="1">
      <c r="I71" s="289"/>
      <c r="J71" s="487"/>
      <c r="K71" s="487"/>
      <c r="L71" s="239"/>
      <c r="M71" s="294" t="s">
        <v>80</v>
      </c>
    </row>
    <row r="72" spans="9:13" s="9" customFormat="1" ht="14.55" customHeight="1">
      <c r="I72" s="292"/>
      <c r="J72" s="488"/>
      <c r="K72" s="488"/>
      <c r="L72" s="293"/>
      <c r="M72" s="295" t="s">
        <v>80</v>
      </c>
    </row>
    <row r="73" spans="9:13" s="9" customFormat="1" ht="14.55" customHeight="1">
      <c r="I73" s="289"/>
      <c r="J73" s="487"/>
      <c r="K73" s="487"/>
      <c r="L73" s="239"/>
      <c r="M73" s="294" t="s">
        <v>80</v>
      </c>
    </row>
    <row r="74" spans="9:13" s="9" customFormat="1" ht="14.55" customHeight="1">
      <c r="I74" s="292"/>
      <c r="J74" s="488"/>
      <c r="K74" s="488"/>
      <c r="L74" s="293"/>
      <c r="M74" s="295" t="s">
        <v>80</v>
      </c>
    </row>
    <row r="75" spans="9:13" s="9" customFormat="1" ht="14.55" customHeight="1">
      <c r="I75" s="289"/>
      <c r="J75" s="487"/>
      <c r="K75" s="487"/>
      <c r="L75" s="239"/>
      <c r="M75" s="294" t="s">
        <v>80</v>
      </c>
    </row>
    <row r="76" spans="9:13" s="9" customFormat="1" ht="14.55" customHeight="1">
      <c r="I76" s="292"/>
      <c r="J76" s="488"/>
      <c r="K76" s="488"/>
      <c r="L76" s="293"/>
      <c r="M76" s="295" t="s">
        <v>80</v>
      </c>
    </row>
    <row r="77" spans="9:13" s="9" customFormat="1" ht="14.55" customHeight="1">
      <c r="I77" s="289"/>
      <c r="J77" s="487"/>
      <c r="K77" s="487"/>
      <c r="L77" s="239"/>
      <c r="M77" s="294" t="s">
        <v>80</v>
      </c>
    </row>
    <row r="78" spans="9:13" s="9" customFormat="1" ht="14.55" customHeight="1">
      <c r="I78" s="292"/>
      <c r="J78" s="488"/>
      <c r="K78" s="488"/>
      <c r="L78" s="293"/>
      <c r="M78" s="295" t="s">
        <v>80</v>
      </c>
    </row>
    <row r="79" spans="9:13" s="9" customFormat="1" ht="14.55" customHeight="1">
      <c r="I79" s="289"/>
      <c r="J79" s="487"/>
      <c r="K79" s="487"/>
      <c r="L79" s="239"/>
      <c r="M79" s="294" t="s">
        <v>80</v>
      </c>
    </row>
    <row r="80" spans="9:13" s="9" customFormat="1" ht="14.55" customHeight="1">
      <c r="I80" s="292"/>
      <c r="J80" s="488"/>
      <c r="K80" s="488"/>
      <c r="L80" s="293"/>
      <c r="M80" s="295" t="s">
        <v>80</v>
      </c>
    </row>
    <row r="81" spans="1:15" s="9" customFormat="1" ht="14.55" customHeight="1">
      <c r="I81" s="289"/>
      <c r="J81" s="487"/>
      <c r="K81" s="487"/>
      <c r="L81" s="239"/>
      <c r="M81" s="294" t="s">
        <v>80</v>
      </c>
    </row>
    <row r="82" spans="1:15" s="9" customFormat="1" ht="14.55" customHeight="1">
      <c r="I82" s="292"/>
      <c r="J82" s="488"/>
      <c r="K82" s="488"/>
      <c r="L82" s="293"/>
      <c r="M82" s="295" t="s">
        <v>80</v>
      </c>
    </row>
    <row r="83" spans="1:15" s="9" customFormat="1" ht="14.55" customHeight="1" thickBot="1">
      <c r="I83" s="290"/>
      <c r="J83" s="489"/>
      <c r="K83" s="489"/>
      <c r="L83" s="291"/>
      <c r="M83" s="296" t="s">
        <v>80</v>
      </c>
    </row>
    <row r="84" spans="1:15" ht="14.55" customHeight="1">
      <c r="A84" s="9"/>
      <c r="B84" s="9"/>
      <c r="C84" s="9"/>
      <c r="D84" s="9"/>
      <c r="E84" s="9"/>
      <c r="F84" s="9"/>
      <c r="G84" s="9"/>
      <c r="H84" s="9"/>
      <c r="I84" s="9"/>
      <c r="J84" s="9"/>
      <c r="K84" s="9"/>
      <c r="L84" s="9"/>
      <c r="M84" s="9"/>
      <c r="N84" s="9"/>
      <c r="O84" s="9"/>
    </row>
    <row r="85" spans="1:15" ht="14.55" customHeight="1">
      <c r="A85" s="9"/>
      <c r="B85" s="9"/>
      <c r="C85" s="9"/>
      <c r="D85" s="9"/>
      <c r="E85" s="9"/>
      <c r="F85" s="9"/>
      <c r="G85" s="9"/>
      <c r="H85" s="9"/>
      <c r="I85" s="9"/>
      <c r="J85" s="9"/>
      <c r="K85" s="9"/>
      <c r="L85" s="9"/>
      <c r="M85" s="9"/>
      <c r="N85" s="9"/>
      <c r="O85" s="9"/>
    </row>
  </sheetData>
  <sheetProtection algorithmName="SHA-512" hashValue="CxNvnPTcVJlDu5SgNSDL07ADiP6WivxdOe/VEbzx51Xb6t4wuUhPrBMygu6bp7W1AGpD8G7Of38GN0xVKG5QpQ==" saltValue="dN5BJUGpYClNqkeP5gznoA==" spinCount="100000" sheet="1" selectLockedCells="1"/>
  <mergeCells count="32">
    <mergeCell ref="J79:K79"/>
    <mergeCell ref="J80:K80"/>
    <mergeCell ref="J81:K81"/>
    <mergeCell ref="J82:K82"/>
    <mergeCell ref="J83:K83"/>
    <mergeCell ref="J74:K74"/>
    <mergeCell ref="J75:K75"/>
    <mergeCell ref="J76:K76"/>
    <mergeCell ref="J77:K77"/>
    <mergeCell ref="J78:K78"/>
    <mergeCell ref="J69:K69"/>
    <mergeCell ref="J70:K70"/>
    <mergeCell ref="J71:K71"/>
    <mergeCell ref="J72:K72"/>
    <mergeCell ref="J73:K73"/>
    <mergeCell ref="J64:K64"/>
    <mergeCell ref="J65:K65"/>
    <mergeCell ref="J66:K66"/>
    <mergeCell ref="J67:K67"/>
    <mergeCell ref="J68:K68"/>
    <mergeCell ref="I27:L27"/>
    <mergeCell ref="C2:H2"/>
    <mergeCell ref="B4:D4"/>
    <mergeCell ref="B5:D5"/>
    <mergeCell ref="B6:D6"/>
    <mergeCell ref="C10:M10"/>
    <mergeCell ref="J12:K12"/>
    <mergeCell ref="C19:G27"/>
    <mergeCell ref="C13:C14"/>
    <mergeCell ref="C15:C16"/>
    <mergeCell ref="D13:G14"/>
    <mergeCell ref="D15:G17"/>
  </mergeCells>
  <conditionalFormatting sqref="S13">
    <cfRule type="expression" dxfId="48" priority="1" stopIfTrue="1">
      <formula>S13=""</formula>
    </cfRule>
  </conditionalFormatting>
  <dataValidations count="10">
    <dataValidation type="list" allowBlank="1" showInputMessage="1" showErrorMessage="1" sqref="J14 J15" xr:uid="{3630D366-2743-4A15-A533-9BD6FFF2FB8A}">
      <formula1>"Closed-loop, Landfill"</formula1>
    </dataValidation>
    <dataValidation type="list" allowBlank="1" showInputMessage="1" showErrorMessage="1" sqref="J13" xr:uid="{BAB61FD0-0692-4CEE-97BD-75C2EC856796}">
      <formula1>"Sewage drainage system"</formula1>
    </dataValidation>
    <dataValidation type="list" allowBlank="1" showInputMessage="1" showErrorMessage="1" sqref="J16" xr:uid="{93FE55B6-82D0-4ABF-AC12-B768326A7B39}">
      <formula1>"Closed-loop"</formula1>
    </dataValidation>
    <dataValidation type="list" allowBlank="1" showInputMessage="1" showErrorMessage="1" sqref="J17:J18" xr:uid="{6E199238-C575-4CD0-BD82-86243D2448EF}">
      <formula1>"Closed-loop, Combustion, Composting, Landfill"</formula1>
    </dataValidation>
    <dataValidation type="list" allowBlank="1" showInputMessage="1" showErrorMessage="1" sqref="J19" xr:uid="{66CEACC9-FF4C-4426-A0F9-D531E52CD799}">
      <formula1>"Open-loop, Closed-loop, Combustion, Landfill"</formula1>
    </dataValidation>
    <dataValidation type="list" allowBlank="1" showInputMessage="1" showErrorMessage="1" sqref="J20" xr:uid="{A556E17A-CCB4-40F5-AE20-C8D160B2B358}">
      <formula1>"Closed-loop, Combustion, Landfill"</formula1>
    </dataValidation>
    <dataValidation type="list" allowBlank="1" showInputMessage="1" showErrorMessage="1" sqref="J23 J21" xr:uid="{A2CE5432-2BE1-44E5-BB77-DAA478A61534}">
      <formula1>"Combustion, Landfill"</formula1>
    </dataValidation>
    <dataValidation type="list" allowBlank="1" showInputMessage="1" showErrorMessage="1" sqref="J22" xr:uid="{5FC1CF09-32A7-4E56-A83B-DC115EE0E54C}">
      <formula1>"Combustion, Composting, Landfill"</formula1>
    </dataValidation>
    <dataValidation type="list" allowBlank="1" showInputMessage="1" showErrorMessage="1" sqref="J24:J25" xr:uid="{CA041556-2CA9-4681-AFE3-35851713D5C4}">
      <formula1>"Open/ Closed-loop/ Combustion, Landfill"</formula1>
    </dataValidation>
    <dataValidation type="list" allowBlank="1" showInputMessage="1" showErrorMessage="1" sqref="J26" xr:uid="{3559E07F-0D96-4B6E-95A2-C41C3572885C}">
      <formula1>"Closed-loop/ Combustion, Composting, Landfill"</formula1>
    </dataValidation>
  </dataValidation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17A9-C54D-4BDC-8A9B-53A430993A2E}">
  <sheetPr codeName="Sheet9"/>
  <dimension ref="A1:T51"/>
  <sheetViews>
    <sheetView zoomScaleNormal="100" workbookViewId="0">
      <selection activeCell="J13" sqref="J13"/>
    </sheetView>
  </sheetViews>
  <sheetFormatPr defaultColWidth="0" defaultRowHeight="14.55" customHeight="1" zeroHeight="1"/>
  <cols>
    <col min="1" max="3" width="3.6640625" customWidth="1"/>
    <col min="4" max="7" width="5.6640625" customWidth="1"/>
    <col min="8" max="8" width="3.6640625" customWidth="1"/>
    <col min="9" max="9" width="25.6640625" customWidth="1"/>
    <col min="10" max="12" width="11.6640625" customWidth="1"/>
    <col min="13" max="13" width="14.6640625" customWidth="1"/>
    <col min="14" max="15" width="3.6640625" customWidth="1"/>
    <col min="16" max="17" width="16.6640625" hidden="1" customWidth="1"/>
    <col min="18" max="18" width="8.77734375" hidden="1" customWidth="1"/>
    <col min="19" max="20" width="10.6640625" hidden="1" customWidth="1"/>
    <col min="21" max="16384" width="8.77734375" hidden="1"/>
  </cols>
  <sheetData>
    <row r="1" spans="1:20" ht="25.2" customHeight="1">
      <c r="A1" s="9"/>
      <c r="B1" s="9"/>
      <c r="C1" s="9"/>
      <c r="D1" s="9"/>
      <c r="E1" s="9"/>
      <c r="F1" s="9"/>
      <c r="G1" s="9"/>
      <c r="H1" s="9"/>
      <c r="I1" s="9"/>
      <c r="J1" s="9"/>
      <c r="K1" s="9"/>
      <c r="L1" s="9"/>
      <c r="M1" s="9"/>
      <c r="N1" s="9"/>
      <c r="O1" s="9"/>
    </row>
    <row r="2" spans="1:20" ht="25.2" customHeight="1">
      <c r="A2" s="9"/>
      <c r="B2" s="116" t="s">
        <v>0</v>
      </c>
      <c r="C2" s="450" t="s">
        <v>1</v>
      </c>
      <c r="D2" s="450"/>
      <c r="E2" s="450"/>
      <c r="F2" s="450"/>
      <c r="G2" s="450"/>
      <c r="H2" s="450"/>
      <c r="I2" s="354" t="str">
        <f>+'WSA-CC-Energy'!I2</f>
        <v>Carbon Calculator-2024</v>
      </c>
      <c r="J2" s="9"/>
      <c r="K2" s="9"/>
      <c r="L2" s="9"/>
      <c r="M2" s="9"/>
      <c r="N2" s="9"/>
      <c r="O2" s="9"/>
      <c r="P2" s="229"/>
      <c r="Q2" s="229"/>
      <c r="R2" s="229"/>
      <c r="S2" s="229"/>
      <c r="T2" s="229"/>
    </row>
    <row r="3" spans="1:20" ht="25.2" customHeight="1">
      <c r="A3" s="9"/>
      <c r="B3" s="9"/>
      <c r="D3" s="9"/>
      <c r="E3" s="9"/>
      <c r="F3" s="9"/>
      <c r="G3" s="9"/>
      <c r="H3" s="9"/>
      <c r="I3" s="9"/>
      <c r="J3" s="9"/>
      <c r="K3" s="9"/>
      <c r="L3" s="9"/>
      <c r="M3" s="9"/>
      <c r="N3" s="9"/>
      <c r="O3" s="9"/>
      <c r="P3" s="229"/>
      <c r="Q3" s="229"/>
      <c r="R3" s="229"/>
      <c r="S3" s="229"/>
      <c r="T3" s="229"/>
    </row>
    <row r="4" spans="1:20" ht="15" customHeight="1">
      <c r="A4" s="9"/>
      <c r="B4" s="451" t="s">
        <v>38</v>
      </c>
      <c r="C4" s="451"/>
      <c r="D4" s="451"/>
      <c r="E4" s="9"/>
      <c r="F4" s="259" t="str">
        <f>+'WSA-CC-Energy'!F4</f>
        <v>Click here to type once to automatically fill the rest</v>
      </c>
      <c r="G4" s="117"/>
      <c r="H4" s="117"/>
      <c r="I4" s="117"/>
      <c r="J4" s="9"/>
      <c r="K4" s="118" t="s">
        <v>40</v>
      </c>
      <c r="L4" s="119" t="str">
        <f>+'WSA-CC-Energy'!L4</f>
        <v>Click here to Type</v>
      </c>
      <c r="M4" s="119"/>
      <c r="N4" s="9"/>
      <c r="O4" s="9"/>
      <c r="P4" s="229"/>
      <c r="Q4" s="229"/>
      <c r="R4" s="229"/>
      <c r="S4" s="229"/>
      <c r="T4" s="229"/>
    </row>
    <row r="5" spans="1:20" ht="15" customHeight="1">
      <c r="A5" s="9"/>
      <c r="B5" s="451"/>
      <c r="C5" s="451"/>
      <c r="D5" s="451"/>
      <c r="E5" s="9"/>
      <c r="F5" s="258"/>
      <c r="G5" s="9"/>
      <c r="H5" s="9"/>
      <c r="I5" s="9"/>
      <c r="J5" s="9"/>
      <c r="K5" s="9"/>
      <c r="L5" s="9"/>
      <c r="M5" s="9"/>
      <c r="N5" s="9"/>
      <c r="O5" s="9"/>
      <c r="P5" s="229"/>
      <c r="Q5" s="229"/>
      <c r="R5" s="229"/>
      <c r="S5" s="229"/>
      <c r="T5" s="229"/>
    </row>
    <row r="6" spans="1:20" ht="15" customHeight="1">
      <c r="A6" s="9"/>
      <c r="B6" s="451"/>
      <c r="C6" s="451"/>
      <c r="D6" s="451"/>
      <c r="E6" s="9"/>
      <c r="F6" s="258"/>
      <c r="G6" s="9"/>
      <c r="H6" s="9"/>
      <c r="I6" s="9"/>
      <c r="J6" s="9"/>
      <c r="K6" s="9"/>
      <c r="L6" s="9"/>
      <c r="M6" s="9"/>
      <c r="N6" s="9"/>
      <c r="O6" s="9"/>
      <c r="P6" s="229"/>
      <c r="Q6" s="229"/>
      <c r="R6" s="229"/>
      <c r="S6" s="229"/>
      <c r="T6" s="229"/>
    </row>
    <row r="7" spans="1:20" ht="15" customHeight="1" thickBot="1">
      <c r="A7" s="9"/>
      <c r="B7" s="9"/>
      <c r="C7" s="9"/>
      <c r="D7" s="9"/>
      <c r="E7" s="9"/>
      <c r="F7" s="9"/>
      <c r="G7" s="9"/>
      <c r="H7" s="9"/>
      <c r="I7" s="152"/>
      <c r="J7" s="9"/>
      <c r="K7" s="9"/>
      <c r="L7" s="9"/>
      <c r="M7" s="9"/>
      <c r="N7" s="9"/>
      <c r="O7" s="9"/>
      <c r="P7" s="229"/>
      <c r="Q7" s="229"/>
      <c r="R7" s="229"/>
      <c r="S7" s="229"/>
      <c r="T7" s="229"/>
    </row>
    <row r="8" spans="1:20" ht="23.4">
      <c r="A8" s="9"/>
      <c r="B8" s="120"/>
      <c r="C8" s="121" t="s">
        <v>205</v>
      </c>
      <c r="D8" s="121"/>
      <c r="E8" s="121"/>
      <c r="F8" s="121"/>
      <c r="G8" s="121"/>
      <c r="H8" s="121"/>
      <c r="I8" s="121"/>
      <c r="J8" s="121"/>
      <c r="K8" s="121"/>
      <c r="L8" s="121"/>
      <c r="M8" s="122" t="s">
        <v>206</v>
      </c>
      <c r="N8" s="123"/>
      <c r="O8" s="9"/>
      <c r="P8" s="229"/>
      <c r="Q8" s="229"/>
      <c r="R8" s="229"/>
      <c r="S8" s="229"/>
      <c r="T8" s="229"/>
    </row>
    <row r="9" spans="1:20" ht="14.4">
      <c r="A9" s="9"/>
      <c r="B9" s="124"/>
      <c r="C9" s="9"/>
      <c r="D9" s="9"/>
      <c r="E9" s="9"/>
      <c r="F9" s="9"/>
      <c r="G9" s="9"/>
      <c r="H9" s="9"/>
      <c r="I9" s="9"/>
      <c r="J9" s="9"/>
      <c r="K9" s="9"/>
      <c r="L9" s="9"/>
      <c r="M9" s="9"/>
      <c r="N9" s="125"/>
      <c r="O9" s="9"/>
      <c r="P9" s="229"/>
      <c r="Q9" s="229"/>
      <c r="R9" s="229"/>
      <c r="S9" s="229"/>
      <c r="T9" s="229"/>
    </row>
    <row r="10" spans="1:20" ht="45" customHeight="1">
      <c r="A10" s="9"/>
      <c r="B10" s="124"/>
      <c r="C10" s="444" t="s">
        <v>495</v>
      </c>
      <c r="D10" s="444"/>
      <c r="E10" s="444"/>
      <c r="F10" s="444"/>
      <c r="G10" s="444"/>
      <c r="H10" s="444"/>
      <c r="I10" s="444"/>
      <c r="J10" s="444"/>
      <c r="K10" s="444"/>
      <c r="L10" s="444"/>
      <c r="M10" s="444"/>
      <c r="N10" s="125"/>
      <c r="O10" s="9"/>
      <c r="P10" s="229"/>
      <c r="Q10" s="229"/>
      <c r="R10" s="229"/>
      <c r="S10" s="229"/>
      <c r="T10" s="229"/>
    </row>
    <row r="11" spans="1:20" ht="15" thickBot="1">
      <c r="A11" s="9"/>
      <c r="B11" s="124"/>
      <c r="C11" s="9"/>
      <c r="D11" s="9"/>
      <c r="E11" s="9"/>
      <c r="F11" s="9"/>
      <c r="G11" s="9"/>
      <c r="H11" s="9"/>
      <c r="I11" s="9"/>
      <c r="J11" s="9"/>
      <c r="K11" s="9"/>
      <c r="L11" s="9"/>
      <c r="M11" s="9"/>
      <c r="N11" s="125"/>
      <c r="O11" s="9"/>
      <c r="P11" s="229"/>
      <c r="Q11" s="229"/>
      <c r="R11" s="229"/>
      <c r="S11" s="229"/>
      <c r="T11" s="229"/>
    </row>
    <row r="12" spans="1:20" ht="29.4" thickBot="1">
      <c r="A12" s="9"/>
      <c r="B12" s="124"/>
      <c r="C12" s="126" t="s">
        <v>52</v>
      </c>
      <c r="D12" s="9"/>
      <c r="E12" s="127"/>
      <c r="F12" s="127"/>
      <c r="G12" s="127"/>
      <c r="H12" s="9"/>
      <c r="I12" s="128" t="s">
        <v>207</v>
      </c>
      <c r="J12" s="483" t="s">
        <v>208</v>
      </c>
      <c r="K12" s="481"/>
      <c r="L12" s="130" t="s">
        <v>209</v>
      </c>
      <c r="M12" s="131" t="s">
        <v>50</v>
      </c>
      <c r="N12" s="125"/>
      <c r="O12" s="9" t="s">
        <v>51</v>
      </c>
      <c r="P12" s="244"/>
      <c r="Q12" s="244"/>
      <c r="R12" s="244" t="s">
        <v>210</v>
      </c>
      <c r="S12" s="202" t="s">
        <v>120</v>
      </c>
      <c r="T12" s="202" t="s">
        <v>121</v>
      </c>
    </row>
    <row r="13" spans="1:20" ht="15" customHeight="1" thickBot="1">
      <c r="A13" s="9"/>
      <c r="B13" s="124"/>
      <c r="C13" s="155" t="s">
        <v>6</v>
      </c>
      <c r="D13" s="442" t="s">
        <v>211</v>
      </c>
      <c r="E13" s="442"/>
      <c r="F13" s="442"/>
      <c r="G13" s="442"/>
      <c r="H13" s="490"/>
      <c r="I13" s="132" t="s">
        <v>212</v>
      </c>
      <c r="J13" s="77"/>
      <c r="K13" s="134"/>
      <c r="L13" s="377"/>
      <c r="M13" s="135" t="str">
        <f>IF(J13="Domestic",T13,IF(J13="Short-haul",T14,IF(J13="Long-haul",T15,"0.00")))</f>
        <v>0.00</v>
      </c>
      <c r="N13" s="125"/>
      <c r="O13" s="9"/>
      <c r="P13" s="240" t="s">
        <v>213</v>
      </c>
      <c r="Q13" s="240" t="s">
        <v>214</v>
      </c>
      <c r="R13" s="241" t="str">
        <f>IF(J13="Domestic",L13,"0")</f>
        <v>0</v>
      </c>
      <c r="S13" s="203" cm="1">
        <f t="array" ref="S13:S15">+'GHG conversion factor'!D73:D75</f>
        <v>0.27256999999999998</v>
      </c>
      <c r="T13" s="204">
        <f>R13*S13</f>
        <v>0</v>
      </c>
    </row>
    <row r="14" spans="1:20" ht="15" customHeight="1" thickBot="1">
      <c r="A14" s="9"/>
      <c r="B14" s="124"/>
      <c r="C14" s="155"/>
      <c r="D14" s="442"/>
      <c r="E14" s="442"/>
      <c r="F14" s="442"/>
      <c r="G14" s="442"/>
      <c r="H14" s="490"/>
      <c r="I14" s="136" t="s">
        <v>215</v>
      </c>
      <c r="J14" s="108"/>
      <c r="K14" s="138"/>
      <c r="L14" s="379"/>
      <c r="M14" s="139" t="str">
        <f>IF(J14="Foot-passenger", T16, IF(J14="Car-passenger", T17, "0.00"))</f>
        <v>0.00</v>
      </c>
      <c r="N14" s="125"/>
      <c r="O14" s="9"/>
      <c r="P14" s="240" t="s">
        <v>213</v>
      </c>
      <c r="Q14" s="240" t="s">
        <v>216</v>
      </c>
      <c r="R14" s="241" t="str">
        <f>IF(J13="Short-haul",L13,"0")</f>
        <v>0</v>
      </c>
      <c r="S14" s="203">
        <v>0.18592</v>
      </c>
      <c r="T14" s="204">
        <f t="shared" ref="T14:T45" si="0">R14*S14</f>
        <v>0</v>
      </c>
    </row>
    <row r="15" spans="1:20" ht="15" customHeight="1" thickBot="1">
      <c r="A15" s="9"/>
      <c r="B15" s="124"/>
      <c r="C15" s="155" t="s">
        <v>10</v>
      </c>
      <c r="D15" s="442" t="s">
        <v>217</v>
      </c>
      <c r="E15" s="442"/>
      <c r="F15" s="442"/>
      <c r="G15" s="442"/>
      <c r="H15" s="9"/>
      <c r="I15" s="132" t="s">
        <v>218</v>
      </c>
      <c r="J15" s="183"/>
      <c r="K15" s="134"/>
      <c r="L15" s="377"/>
      <c r="M15" s="140" t="str">
        <f>IF(J15="Small",T18,IF(J15="Medium",T19,IF(J15="Large",T20,"0.00")))</f>
        <v>0.00</v>
      </c>
      <c r="N15" s="125"/>
      <c r="O15" s="9"/>
      <c r="P15" s="240" t="s">
        <v>213</v>
      </c>
      <c r="Q15" s="240" t="s">
        <v>219</v>
      </c>
      <c r="R15" s="241" t="str">
        <f>IF(J13="Long-haul",L13,"0")</f>
        <v>0</v>
      </c>
      <c r="S15" s="205">
        <v>0.26128000000000001</v>
      </c>
      <c r="T15" s="204">
        <f t="shared" si="0"/>
        <v>0</v>
      </c>
    </row>
    <row r="16" spans="1:20" ht="15" customHeight="1" thickBot="1">
      <c r="A16" s="9"/>
      <c r="B16" s="124"/>
      <c r="C16" s="156"/>
      <c r="D16" s="442"/>
      <c r="E16" s="442"/>
      <c r="F16" s="442"/>
      <c r="G16" s="442"/>
      <c r="H16" s="9"/>
      <c r="I16" s="136" t="s">
        <v>220</v>
      </c>
      <c r="J16" s="108"/>
      <c r="K16" s="138"/>
      <c r="L16" s="379"/>
      <c r="M16" s="139" t="str">
        <f>IF(J16="Small",T21,IF(J16="Medium",T22,IF(J16="Large",T23,"0.00")))</f>
        <v>0.00</v>
      </c>
      <c r="N16" s="125"/>
      <c r="O16" s="9"/>
      <c r="P16" s="240" t="s">
        <v>215</v>
      </c>
      <c r="Q16" s="240" t="s">
        <v>221</v>
      </c>
      <c r="R16" s="241" t="str">
        <f>IF(J14="Foot-passenger",L14,"0")</f>
        <v>0</v>
      </c>
      <c r="S16" s="206" cm="1">
        <f t="array" ref="S16:S17">+'GHG conversion factor'!D76:D77</f>
        <v>1.8710000000000001E-2</v>
      </c>
      <c r="T16" s="204">
        <f t="shared" si="0"/>
        <v>0</v>
      </c>
    </row>
    <row r="17" spans="1:20" ht="15" customHeight="1" thickBot="1">
      <c r="A17" s="9"/>
      <c r="B17" s="124"/>
      <c r="C17" s="126" t="s">
        <v>135</v>
      </c>
      <c r="D17" s="141"/>
      <c r="E17" s="141"/>
      <c r="F17" s="141"/>
      <c r="G17" s="141"/>
      <c r="H17" s="9"/>
      <c r="I17" s="132" t="s">
        <v>222</v>
      </c>
      <c r="J17" s="77"/>
      <c r="K17" s="134"/>
      <c r="L17" s="377"/>
      <c r="M17" s="144" t="str">
        <f>IF(J17="Small",T24,IF(J17="Medium",T25,IF(J17="Large",T26,"0.00")))</f>
        <v>0.00</v>
      </c>
      <c r="N17" s="125"/>
      <c r="O17" s="9"/>
      <c r="P17" s="240" t="s">
        <v>215</v>
      </c>
      <c r="Q17" s="240" t="s">
        <v>223</v>
      </c>
      <c r="R17" s="241" t="str">
        <f>IF(J14="Car-passenger",L14,"0")</f>
        <v>0</v>
      </c>
      <c r="S17" s="206">
        <v>0.12933</v>
      </c>
      <c r="T17" s="204">
        <f t="shared" si="0"/>
        <v>0</v>
      </c>
    </row>
    <row r="18" spans="1:20" ht="15" customHeight="1" thickBot="1">
      <c r="A18" s="9"/>
      <c r="B18" s="124"/>
      <c r="C18" s="485" t="s">
        <v>496</v>
      </c>
      <c r="D18" s="485"/>
      <c r="E18" s="485"/>
      <c r="F18" s="485"/>
      <c r="G18" s="485"/>
      <c r="H18" s="9"/>
      <c r="I18" s="136" t="s">
        <v>224</v>
      </c>
      <c r="J18" s="185"/>
      <c r="K18" s="138"/>
      <c r="L18" s="379"/>
      <c r="M18" s="139" t="str">
        <f>IF(J18="Small",T27,IF(J18="Medium",T29,IF(J18="Large",T30,"0.00")))</f>
        <v>0.00</v>
      </c>
      <c r="N18" s="125"/>
      <c r="O18" s="9"/>
      <c r="P18" s="240" t="s">
        <v>218</v>
      </c>
      <c r="Q18" s="240" t="s">
        <v>225</v>
      </c>
      <c r="R18" s="241" t="str">
        <f>IF(J15="Small",L15,"0")</f>
        <v>0</v>
      </c>
      <c r="S18" s="207" cm="1">
        <f t="array" ref="S18:S20">+'GHG conversion factor'!D78:D80</f>
        <v>0.13994000000000001</v>
      </c>
      <c r="T18" s="204">
        <f t="shared" si="0"/>
        <v>0</v>
      </c>
    </row>
    <row r="19" spans="1:20" ht="15" customHeight="1" thickBot="1">
      <c r="A19" s="9"/>
      <c r="B19" s="124"/>
      <c r="C19" s="485"/>
      <c r="D19" s="485"/>
      <c r="E19" s="485"/>
      <c r="F19" s="485"/>
      <c r="G19" s="485"/>
      <c r="H19" s="9"/>
      <c r="I19" s="132" t="s">
        <v>226</v>
      </c>
      <c r="J19" s="77"/>
      <c r="K19" s="134"/>
      <c r="L19" s="377"/>
      <c r="M19" s="140" t="str">
        <f>IF(J19="Small",T31,IF(J19="Medium",T32,IF(J19="Large",T33,"0.00")))</f>
        <v>0.00</v>
      </c>
      <c r="N19" s="125"/>
      <c r="O19" s="9"/>
      <c r="P19" s="240" t="s">
        <v>218</v>
      </c>
      <c r="Q19" s="240" t="s">
        <v>227</v>
      </c>
      <c r="R19" s="241" t="str">
        <f>IF(J15="Medium",L15,"0")</f>
        <v>0</v>
      </c>
      <c r="S19" s="206">
        <v>0.16807</v>
      </c>
      <c r="T19" s="204">
        <f t="shared" si="0"/>
        <v>0</v>
      </c>
    </row>
    <row r="20" spans="1:20" ht="15" customHeight="1" thickBot="1">
      <c r="A20" s="9"/>
      <c r="B20" s="124"/>
      <c r="C20" s="485"/>
      <c r="D20" s="485"/>
      <c r="E20" s="485"/>
      <c r="F20" s="485"/>
      <c r="G20" s="485"/>
      <c r="H20" s="9"/>
      <c r="I20" s="136" t="s">
        <v>228</v>
      </c>
      <c r="J20" s="108"/>
      <c r="K20" s="138"/>
      <c r="L20" s="379"/>
      <c r="M20" s="139" t="str">
        <f>IF(J20="Small",T34,IF(J20="Medium",T35,IF(J20="Large",T36,"0.00")))</f>
        <v>0.00</v>
      </c>
      <c r="N20" s="125"/>
      <c r="O20" s="9"/>
      <c r="P20" s="240" t="s">
        <v>218</v>
      </c>
      <c r="Q20" s="240" t="s">
        <v>229</v>
      </c>
      <c r="R20" s="241" t="str">
        <f>IF(J15="Large",L15,"0")</f>
        <v>0</v>
      </c>
      <c r="S20" s="206">
        <v>0.20729</v>
      </c>
      <c r="T20" s="204">
        <f t="shared" si="0"/>
        <v>0</v>
      </c>
    </row>
    <row r="21" spans="1:20" ht="15" thickBot="1">
      <c r="A21" s="9"/>
      <c r="B21" s="124"/>
      <c r="C21" s="485"/>
      <c r="D21" s="485"/>
      <c r="E21" s="485"/>
      <c r="F21" s="485"/>
      <c r="G21" s="485"/>
      <c r="H21" s="9"/>
      <c r="I21" s="142" t="s">
        <v>230</v>
      </c>
      <c r="J21" s="87"/>
      <c r="K21" s="143"/>
      <c r="L21" s="377"/>
      <c r="M21" s="144" t="str">
        <f>IF(J21="Regular taxi", T37, IF(J21="Black cab", T38, "0.00"))</f>
        <v>0.00</v>
      </c>
      <c r="N21" s="125"/>
      <c r="O21" s="9"/>
      <c r="P21" s="240" t="s">
        <v>220</v>
      </c>
      <c r="Q21" s="240" t="s">
        <v>225</v>
      </c>
      <c r="R21" s="241" t="str">
        <f>IF(J16="Small",L16,"0")</f>
        <v>0</v>
      </c>
      <c r="S21" s="206" cm="1">
        <f t="array" ref="S21:S23">+'GHG conversion factor'!D81:D83</f>
        <v>0.14369999999999999</v>
      </c>
      <c r="T21" s="204">
        <f t="shared" si="0"/>
        <v>0</v>
      </c>
    </row>
    <row r="22" spans="1:20" ht="15" thickBot="1">
      <c r="A22" s="9"/>
      <c r="B22" s="124"/>
      <c r="C22" s="485"/>
      <c r="D22" s="485"/>
      <c r="E22" s="485"/>
      <c r="F22" s="485"/>
      <c r="G22" s="485"/>
      <c r="H22" s="9"/>
      <c r="I22" s="136" t="s">
        <v>231</v>
      </c>
      <c r="J22" s="108"/>
      <c r="K22" s="138"/>
      <c r="L22" s="379"/>
      <c r="M22" s="139" t="str">
        <f>IF(J22="Local-NOT London bus",T39,IF(J22="Local London bus",T40,IF(J22="Coach",T41,"0.00")))</f>
        <v>0.00</v>
      </c>
      <c r="N22" s="125"/>
      <c r="O22" s="9"/>
      <c r="P22" s="240" t="s">
        <v>220</v>
      </c>
      <c r="Q22" s="240" t="s">
        <v>227</v>
      </c>
      <c r="R22" s="241" t="str">
        <f>IF(J16="Medium",L16,"0")</f>
        <v>0</v>
      </c>
      <c r="S22" s="206">
        <v>0.17726</v>
      </c>
      <c r="T22" s="204">
        <f t="shared" si="0"/>
        <v>0</v>
      </c>
    </row>
    <row r="23" spans="1:20" ht="15" thickBot="1">
      <c r="A23" s="9"/>
      <c r="B23" s="124"/>
      <c r="C23" s="485"/>
      <c r="D23" s="485"/>
      <c r="E23" s="485"/>
      <c r="F23" s="485"/>
      <c r="G23" s="485"/>
      <c r="H23" s="9"/>
      <c r="I23" s="132" t="s">
        <v>232</v>
      </c>
      <c r="J23" s="77"/>
      <c r="K23" s="134"/>
      <c r="L23" s="377"/>
      <c r="M23" s="140" t="str">
        <f>IF(J23="National",T42,IF(J23="International",T43,IF(J23="Light &amp; Tram",T44,IF(J23="London Underground",T45,"0.00"))))</f>
        <v>0.00</v>
      </c>
      <c r="N23" s="125"/>
      <c r="O23" s="9"/>
      <c r="P23" s="240" t="s">
        <v>220</v>
      </c>
      <c r="Q23" s="240" t="s">
        <v>229</v>
      </c>
      <c r="R23" s="241" t="str">
        <f>IF(J16="Large",L16,"0")</f>
        <v>0</v>
      </c>
      <c r="S23" s="205">
        <v>0.26884999999999998</v>
      </c>
      <c r="T23" s="204">
        <f t="shared" si="0"/>
        <v>0</v>
      </c>
    </row>
    <row r="24" spans="1:20" ht="18.600000000000001" thickBot="1">
      <c r="A24" s="9"/>
      <c r="B24" s="124"/>
      <c r="C24" s="485"/>
      <c r="D24" s="485"/>
      <c r="E24" s="485"/>
      <c r="F24" s="485"/>
      <c r="G24" s="485"/>
      <c r="H24" s="9"/>
      <c r="I24" s="476" t="s">
        <v>57</v>
      </c>
      <c r="J24" s="477"/>
      <c r="K24" s="477"/>
      <c r="L24" s="478"/>
      <c r="M24" s="147">
        <f>SUM(M13:M23)</f>
        <v>0</v>
      </c>
      <c r="N24" s="125"/>
      <c r="O24" s="9"/>
      <c r="P24" s="240" t="s">
        <v>222</v>
      </c>
      <c r="Q24" s="240" t="s">
        <v>225</v>
      </c>
      <c r="R24" s="241" t="str">
        <f>IF(J17="Small",L17,"0")</f>
        <v>0</v>
      </c>
      <c r="S24" s="208" cm="1">
        <f t="array" ref="S24:S26">+'GHG conversion factor'!D84:D86</f>
        <v>0.11274000000000001</v>
      </c>
      <c r="T24" s="204">
        <f t="shared" si="0"/>
        <v>0</v>
      </c>
    </row>
    <row r="25" spans="1:20" ht="14.4">
      <c r="A25" s="9"/>
      <c r="B25" s="124"/>
      <c r="C25" s="485"/>
      <c r="D25" s="485"/>
      <c r="E25" s="485"/>
      <c r="F25" s="485"/>
      <c r="G25" s="485"/>
      <c r="H25" s="9"/>
      <c r="I25" s="192"/>
      <c r="J25" s="194"/>
      <c r="K25" s="192"/>
      <c r="L25" s="196"/>
      <c r="M25" s="193"/>
      <c r="N25" s="125"/>
      <c r="O25" s="9"/>
      <c r="P25" s="240" t="s">
        <v>222</v>
      </c>
      <c r="Q25" s="240" t="s">
        <v>227</v>
      </c>
      <c r="R25" s="241" t="str">
        <f>IF(J17="Medium",L17,"0")</f>
        <v>0</v>
      </c>
      <c r="S25" s="208">
        <v>0.1149</v>
      </c>
      <c r="T25" s="204">
        <f t="shared" si="0"/>
        <v>0</v>
      </c>
    </row>
    <row r="26" spans="1:20" ht="14.4">
      <c r="A26" s="9"/>
      <c r="B26" s="124"/>
      <c r="C26" s="485"/>
      <c r="D26" s="485"/>
      <c r="E26" s="485"/>
      <c r="F26" s="485"/>
      <c r="G26" s="485"/>
      <c r="H26" s="9"/>
      <c r="I26" s="192"/>
      <c r="J26" s="194"/>
      <c r="K26" s="194"/>
      <c r="L26" s="196"/>
      <c r="M26" s="195"/>
      <c r="N26" s="125"/>
      <c r="O26" s="9"/>
      <c r="P26" s="240" t="s">
        <v>222</v>
      </c>
      <c r="Q26" s="240" t="s">
        <v>229</v>
      </c>
      <c r="R26" s="241" t="str">
        <f>IF(J17="Large",L17,"0")</f>
        <v>0</v>
      </c>
      <c r="S26" s="209">
        <v>0.15486</v>
      </c>
      <c r="T26" s="204">
        <f t="shared" si="0"/>
        <v>0</v>
      </c>
    </row>
    <row r="27" spans="1:20" ht="14.4">
      <c r="A27" s="9"/>
      <c r="B27" s="124"/>
      <c r="C27" s="485"/>
      <c r="D27" s="485"/>
      <c r="E27" s="485"/>
      <c r="F27" s="485"/>
      <c r="G27" s="485"/>
      <c r="H27" s="9"/>
      <c r="I27" s="9"/>
      <c r="J27" s="9"/>
      <c r="K27" s="9"/>
      <c r="L27" s="9"/>
      <c r="M27" s="9"/>
      <c r="N27" s="125"/>
      <c r="O27" s="9"/>
      <c r="P27" s="245" t="s">
        <v>233</v>
      </c>
      <c r="Q27" s="240" t="s">
        <v>225</v>
      </c>
      <c r="R27" s="241" t="str">
        <f>IF(J18="Small",L18,"0")</f>
        <v>0</v>
      </c>
      <c r="S27" s="209" cm="1">
        <f t="array" ref="S27:S29">+'GHG conversion factor'!D87:D89</f>
        <v>6.0780000000000001E-2</v>
      </c>
      <c r="T27" s="204">
        <f t="shared" si="0"/>
        <v>0</v>
      </c>
    </row>
    <row r="28" spans="1:20" ht="14.4">
      <c r="A28" s="9"/>
      <c r="B28" s="124"/>
      <c r="C28" s="485"/>
      <c r="D28" s="485"/>
      <c r="E28" s="485"/>
      <c r="F28" s="485"/>
      <c r="G28" s="485"/>
      <c r="H28" s="9"/>
      <c r="I28" s="9"/>
      <c r="J28" s="9"/>
      <c r="K28" s="9"/>
      <c r="L28" s="9"/>
      <c r="M28" s="9"/>
      <c r="N28" s="125"/>
      <c r="O28" s="9"/>
      <c r="P28" s="245"/>
      <c r="Q28" s="240"/>
      <c r="R28" s="241"/>
      <c r="S28" s="209">
        <v>9.3119999999999994E-2</v>
      </c>
      <c r="T28" s="204"/>
    </row>
    <row r="29" spans="1:20" ht="15" customHeight="1">
      <c r="A29" s="9"/>
      <c r="B29" s="124"/>
      <c r="C29" s="9"/>
      <c r="D29" s="148"/>
      <c r="E29" s="9"/>
      <c r="F29" s="9"/>
      <c r="G29" s="9"/>
      <c r="H29" s="9"/>
      <c r="I29" s="149"/>
      <c r="J29" s="149"/>
      <c r="K29" s="149"/>
      <c r="L29" s="149"/>
      <c r="M29" s="150"/>
      <c r="N29" s="125"/>
      <c r="O29" s="9"/>
      <c r="P29" s="245" t="s">
        <v>233</v>
      </c>
      <c r="Q29" s="240" t="s">
        <v>227</v>
      </c>
      <c r="R29" s="241" t="str">
        <f>IF(J18="Medium",L18,"0")</f>
        <v>0</v>
      </c>
      <c r="S29" s="210">
        <v>0.11923</v>
      </c>
      <c r="T29" s="204">
        <f t="shared" si="0"/>
        <v>0</v>
      </c>
    </row>
    <row r="30" spans="1:20" ht="15" customHeight="1">
      <c r="A30" s="9"/>
      <c r="B30" s="124"/>
      <c r="C30" s="9"/>
      <c r="D30" s="148"/>
      <c r="E30" s="9"/>
      <c r="F30" s="9"/>
      <c r="G30" s="9"/>
      <c r="H30" s="9"/>
      <c r="I30" s="149"/>
      <c r="J30" s="149"/>
      <c r="K30" s="149"/>
      <c r="L30" s="149"/>
      <c r="M30" s="150"/>
      <c r="N30" s="125"/>
      <c r="O30" s="9"/>
      <c r="P30" s="245" t="s">
        <v>233</v>
      </c>
      <c r="Q30" s="240" t="s">
        <v>229</v>
      </c>
      <c r="R30" s="241" t="str">
        <f>IF(J18="Large",L18,"0")</f>
        <v>0</v>
      </c>
      <c r="S30" s="210"/>
      <c r="T30" s="204">
        <f t="shared" si="0"/>
        <v>0</v>
      </c>
    </row>
    <row r="31" spans="1:20" ht="15" customHeight="1">
      <c r="A31" s="9"/>
      <c r="B31" s="124"/>
      <c r="C31" s="9"/>
      <c r="D31" s="148"/>
      <c r="E31" s="9"/>
      <c r="F31" s="9"/>
      <c r="G31" s="9"/>
      <c r="H31" s="9"/>
      <c r="I31" s="149"/>
      <c r="J31" s="149"/>
      <c r="K31" s="149"/>
      <c r="L31" s="149"/>
      <c r="M31" s="150"/>
      <c r="N31" s="125"/>
      <c r="O31" s="9"/>
      <c r="P31" s="211" t="s">
        <v>234</v>
      </c>
      <c r="Q31" s="240" t="s">
        <v>225</v>
      </c>
      <c r="R31" s="241" t="str">
        <f>IF(J19="Small",L19,"0")</f>
        <v>0</v>
      </c>
      <c r="S31" s="212" cm="1">
        <f t="array" ref="S31:S33">+'GHG conversion factor'!D90:D92</f>
        <v>4.2840000000000003E-2</v>
      </c>
      <c r="T31" s="204">
        <f t="shared" si="0"/>
        <v>0</v>
      </c>
    </row>
    <row r="32" spans="1:20" ht="15" customHeight="1">
      <c r="A32" s="9"/>
      <c r="B32" s="124"/>
      <c r="C32" s="9"/>
      <c r="D32" s="148"/>
      <c r="E32" s="9"/>
      <c r="F32" s="9"/>
      <c r="G32" s="9"/>
      <c r="H32" s="9"/>
      <c r="I32" s="149"/>
      <c r="J32" s="149"/>
      <c r="K32" s="149"/>
      <c r="L32" s="149"/>
      <c r="M32" s="150"/>
      <c r="N32" s="125"/>
      <c r="O32" s="9"/>
      <c r="P32" s="211" t="s">
        <v>234</v>
      </c>
      <c r="Q32" s="240" t="s">
        <v>227</v>
      </c>
      <c r="R32" s="241" t="str">
        <f>IF(J19="Medium",L19,"0")</f>
        <v>0</v>
      </c>
      <c r="S32" s="212">
        <v>4.6249999999999999E-2</v>
      </c>
      <c r="T32" s="204">
        <f t="shared" si="0"/>
        <v>0</v>
      </c>
    </row>
    <row r="33" spans="1:20" ht="15" customHeight="1">
      <c r="A33" s="9"/>
      <c r="B33" s="124"/>
      <c r="C33" s="9"/>
      <c r="D33" s="148"/>
      <c r="E33" s="9"/>
      <c r="F33" s="9"/>
      <c r="G33" s="9"/>
      <c r="H33" s="9"/>
      <c r="I33" s="149"/>
      <c r="J33" s="149"/>
      <c r="K33" s="149"/>
      <c r="L33" s="149"/>
      <c r="M33" s="150"/>
      <c r="N33" s="125"/>
      <c r="O33" s="9"/>
      <c r="P33" s="211" t="s">
        <v>234</v>
      </c>
      <c r="Q33" s="240" t="s">
        <v>229</v>
      </c>
      <c r="R33" s="241" t="str">
        <f>IF(J19="Large",L19,"0")</f>
        <v>0</v>
      </c>
      <c r="S33" s="212">
        <v>4.9250000000000002E-2</v>
      </c>
      <c r="T33" s="204">
        <f t="shared" si="0"/>
        <v>0</v>
      </c>
    </row>
    <row r="34" spans="1:20" ht="15" customHeight="1">
      <c r="A34" s="9"/>
      <c r="B34" s="124"/>
      <c r="C34" s="9"/>
      <c r="D34" s="148"/>
      <c r="E34" s="9"/>
      <c r="F34" s="9"/>
      <c r="G34" s="9"/>
      <c r="H34" s="9"/>
      <c r="I34" s="149"/>
      <c r="J34" s="149"/>
      <c r="K34" s="149"/>
      <c r="L34" s="149"/>
      <c r="M34" s="150"/>
      <c r="N34" s="125"/>
      <c r="O34" s="9"/>
      <c r="P34" s="211" t="s">
        <v>228</v>
      </c>
      <c r="Q34" s="240" t="s">
        <v>225</v>
      </c>
      <c r="R34" s="241" t="str">
        <f>IF(J20="Small",L20,"0")</f>
        <v>0</v>
      </c>
      <c r="S34" s="212" cm="1">
        <f t="array" ref="S34:S36">+'GHG conversion factor'!D93:D95</f>
        <v>8.319E-2</v>
      </c>
      <c r="T34" s="204">
        <f t="shared" si="0"/>
        <v>0</v>
      </c>
    </row>
    <row r="35" spans="1:20" ht="15" customHeight="1">
      <c r="A35" s="9"/>
      <c r="B35" s="124"/>
      <c r="C35" s="9"/>
      <c r="D35" s="148"/>
      <c r="E35" s="9"/>
      <c r="F35" s="9"/>
      <c r="G35" s="9"/>
      <c r="H35" s="9"/>
      <c r="I35" s="149"/>
      <c r="J35" s="149"/>
      <c r="K35" s="149"/>
      <c r="L35" s="149"/>
      <c r="M35" s="150"/>
      <c r="N35" s="125"/>
      <c r="O35" s="9"/>
      <c r="P35" s="211" t="s">
        <v>228</v>
      </c>
      <c r="Q35" s="240" t="s">
        <v>227</v>
      </c>
      <c r="R35" s="241" t="str">
        <f>IF(J20="Medium",L20,"0")</f>
        <v>0</v>
      </c>
      <c r="S35" s="210">
        <v>0.10106999999999999</v>
      </c>
      <c r="T35" s="204">
        <f t="shared" si="0"/>
        <v>0</v>
      </c>
    </row>
    <row r="36" spans="1:20" ht="15" customHeight="1">
      <c r="A36" s="9"/>
      <c r="B36" s="124"/>
      <c r="C36" s="9"/>
      <c r="D36" s="148"/>
      <c r="E36" s="9"/>
      <c r="F36" s="9"/>
      <c r="G36" s="9"/>
      <c r="H36" s="9"/>
      <c r="I36" s="149"/>
      <c r="J36" s="149"/>
      <c r="K36" s="149"/>
      <c r="L36" s="149"/>
      <c r="M36" s="150"/>
      <c r="N36" s="125"/>
      <c r="O36" s="9"/>
      <c r="P36" s="211" t="s">
        <v>228</v>
      </c>
      <c r="Q36" s="240" t="s">
        <v>229</v>
      </c>
      <c r="R36" s="241" t="str">
        <f>IF(J20="Large",L20,"0")</f>
        <v>0</v>
      </c>
      <c r="S36" s="210">
        <v>0.13252</v>
      </c>
      <c r="T36" s="204">
        <f t="shared" si="0"/>
        <v>0</v>
      </c>
    </row>
    <row r="37" spans="1:20" ht="15" customHeight="1">
      <c r="A37" s="9"/>
      <c r="B37" s="124"/>
      <c r="C37" s="9"/>
      <c r="D37" s="148"/>
      <c r="E37" s="9"/>
      <c r="F37" s="9"/>
      <c r="G37" s="9"/>
      <c r="H37" s="9"/>
      <c r="I37" s="149"/>
      <c r="J37" s="149"/>
      <c r="K37" s="149"/>
      <c r="L37" s="149"/>
      <c r="M37" s="150"/>
      <c r="N37" s="125"/>
      <c r="O37" s="9"/>
      <c r="P37" s="211" t="s">
        <v>235</v>
      </c>
      <c r="Q37" s="240" t="s">
        <v>236</v>
      </c>
      <c r="R37" s="241" t="str">
        <f>IF(J21="Regular taxi",L21,"0")</f>
        <v>0</v>
      </c>
      <c r="S37" s="210" cm="1">
        <f t="array" ref="S37:S38">+'GHG conversion factor'!D96:D97</f>
        <v>0.20805000000000001</v>
      </c>
      <c r="T37" s="204">
        <f t="shared" si="0"/>
        <v>0</v>
      </c>
    </row>
    <row r="38" spans="1:20" ht="15" customHeight="1">
      <c r="A38" s="9"/>
      <c r="B38" s="124"/>
      <c r="C38" s="9"/>
      <c r="D38" s="148"/>
      <c r="E38" s="9"/>
      <c r="F38" s="9"/>
      <c r="G38" s="9"/>
      <c r="H38" s="9"/>
      <c r="I38" s="149"/>
      <c r="J38" s="149"/>
      <c r="K38" s="149"/>
      <c r="L38" s="149"/>
      <c r="M38" s="150"/>
      <c r="N38" s="125"/>
      <c r="O38" s="9"/>
      <c r="P38" s="211" t="s">
        <v>235</v>
      </c>
      <c r="Q38" s="240" t="s">
        <v>237</v>
      </c>
      <c r="R38" s="241" t="str">
        <f>IF(J21="Black cab",L21,"0")</f>
        <v>0</v>
      </c>
      <c r="S38" s="210">
        <v>0.30603000000000002</v>
      </c>
      <c r="T38" s="204">
        <f t="shared" si="0"/>
        <v>0</v>
      </c>
    </row>
    <row r="39" spans="1:20" ht="15" customHeight="1">
      <c r="A39" s="9"/>
      <c r="B39" s="124"/>
      <c r="C39" s="9"/>
      <c r="D39" s="148"/>
      <c r="E39" s="9"/>
      <c r="F39" s="9"/>
      <c r="G39" s="9"/>
      <c r="H39" s="9"/>
      <c r="I39" s="149"/>
      <c r="J39" s="149"/>
      <c r="K39" s="149"/>
      <c r="L39" s="149"/>
      <c r="M39" s="150"/>
      <c r="N39" s="125"/>
      <c r="O39" s="9"/>
      <c r="P39" s="211" t="s">
        <v>238</v>
      </c>
      <c r="Q39" s="240" t="s">
        <v>239</v>
      </c>
      <c r="R39" s="241" t="str">
        <f>IF(J22="Local-NOT London bus",L22,"0")</f>
        <v>0</v>
      </c>
      <c r="S39" s="210" cm="1">
        <f t="array" ref="S39:S41">+'GHG conversion factor'!D98:D100</f>
        <v>0.12998999999999999</v>
      </c>
      <c r="T39" s="204">
        <f t="shared" si="0"/>
        <v>0</v>
      </c>
    </row>
    <row r="40" spans="1:20" ht="15" customHeight="1">
      <c r="A40" s="9"/>
      <c r="B40" s="124"/>
      <c r="C40" s="9"/>
      <c r="D40" s="148"/>
      <c r="E40" s="9"/>
      <c r="F40" s="9"/>
      <c r="G40" s="9"/>
      <c r="H40" s="9"/>
      <c r="I40" s="149"/>
      <c r="J40" s="149"/>
      <c r="K40" s="149"/>
      <c r="L40" s="149"/>
      <c r="M40" s="150"/>
      <c r="N40" s="125"/>
      <c r="O40" s="9"/>
      <c r="P40" s="211" t="s">
        <v>238</v>
      </c>
      <c r="Q40" s="211" t="s">
        <v>240</v>
      </c>
      <c r="R40" s="241" t="str">
        <f>IF(J22="Local London bus",L22,"0")</f>
        <v>0</v>
      </c>
      <c r="S40" s="210">
        <v>7.4469999999999995E-2</v>
      </c>
      <c r="T40" s="204">
        <f t="shared" si="0"/>
        <v>0</v>
      </c>
    </row>
    <row r="41" spans="1:20" ht="15" customHeight="1">
      <c r="A41" s="9"/>
      <c r="B41" s="124"/>
      <c r="C41" s="9"/>
      <c r="D41" s="148"/>
      <c r="E41" s="9"/>
      <c r="F41" s="9"/>
      <c r="G41" s="9"/>
      <c r="H41" s="9"/>
      <c r="I41" s="149"/>
      <c r="J41" s="149"/>
      <c r="K41" s="149"/>
      <c r="L41" s="149"/>
      <c r="M41" s="150"/>
      <c r="N41" s="125"/>
      <c r="O41" s="9"/>
      <c r="P41" s="211" t="s">
        <v>238</v>
      </c>
      <c r="Q41" s="240" t="s">
        <v>241</v>
      </c>
      <c r="R41" s="241" t="str">
        <f>IF(J22="Coach",L22,"0")</f>
        <v>0</v>
      </c>
      <c r="S41" s="210">
        <v>2.717E-2</v>
      </c>
      <c r="T41" s="204">
        <f t="shared" si="0"/>
        <v>0</v>
      </c>
    </row>
    <row r="42" spans="1:20" ht="15" customHeight="1">
      <c r="A42" s="9"/>
      <c r="B42" s="124"/>
      <c r="C42" s="9"/>
      <c r="D42" s="148"/>
      <c r="E42" s="9"/>
      <c r="F42" s="9"/>
      <c r="G42" s="9"/>
      <c r="H42" s="9"/>
      <c r="I42" s="149"/>
      <c r="J42" s="149"/>
      <c r="K42" s="149"/>
      <c r="L42" s="149"/>
      <c r="M42" s="150"/>
      <c r="N42" s="125"/>
      <c r="O42" s="9"/>
      <c r="P42" s="211" t="s">
        <v>242</v>
      </c>
      <c r="Q42" s="211" t="s">
        <v>243</v>
      </c>
      <c r="R42" s="241" t="str">
        <f>IF(J23="National",L23,"0")</f>
        <v>0</v>
      </c>
      <c r="S42" s="210" cm="1">
        <f t="array" ref="S42:S45">+'GHG conversion factor'!D101:D104</f>
        <v>3.5459999999999998E-2</v>
      </c>
      <c r="T42" s="204">
        <f t="shared" si="0"/>
        <v>0</v>
      </c>
    </row>
    <row r="43" spans="1:20" ht="15" customHeight="1">
      <c r="A43" s="9"/>
      <c r="B43" s="124"/>
      <c r="C43" s="9"/>
      <c r="D43" s="148"/>
      <c r="E43" s="9"/>
      <c r="F43" s="9"/>
      <c r="G43" s="9"/>
      <c r="H43" s="9"/>
      <c r="I43" s="149"/>
      <c r="J43" s="149"/>
      <c r="K43" s="149"/>
      <c r="L43" s="149"/>
      <c r="M43" s="150"/>
      <c r="N43" s="125"/>
      <c r="O43" s="9"/>
      <c r="P43" s="211" t="s">
        <v>242</v>
      </c>
      <c r="Q43" s="240" t="s">
        <v>244</v>
      </c>
      <c r="R43" s="241" t="str">
        <f>IF(J23="International",L23,"0")</f>
        <v>0</v>
      </c>
      <c r="S43" s="210">
        <v>4.4600000000000004E-3</v>
      </c>
      <c r="T43" s="204">
        <f t="shared" si="0"/>
        <v>0</v>
      </c>
    </row>
    <row r="44" spans="1:20" ht="15" customHeight="1">
      <c r="A44" s="9"/>
      <c r="B44" s="124"/>
      <c r="C44" s="9"/>
      <c r="D44" s="148"/>
      <c r="E44" s="9"/>
      <c r="F44" s="9"/>
      <c r="G44" s="9"/>
      <c r="H44" s="9"/>
      <c r="I44" s="149"/>
      <c r="J44" s="149"/>
      <c r="K44" s="149"/>
      <c r="L44" s="149"/>
      <c r="M44" s="150"/>
      <c r="N44" s="125"/>
      <c r="O44" s="9"/>
      <c r="P44" s="211" t="s">
        <v>242</v>
      </c>
      <c r="Q44" s="240" t="s">
        <v>245</v>
      </c>
      <c r="R44" s="241" t="str">
        <f>IF(J23="Light &amp; Tram",L23,"0")</f>
        <v>0</v>
      </c>
      <c r="S44" s="210">
        <v>2.86E-2</v>
      </c>
      <c r="T44" s="204">
        <f t="shared" si="0"/>
        <v>0</v>
      </c>
    </row>
    <row r="45" spans="1:20" ht="15" customHeight="1">
      <c r="A45" s="9"/>
      <c r="B45" s="124"/>
      <c r="C45" s="9"/>
      <c r="D45" s="148"/>
      <c r="E45" s="9"/>
      <c r="F45" s="9"/>
      <c r="G45" s="9"/>
      <c r="H45" s="9"/>
      <c r="I45" s="149"/>
      <c r="J45" s="149"/>
      <c r="K45" s="149"/>
      <c r="L45" s="149"/>
      <c r="M45" s="150"/>
      <c r="N45" s="125"/>
      <c r="O45" s="9"/>
      <c r="P45" s="211" t="s">
        <v>242</v>
      </c>
      <c r="Q45" s="240" t="s">
        <v>246</v>
      </c>
      <c r="R45" s="241" t="str">
        <f>IF(J23="London Underground",L23,"0")</f>
        <v>0</v>
      </c>
      <c r="S45" s="210">
        <v>2.7799999999999998E-2</v>
      </c>
      <c r="T45" s="204">
        <f t="shared" si="0"/>
        <v>0</v>
      </c>
    </row>
    <row r="46" spans="1:20" ht="15" customHeight="1">
      <c r="A46" s="9"/>
      <c r="B46" s="124"/>
      <c r="C46" s="9"/>
      <c r="D46" s="148"/>
      <c r="E46" s="9"/>
      <c r="F46" s="9"/>
      <c r="G46" s="9"/>
      <c r="H46" s="9"/>
      <c r="I46" s="149"/>
      <c r="J46" s="149"/>
      <c r="K46" s="149"/>
      <c r="L46" s="149"/>
      <c r="M46" s="150"/>
      <c r="N46" s="125"/>
      <c r="O46" s="9"/>
      <c r="P46" s="211"/>
      <c r="Q46" s="240"/>
      <c r="R46" s="241"/>
      <c r="S46" s="210"/>
      <c r="T46" s="204"/>
    </row>
    <row r="47" spans="1:20" ht="15" customHeight="1">
      <c r="A47" s="9"/>
      <c r="B47" s="124"/>
      <c r="C47" s="9"/>
      <c r="D47" s="148"/>
      <c r="E47" s="9"/>
      <c r="F47" s="9"/>
      <c r="G47" s="9"/>
      <c r="H47" s="9"/>
      <c r="I47" s="149"/>
      <c r="J47" s="149"/>
      <c r="K47" s="149"/>
      <c r="L47" s="149"/>
      <c r="M47" s="150"/>
      <c r="N47" s="125"/>
      <c r="O47" s="9"/>
      <c r="P47" s="211"/>
      <c r="Q47" s="229"/>
      <c r="R47" s="229"/>
      <c r="S47" s="210"/>
      <c r="T47" s="204"/>
    </row>
    <row r="48" spans="1:20" ht="15" customHeight="1" thickBot="1">
      <c r="A48" s="9"/>
      <c r="B48" s="151"/>
      <c r="C48" s="152"/>
      <c r="D48" s="152"/>
      <c r="E48" s="152"/>
      <c r="F48" s="152"/>
      <c r="G48" s="152"/>
      <c r="H48" s="152"/>
      <c r="I48" s="152"/>
      <c r="J48" s="152"/>
      <c r="K48" s="152"/>
      <c r="L48" s="152"/>
      <c r="M48" s="152"/>
      <c r="N48" s="153"/>
      <c r="O48" s="9"/>
      <c r="P48" s="211"/>
      <c r="Q48" s="240"/>
      <c r="R48" s="229"/>
      <c r="S48" s="210"/>
      <c r="T48" s="204"/>
    </row>
    <row r="49" spans="1:20" ht="15" customHeight="1">
      <c r="A49" s="9"/>
      <c r="B49" s="9"/>
      <c r="C49" s="9"/>
      <c r="D49" s="9"/>
      <c r="E49" s="9"/>
      <c r="F49" s="9"/>
      <c r="G49" s="9"/>
      <c r="H49" s="9"/>
      <c r="I49" s="9"/>
      <c r="J49" s="9"/>
      <c r="K49" s="9"/>
      <c r="L49" s="9"/>
      <c r="M49" s="9"/>
      <c r="N49" s="9"/>
      <c r="O49" s="9"/>
      <c r="P49" s="179"/>
      <c r="Q49" s="179"/>
      <c r="R49" s="179"/>
      <c r="S49" s="179"/>
      <c r="T49" s="179"/>
    </row>
    <row r="50" spans="1:20" ht="15" hidden="1" customHeight="1"/>
    <row r="51" spans="1:20" ht="15" hidden="1" customHeight="1"/>
  </sheetData>
  <sheetProtection algorithmName="SHA-512" hashValue="W/CKGDo6Ck8I/TFcgZ9FTxx7Zikd3PgrPTye2UsMdWzxzbtUJa1D2m4Qz6ayHqab9Heyt6vMyi+c+quAhc+6GQ==" saltValue="p/Cv64aF8hObfwBVLb365w==" spinCount="100000" sheet="1" selectLockedCells="1"/>
  <mergeCells count="10">
    <mergeCell ref="D13:H14"/>
    <mergeCell ref="I24:L24"/>
    <mergeCell ref="D15:G16"/>
    <mergeCell ref="C2:H2"/>
    <mergeCell ref="B5:D5"/>
    <mergeCell ref="B4:D4"/>
    <mergeCell ref="C10:M10"/>
    <mergeCell ref="J12:K12"/>
    <mergeCell ref="B6:D6"/>
    <mergeCell ref="C18:G28"/>
  </mergeCells>
  <conditionalFormatting sqref="S13">
    <cfRule type="expression" dxfId="47" priority="1" stopIfTrue="1">
      <formula>S13=""</formula>
    </cfRule>
  </conditionalFormatting>
  <dataValidations count="6">
    <dataValidation type="list" allowBlank="1" showInputMessage="1" showErrorMessage="1" sqref="J13" xr:uid="{4AA89082-7BB2-48BC-9775-00AC9F8A3697}">
      <formula1>"Domestic, Short-haul, Long-haul"</formula1>
    </dataValidation>
    <dataValidation type="list" allowBlank="1" showInputMessage="1" showErrorMessage="1" sqref="J14" xr:uid="{9F6974CD-BF74-41C2-81D1-C8F3BCA9C28C}">
      <formula1>"Foot-passenger, Car-passenger"</formula1>
    </dataValidation>
    <dataValidation type="list" allowBlank="1" showInputMessage="1" showErrorMessage="1" sqref="J15:J20" xr:uid="{79809490-CF74-42AC-88D7-D14A11D5A6AA}">
      <formula1>"Small, Medium, Large"</formula1>
    </dataValidation>
    <dataValidation type="list" allowBlank="1" showInputMessage="1" showErrorMessage="1" sqref="J21" xr:uid="{BE1321B6-AD12-42FB-A289-51AFEC62F1C9}">
      <formula1>"Regular taxi, Black cab"</formula1>
    </dataValidation>
    <dataValidation type="list" allowBlank="1" showInputMessage="1" showErrorMessage="1" sqref="J22" xr:uid="{B02C0EB8-7665-4400-9902-5B3E13DBC2E7}">
      <formula1>"Local-NOT London bus, Local London bus, Coach"</formula1>
    </dataValidation>
    <dataValidation type="list" allowBlank="1" showInputMessage="1" showErrorMessage="1" sqref="J23" xr:uid="{4A3303DA-32BB-49F6-AB89-D3B04F06D876}">
      <formula1>"National, International, Light &amp; Tram, London Underground"</formula1>
    </dataValidation>
  </dataValidations>
  <pageMargins left="0.7" right="0.7" top="0.75" bottom="0.75" header="0.3" footer="0.3"/>
  <pageSetup orientation="landscape" r:id="rId1"/>
  <ignoredErrors>
    <ignoredError sqref="R19"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FF2BF-02C1-4F86-A43C-99A6B947EEDD}">
  <sheetPr codeName="Sheet10"/>
  <dimension ref="A1:V50"/>
  <sheetViews>
    <sheetView zoomScaleNormal="100" workbookViewId="0">
      <selection activeCell="J13" sqref="J13"/>
    </sheetView>
  </sheetViews>
  <sheetFormatPr defaultColWidth="0" defaultRowHeight="0" customHeight="1" zeroHeight="1"/>
  <cols>
    <col min="1" max="3" width="3.6640625" customWidth="1"/>
    <col min="4" max="7" width="5.6640625" customWidth="1"/>
    <col min="8" max="8" width="3.6640625" customWidth="1"/>
    <col min="9" max="9" width="25.6640625" customWidth="1"/>
    <col min="10" max="12" width="11.6640625" customWidth="1"/>
    <col min="13" max="13" width="14.6640625" customWidth="1"/>
    <col min="14" max="15" width="3.6640625" customWidth="1"/>
    <col min="16" max="17" width="10.6640625" hidden="1" customWidth="1"/>
    <col min="18" max="16384" width="8.77734375" hidden="1"/>
  </cols>
  <sheetData>
    <row r="1" spans="1:22" ht="25.2" customHeight="1">
      <c r="A1" s="9"/>
      <c r="B1" s="9"/>
      <c r="C1" s="9"/>
      <c r="D1" s="9"/>
      <c r="E1" s="9"/>
      <c r="F1" s="9"/>
      <c r="G1" s="9"/>
      <c r="H1" s="9"/>
      <c r="I1" s="9"/>
      <c r="J1" s="9"/>
      <c r="K1" s="9"/>
      <c r="L1" s="9"/>
      <c r="M1" s="9"/>
      <c r="N1" s="9"/>
      <c r="O1" s="9"/>
      <c r="P1" s="229"/>
      <c r="Q1" s="229"/>
      <c r="R1" s="229"/>
      <c r="S1" s="229"/>
      <c r="T1" s="229"/>
      <c r="U1" s="229"/>
    </row>
    <row r="2" spans="1:22" ht="25.2" customHeight="1">
      <c r="A2" s="9"/>
      <c r="B2" s="116" t="s">
        <v>0</v>
      </c>
      <c r="C2" s="450" t="s">
        <v>1</v>
      </c>
      <c r="D2" s="450"/>
      <c r="E2" s="450"/>
      <c r="F2" s="450"/>
      <c r="G2" s="450"/>
      <c r="H2" s="450"/>
      <c r="I2" s="354" t="str">
        <f>+'WSA-CC-Energy'!I2</f>
        <v>Carbon Calculator-2024</v>
      </c>
      <c r="J2" s="9"/>
      <c r="K2" s="9"/>
      <c r="L2" s="9"/>
      <c r="M2" s="9"/>
      <c r="N2" s="9"/>
      <c r="O2" s="9"/>
      <c r="P2" s="229"/>
      <c r="Q2" s="229"/>
      <c r="R2" s="229"/>
      <c r="S2" s="229"/>
      <c r="T2" s="229"/>
      <c r="U2" s="229"/>
    </row>
    <row r="3" spans="1:22" ht="25.2" customHeight="1">
      <c r="A3" s="9"/>
      <c r="B3" s="9"/>
      <c r="D3" s="9"/>
      <c r="E3" s="9"/>
      <c r="F3" s="9"/>
      <c r="G3" s="9"/>
      <c r="H3" s="9"/>
      <c r="I3" s="9"/>
      <c r="J3" s="9"/>
      <c r="K3" s="9"/>
      <c r="L3" s="9"/>
      <c r="M3" s="9"/>
      <c r="N3" s="9"/>
      <c r="O3" s="9"/>
      <c r="P3" s="229"/>
      <c r="Q3" s="229"/>
      <c r="R3" s="229"/>
      <c r="S3" s="229"/>
      <c r="T3" s="229"/>
      <c r="U3" s="229"/>
      <c r="V3" s="229"/>
    </row>
    <row r="4" spans="1:22" ht="15" customHeight="1">
      <c r="A4" s="9"/>
      <c r="B4" s="451" t="s">
        <v>38</v>
      </c>
      <c r="C4" s="451"/>
      <c r="D4" s="451"/>
      <c r="E4" s="9"/>
      <c r="F4" s="259" t="str">
        <f>+'WSA-CC-Energy'!F4</f>
        <v>Click here to type once to automatically fill the rest</v>
      </c>
      <c r="G4" s="117"/>
      <c r="H4" s="117"/>
      <c r="I4" s="117"/>
      <c r="J4" s="9"/>
      <c r="K4" s="118" t="s">
        <v>40</v>
      </c>
      <c r="L4" s="119" t="str">
        <f>+'WSA-CC-Energy'!L4</f>
        <v>Click here to Type</v>
      </c>
      <c r="M4" s="119"/>
      <c r="N4" s="9"/>
      <c r="O4" s="9"/>
      <c r="P4" s="229"/>
      <c r="Q4" s="229"/>
      <c r="R4" s="229"/>
      <c r="S4" s="229"/>
      <c r="T4" s="229"/>
      <c r="U4" s="229"/>
      <c r="V4" s="229"/>
    </row>
    <row r="5" spans="1:22" ht="15" customHeight="1">
      <c r="A5" s="9"/>
      <c r="B5" s="451"/>
      <c r="C5" s="451"/>
      <c r="D5" s="451"/>
      <c r="E5" s="9"/>
      <c r="F5" s="258"/>
      <c r="G5" s="9"/>
      <c r="H5" s="9"/>
      <c r="I5" s="9"/>
      <c r="J5" s="9"/>
      <c r="K5" s="9"/>
      <c r="L5" s="9"/>
      <c r="M5" s="9"/>
      <c r="N5" s="9"/>
      <c r="O5" s="9"/>
      <c r="P5" s="229"/>
      <c r="Q5" s="229"/>
      <c r="R5" s="229"/>
      <c r="S5" s="229"/>
      <c r="T5" s="229"/>
      <c r="U5" s="229"/>
      <c r="V5" s="229"/>
    </row>
    <row r="6" spans="1:22" ht="15" customHeight="1">
      <c r="A6" s="9"/>
      <c r="B6" s="451"/>
      <c r="C6" s="451"/>
      <c r="D6" s="451"/>
      <c r="E6" s="9"/>
      <c r="F6" s="258"/>
      <c r="G6" s="9"/>
      <c r="H6" s="9"/>
      <c r="I6" s="9"/>
      <c r="J6" s="9"/>
      <c r="K6" s="9"/>
      <c r="L6" s="9"/>
      <c r="M6" s="9"/>
      <c r="N6" s="9"/>
      <c r="O6" s="9"/>
      <c r="P6" s="229"/>
      <c r="Q6" s="229"/>
      <c r="R6" s="229"/>
      <c r="S6" s="229"/>
      <c r="T6" s="229"/>
      <c r="U6" s="229"/>
      <c r="V6" s="229"/>
    </row>
    <row r="7" spans="1:22" ht="15" customHeight="1" thickBot="1">
      <c r="A7" s="9"/>
      <c r="B7" s="9"/>
      <c r="C7" s="9"/>
      <c r="D7" s="9"/>
      <c r="E7" s="9"/>
      <c r="F7" s="9"/>
      <c r="G7" s="9"/>
      <c r="H7" s="9"/>
      <c r="I7" s="152"/>
      <c r="J7" s="9"/>
      <c r="K7" s="9"/>
      <c r="L7" s="9"/>
      <c r="M7" s="9"/>
      <c r="N7" s="9"/>
      <c r="O7" s="9"/>
      <c r="P7" s="229"/>
      <c r="Q7" s="229"/>
      <c r="R7" s="229"/>
      <c r="S7" s="229"/>
      <c r="T7" s="229"/>
      <c r="U7" s="229"/>
      <c r="V7" s="229"/>
    </row>
    <row r="8" spans="1:22" ht="23.4">
      <c r="A8" s="9"/>
      <c r="B8" s="120"/>
      <c r="C8" s="121" t="s">
        <v>13</v>
      </c>
      <c r="D8" s="121"/>
      <c r="E8" s="121"/>
      <c r="F8" s="121"/>
      <c r="G8" s="121"/>
      <c r="H8" s="121"/>
      <c r="I8" s="121"/>
      <c r="J8" s="121"/>
      <c r="K8" s="121"/>
      <c r="L8" s="121"/>
      <c r="M8" s="122" t="s">
        <v>247</v>
      </c>
      <c r="N8" s="123"/>
      <c r="O8" s="9"/>
      <c r="P8" s="229"/>
      <c r="Q8" s="229"/>
      <c r="R8" s="229"/>
      <c r="S8" s="229"/>
      <c r="T8" s="229"/>
      <c r="U8" s="229"/>
      <c r="V8" s="229"/>
    </row>
    <row r="9" spans="1:22" ht="14.4">
      <c r="A9" s="9"/>
      <c r="B9" s="124"/>
      <c r="C9" s="9"/>
      <c r="D9" s="9"/>
      <c r="E9" s="9"/>
      <c r="F9" s="9"/>
      <c r="G9" s="9"/>
      <c r="H9" s="9"/>
      <c r="I9" s="9"/>
      <c r="J9" s="9"/>
      <c r="K9" s="9"/>
      <c r="L9" s="9"/>
      <c r="M9" s="9"/>
      <c r="N9" s="125"/>
      <c r="O9" s="9"/>
      <c r="P9" s="229"/>
      <c r="Q9" s="229"/>
      <c r="R9" s="229"/>
      <c r="S9" s="229"/>
      <c r="T9" s="229"/>
      <c r="U9" s="229"/>
      <c r="V9" s="229"/>
    </row>
    <row r="10" spans="1:22" ht="45" customHeight="1">
      <c r="A10" s="9"/>
      <c r="B10" s="124"/>
      <c r="C10" s="444" t="s">
        <v>248</v>
      </c>
      <c r="D10" s="444"/>
      <c r="E10" s="444"/>
      <c r="F10" s="444"/>
      <c r="G10" s="444"/>
      <c r="H10" s="444"/>
      <c r="I10" s="444"/>
      <c r="J10" s="444"/>
      <c r="K10" s="444"/>
      <c r="L10" s="444"/>
      <c r="M10" s="444"/>
      <c r="N10" s="125"/>
      <c r="O10" s="9"/>
      <c r="P10" s="229"/>
      <c r="Q10" s="229"/>
      <c r="R10" s="229"/>
      <c r="S10" s="229"/>
      <c r="T10" s="229"/>
      <c r="U10" s="229"/>
      <c r="V10" s="229"/>
    </row>
    <row r="11" spans="1:22" ht="15" thickBot="1">
      <c r="A11" s="9"/>
      <c r="B11" s="124"/>
      <c r="C11" s="9"/>
      <c r="D11" s="9"/>
      <c r="E11" s="9"/>
      <c r="F11" s="9"/>
      <c r="G11" s="9"/>
      <c r="H11" s="9"/>
      <c r="I11" s="9"/>
      <c r="J11" s="9"/>
      <c r="K11" s="9"/>
      <c r="L11" s="9"/>
      <c r="M11" s="9"/>
      <c r="N11" s="125"/>
      <c r="O11" s="9"/>
      <c r="P11" s="229"/>
      <c r="Q11" s="229"/>
      <c r="R11" s="229"/>
      <c r="S11" s="229"/>
      <c r="T11" s="229"/>
      <c r="U11" s="229"/>
      <c r="V11" s="229"/>
    </row>
    <row r="12" spans="1:22" ht="28.2" thickBot="1">
      <c r="A12" s="9"/>
      <c r="B12" s="124"/>
      <c r="C12" s="126" t="s">
        <v>52</v>
      </c>
      <c r="D12" s="9"/>
      <c r="E12" s="127"/>
      <c r="F12" s="127"/>
      <c r="G12" s="127"/>
      <c r="H12" s="9"/>
      <c r="I12" s="128" t="s">
        <v>207</v>
      </c>
      <c r="J12" s="129" t="s">
        <v>249</v>
      </c>
      <c r="K12" s="129" t="s">
        <v>250</v>
      </c>
      <c r="L12" s="130" t="s">
        <v>209</v>
      </c>
      <c r="M12" s="131" t="s">
        <v>50</v>
      </c>
      <c r="N12" s="125"/>
      <c r="O12" s="9" t="s">
        <v>51</v>
      </c>
      <c r="P12" s="202"/>
      <c r="Q12" s="202"/>
      <c r="R12" s="229"/>
      <c r="S12" s="229"/>
      <c r="T12" s="229"/>
      <c r="U12" s="229"/>
      <c r="V12" s="229"/>
    </row>
    <row r="13" spans="1:22" ht="15" customHeight="1" thickBot="1">
      <c r="A13" s="9"/>
      <c r="B13" s="124"/>
      <c r="C13" s="155" t="s">
        <v>6</v>
      </c>
      <c r="D13" s="442" t="s">
        <v>251</v>
      </c>
      <c r="E13" s="442"/>
      <c r="F13" s="442"/>
      <c r="G13" s="442"/>
      <c r="H13" s="490"/>
      <c r="I13" s="132" t="s">
        <v>252</v>
      </c>
      <c r="J13" s="217"/>
      <c r="K13" s="382"/>
      <c r="L13" s="377"/>
      <c r="M13" s="135" cm="1">
        <f t="array" ref="M13:M23">+'Carbon Calculator-All'!K152:K162</f>
        <v>0</v>
      </c>
      <c r="N13" s="125"/>
      <c r="O13" s="9"/>
      <c r="P13" s="203"/>
      <c r="Q13" s="204"/>
      <c r="R13" s="229"/>
      <c r="S13" s="229"/>
      <c r="T13" s="229"/>
      <c r="U13" s="229"/>
      <c r="V13" s="229"/>
    </row>
    <row r="14" spans="1:22" ht="15" customHeight="1" thickBot="1">
      <c r="A14" s="9"/>
      <c r="B14" s="124"/>
      <c r="C14" s="155"/>
      <c r="D14" s="442"/>
      <c r="E14" s="442"/>
      <c r="F14" s="442"/>
      <c r="G14" s="442"/>
      <c r="H14" s="490"/>
      <c r="I14" s="136" t="s">
        <v>253</v>
      </c>
      <c r="J14" s="218"/>
      <c r="K14" s="383"/>
      <c r="L14" s="379"/>
      <c r="M14" s="139">
        <v>0</v>
      </c>
      <c r="N14" s="125"/>
      <c r="O14" s="9"/>
      <c r="P14" s="203"/>
      <c r="Q14" s="204"/>
      <c r="R14" s="229"/>
      <c r="S14" s="229"/>
      <c r="T14" s="229"/>
      <c r="U14" s="229"/>
      <c r="V14" s="229"/>
    </row>
    <row r="15" spans="1:22" ht="15" customHeight="1" thickBot="1">
      <c r="A15" s="9"/>
      <c r="B15" s="124"/>
      <c r="C15" s="155" t="s">
        <v>10</v>
      </c>
      <c r="D15" s="442" t="s">
        <v>254</v>
      </c>
      <c r="E15" s="442"/>
      <c r="F15" s="442"/>
      <c r="G15" s="442"/>
      <c r="H15" s="9"/>
      <c r="I15" s="132" t="s">
        <v>255</v>
      </c>
      <c r="J15" s="217"/>
      <c r="K15" s="382"/>
      <c r="L15" s="377"/>
      <c r="M15" s="135">
        <v>0</v>
      </c>
      <c r="N15" s="125"/>
      <c r="O15" s="9"/>
      <c r="P15" s="205"/>
      <c r="Q15" s="204"/>
      <c r="R15" s="229"/>
      <c r="S15" s="229"/>
      <c r="T15" s="229"/>
      <c r="U15" s="229"/>
      <c r="V15" s="229"/>
    </row>
    <row r="16" spans="1:22" ht="15" customHeight="1" thickBot="1">
      <c r="A16" s="9"/>
      <c r="B16" s="124"/>
      <c r="C16" s="156"/>
      <c r="D16" s="442"/>
      <c r="E16" s="442"/>
      <c r="F16" s="442"/>
      <c r="G16" s="442"/>
      <c r="H16" s="9"/>
      <c r="I16" s="136" t="s">
        <v>256</v>
      </c>
      <c r="J16" s="218"/>
      <c r="K16" s="383"/>
      <c r="L16" s="379"/>
      <c r="M16" s="139">
        <v>0</v>
      </c>
      <c r="N16" s="125"/>
      <c r="O16" s="9"/>
      <c r="P16" s="206"/>
      <c r="Q16" s="204"/>
      <c r="R16" s="229"/>
      <c r="S16" s="229"/>
      <c r="T16" s="229"/>
      <c r="U16" s="229"/>
      <c r="V16" s="229"/>
    </row>
    <row r="17" spans="1:22" ht="15" customHeight="1" thickBot="1">
      <c r="A17" s="9"/>
      <c r="B17" s="124"/>
      <c r="C17" s="126" t="s">
        <v>135</v>
      </c>
      <c r="D17" s="141"/>
      <c r="E17" s="141"/>
      <c r="F17" s="141"/>
      <c r="G17" s="141"/>
      <c r="H17" s="9"/>
      <c r="I17" s="142" t="s">
        <v>257</v>
      </c>
      <c r="J17" s="219"/>
      <c r="K17" s="384"/>
      <c r="L17" s="377"/>
      <c r="M17" s="140">
        <v>0</v>
      </c>
      <c r="N17" s="125"/>
      <c r="O17" s="9"/>
      <c r="P17" s="206"/>
      <c r="Q17" s="204"/>
      <c r="R17" s="229"/>
      <c r="S17" s="229"/>
      <c r="T17" s="229"/>
      <c r="U17" s="229"/>
      <c r="V17" s="229"/>
    </row>
    <row r="18" spans="1:22" ht="15" customHeight="1" thickBot="1">
      <c r="A18" s="9"/>
      <c r="B18" s="124"/>
      <c r="C18" s="485" t="s">
        <v>497</v>
      </c>
      <c r="D18" s="485"/>
      <c r="E18" s="485"/>
      <c r="F18" s="485"/>
      <c r="G18" s="485"/>
      <c r="H18" s="485"/>
      <c r="I18" s="145" t="s">
        <v>258</v>
      </c>
      <c r="J18" s="218"/>
      <c r="K18" s="383"/>
      <c r="L18" s="379"/>
      <c r="M18" s="139">
        <v>0</v>
      </c>
      <c r="N18" s="125"/>
      <c r="O18" s="9"/>
      <c r="P18" s="207"/>
      <c r="Q18" s="204"/>
      <c r="R18" s="229"/>
      <c r="S18" s="229"/>
      <c r="T18" s="229"/>
      <c r="U18" s="229"/>
      <c r="V18" s="229"/>
    </row>
    <row r="19" spans="1:22" ht="15" customHeight="1" thickBot="1">
      <c r="A19" s="9"/>
      <c r="B19" s="124"/>
      <c r="C19" s="485"/>
      <c r="D19" s="485"/>
      <c r="E19" s="485"/>
      <c r="F19" s="485"/>
      <c r="G19" s="485"/>
      <c r="H19" s="485"/>
      <c r="I19" s="142" t="s">
        <v>259</v>
      </c>
      <c r="J19" s="217"/>
      <c r="K19" s="382"/>
      <c r="L19" s="377"/>
      <c r="M19" s="144">
        <v>0</v>
      </c>
      <c r="N19" s="125"/>
      <c r="O19" s="9"/>
      <c r="P19" s="206"/>
      <c r="Q19" s="204"/>
      <c r="R19" s="229"/>
      <c r="S19" s="229"/>
      <c r="T19" s="229"/>
      <c r="U19" s="229"/>
      <c r="V19" s="229"/>
    </row>
    <row r="20" spans="1:22" ht="15" customHeight="1" thickBot="1">
      <c r="A20" s="9"/>
      <c r="B20" s="124"/>
      <c r="C20" s="485"/>
      <c r="D20" s="485"/>
      <c r="E20" s="485"/>
      <c r="F20" s="485"/>
      <c r="G20" s="485"/>
      <c r="H20" s="485"/>
      <c r="I20" s="145" t="s">
        <v>260</v>
      </c>
      <c r="J20" s="220"/>
      <c r="K20" s="385"/>
      <c r="L20" s="379"/>
      <c r="M20" s="139">
        <v>0</v>
      </c>
      <c r="N20" s="125"/>
      <c r="O20" s="9"/>
      <c r="P20" s="206"/>
      <c r="Q20" s="204"/>
      <c r="R20" s="229"/>
      <c r="S20" s="229"/>
      <c r="T20" s="229"/>
      <c r="U20" s="229"/>
      <c r="V20" s="229"/>
    </row>
    <row r="21" spans="1:22" ht="15" thickBot="1">
      <c r="A21" s="9"/>
      <c r="B21" s="124"/>
      <c r="C21" s="485"/>
      <c r="D21" s="485"/>
      <c r="E21" s="485"/>
      <c r="F21" s="485"/>
      <c r="G21" s="485"/>
      <c r="H21" s="485"/>
      <c r="I21" s="142" t="s">
        <v>261</v>
      </c>
      <c r="J21" s="217"/>
      <c r="K21" s="382"/>
      <c r="L21" s="377"/>
      <c r="M21" s="140">
        <v>0</v>
      </c>
      <c r="N21" s="125"/>
      <c r="O21" s="9"/>
      <c r="P21" s="206"/>
      <c r="Q21" s="204"/>
      <c r="R21" s="229"/>
      <c r="S21" s="229"/>
      <c r="T21" s="229"/>
      <c r="U21" s="229"/>
      <c r="V21" s="229"/>
    </row>
    <row r="22" spans="1:22" ht="15" thickBot="1">
      <c r="A22" s="9"/>
      <c r="B22" s="124"/>
      <c r="C22" s="485"/>
      <c r="D22" s="485"/>
      <c r="E22" s="485"/>
      <c r="F22" s="485"/>
      <c r="G22" s="485"/>
      <c r="H22" s="485"/>
      <c r="I22" s="136" t="s">
        <v>262</v>
      </c>
      <c r="J22" s="218"/>
      <c r="K22" s="383"/>
      <c r="L22" s="379"/>
      <c r="M22" s="139">
        <v>0</v>
      </c>
      <c r="N22" s="125"/>
      <c r="O22" s="9"/>
      <c r="P22" s="206"/>
      <c r="Q22" s="204"/>
      <c r="R22" s="229"/>
      <c r="S22" s="229"/>
      <c r="T22" s="229"/>
      <c r="U22" s="229"/>
      <c r="V22" s="229"/>
    </row>
    <row r="23" spans="1:22" ht="15" thickBot="1">
      <c r="A23" s="9"/>
      <c r="B23" s="124"/>
      <c r="C23" s="485"/>
      <c r="D23" s="485"/>
      <c r="E23" s="485"/>
      <c r="F23" s="485"/>
      <c r="G23" s="485"/>
      <c r="H23" s="485"/>
      <c r="I23" s="142" t="s">
        <v>263</v>
      </c>
      <c r="J23" s="221"/>
      <c r="K23" s="386"/>
      <c r="L23" s="377"/>
      <c r="M23" s="144">
        <v>0</v>
      </c>
      <c r="N23" s="125"/>
      <c r="O23" s="9"/>
      <c r="P23" s="205"/>
      <c r="Q23" s="204"/>
      <c r="R23" s="229"/>
      <c r="S23" s="229"/>
      <c r="T23" s="229"/>
      <c r="U23" s="229"/>
      <c r="V23" s="229"/>
    </row>
    <row r="24" spans="1:22" ht="18.600000000000001" thickBot="1">
      <c r="A24" s="9"/>
      <c r="B24" s="124"/>
      <c r="C24" s="485"/>
      <c r="D24" s="485"/>
      <c r="E24" s="485"/>
      <c r="F24" s="485"/>
      <c r="G24" s="485"/>
      <c r="H24" s="485"/>
      <c r="I24" s="476" t="s">
        <v>57</v>
      </c>
      <c r="J24" s="477"/>
      <c r="K24" s="477"/>
      <c r="L24" s="478"/>
      <c r="M24" s="147">
        <f>+'Carbon Calculator-All'!K163</f>
        <v>0</v>
      </c>
      <c r="N24" s="125"/>
      <c r="O24" s="9"/>
      <c r="P24" s="208"/>
      <c r="Q24" s="204"/>
      <c r="R24" s="229"/>
      <c r="S24" s="229"/>
      <c r="T24" s="229"/>
      <c r="U24" s="229"/>
      <c r="V24" s="229"/>
    </row>
    <row r="25" spans="1:22" ht="14.4">
      <c r="A25" s="9"/>
      <c r="B25" s="124"/>
      <c r="C25" s="485"/>
      <c r="D25" s="485"/>
      <c r="E25" s="485"/>
      <c r="F25" s="485"/>
      <c r="G25" s="485"/>
      <c r="H25" s="485"/>
      <c r="I25" s="192"/>
      <c r="J25" s="194"/>
      <c r="K25" s="192"/>
      <c r="L25" s="196"/>
      <c r="M25" s="193"/>
      <c r="N25" s="125"/>
      <c r="O25" s="9"/>
      <c r="P25" s="208"/>
      <c r="Q25" s="204"/>
      <c r="R25" s="229"/>
      <c r="S25" s="229"/>
      <c r="T25" s="229"/>
      <c r="U25" s="229"/>
      <c r="V25" s="229"/>
    </row>
    <row r="26" spans="1:22" ht="14.4">
      <c r="A26" s="9"/>
      <c r="B26" s="124"/>
      <c r="C26" s="485"/>
      <c r="D26" s="485"/>
      <c r="E26" s="485"/>
      <c r="F26" s="485"/>
      <c r="G26" s="485"/>
      <c r="H26" s="485"/>
      <c r="I26" s="192"/>
      <c r="J26" s="194"/>
      <c r="K26" s="194"/>
      <c r="L26" s="196"/>
      <c r="M26" s="195"/>
      <c r="N26" s="125"/>
      <c r="O26" s="9"/>
      <c r="P26" s="209"/>
      <c r="Q26" s="204"/>
      <c r="R26" s="229"/>
      <c r="S26" s="229"/>
      <c r="T26" s="229"/>
      <c r="U26" s="229"/>
      <c r="V26" s="229"/>
    </row>
    <row r="27" spans="1:22" ht="14.4">
      <c r="A27" s="9"/>
      <c r="B27" s="124"/>
      <c r="C27" s="485"/>
      <c r="D27" s="485"/>
      <c r="E27" s="485"/>
      <c r="F27" s="485"/>
      <c r="G27" s="485"/>
      <c r="H27" s="485"/>
      <c r="I27" s="9"/>
      <c r="J27" s="9"/>
      <c r="K27" s="9"/>
      <c r="L27" s="9"/>
      <c r="M27" s="9"/>
      <c r="N27" s="125"/>
      <c r="O27" s="9"/>
      <c r="P27" s="209"/>
      <c r="Q27" s="204"/>
      <c r="R27" s="229"/>
      <c r="S27" s="229"/>
      <c r="T27" s="229"/>
      <c r="U27" s="229"/>
      <c r="V27" s="229"/>
    </row>
    <row r="28" spans="1:22" ht="15" customHeight="1">
      <c r="A28" s="9"/>
      <c r="B28" s="124"/>
      <c r="C28" s="9"/>
      <c r="D28" s="148"/>
      <c r="E28" s="9"/>
      <c r="F28" s="9"/>
      <c r="G28" s="9"/>
      <c r="H28" s="9"/>
      <c r="I28" s="149"/>
      <c r="J28" s="149"/>
      <c r="K28" s="149"/>
      <c r="L28" s="149"/>
      <c r="M28" s="150"/>
      <c r="N28" s="125"/>
      <c r="O28" s="9"/>
      <c r="P28" s="210"/>
      <c r="Q28" s="204"/>
      <c r="R28" s="229"/>
      <c r="S28" s="229"/>
      <c r="T28" s="229"/>
      <c r="U28" s="229"/>
      <c r="V28" s="229"/>
    </row>
    <row r="29" spans="1:22" ht="15" customHeight="1">
      <c r="A29" s="9"/>
      <c r="B29" s="124"/>
      <c r="C29" s="9"/>
      <c r="D29" s="148"/>
      <c r="E29" s="9"/>
      <c r="F29" s="9"/>
      <c r="G29" s="9"/>
      <c r="H29" s="9"/>
      <c r="I29" s="149"/>
      <c r="J29" s="149"/>
      <c r="K29" s="149"/>
      <c r="L29" s="149"/>
      <c r="M29" s="150"/>
      <c r="N29" s="125"/>
      <c r="O29" s="9"/>
      <c r="P29" s="210"/>
      <c r="Q29" s="204"/>
      <c r="R29" s="229"/>
      <c r="S29" s="229"/>
      <c r="T29" s="229"/>
      <c r="U29" s="229"/>
      <c r="V29" s="229"/>
    </row>
    <row r="30" spans="1:22" ht="15" customHeight="1">
      <c r="A30" s="9"/>
      <c r="B30" s="124"/>
      <c r="C30" s="9"/>
      <c r="D30" s="148"/>
      <c r="E30" s="9"/>
      <c r="F30" s="9"/>
      <c r="G30" s="9"/>
      <c r="H30" s="9"/>
      <c r="I30" s="149"/>
      <c r="J30" s="149"/>
      <c r="K30" s="149"/>
      <c r="L30" s="149"/>
      <c r="M30" s="150"/>
      <c r="N30" s="125"/>
      <c r="O30" s="9"/>
      <c r="P30" s="212"/>
      <c r="Q30" s="204"/>
      <c r="R30" s="229"/>
      <c r="S30" s="229"/>
      <c r="T30" s="229"/>
      <c r="U30" s="229"/>
      <c r="V30" s="229"/>
    </row>
    <row r="31" spans="1:22" ht="15" customHeight="1">
      <c r="A31" s="9"/>
      <c r="B31" s="124"/>
      <c r="C31" s="9"/>
      <c r="D31" s="148"/>
      <c r="E31" s="9"/>
      <c r="F31" s="9"/>
      <c r="G31" s="9"/>
      <c r="H31" s="9"/>
      <c r="I31" s="149"/>
      <c r="J31" s="149"/>
      <c r="K31" s="149"/>
      <c r="L31" s="149"/>
      <c r="M31" s="150"/>
      <c r="N31" s="125"/>
      <c r="O31" s="9"/>
      <c r="P31" s="212"/>
      <c r="Q31" s="204"/>
      <c r="R31" s="229"/>
      <c r="S31" s="229"/>
      <c r="T31" s="229"/>
      <c r="U31" s="229"/>
      <c r="V31" s="229"/>
    </row>
    <row r="32" spans="1:22" ht="15" customHeight="1">
      <c r="A32" s="9"/>
      <c r="B32" s="124"/>
      <c r="C32" s="9"/>
      <c r="D32" s="148"/>
      <c r="E32" s="9"/>
      <c r="F32" s="9"/>
      <c r="G32" s="9"/>
      <c r="H32" s="9"/>
      <c r="I32" s="149"/>
      <c r="J32" s="149"/>
      <c r="K32" s="149"/>
      <c r="L32" s="149"/>
      <c r="M32" s="150"/>
      <c r="N32" s="125"/>
      <c r="O32" s="9"/>
      <c r="P32" s="212"/>
      <c r="Q32" s="204"/>
      <c r="R32" s="229"/>
      <c r="S32" s="229"/>
      <c r="T32" s="229"/>
      <c r="U32" s="229"/>
      <c r="V32" s="229"/>
    </row>
    <row r="33" spans="1:22" ht="15" customHeight="1">
      <c r="A33" s="9"/>
      <c r="B33" s="124"/>
      <c r="C33" s="9"/>
      <c r="D33" s="148"/>
      <c r="E33" s="9"/>
      <c r="F33" s="9"/>
      <c r="G33" s="9"/>
      <c r="H33" s="9"/>
      <c r="I33" s="149"/>
      <c r="J33" s="149"/>
      <c r="K33" s="149"/>
      <c r="L33" s="149"/>
      <c r="M33" s="150"/>
      <c r="N33" s="125"/>
      <c r="O33" s="9"/>
      <c r="P33" s="212"/>
      <c r="Q33" s="204"/>
      <c r="R33" s="229"/>
      <c r="S33" s="229"/>
      <c r="T33" s="229"/>
      <c r="U33" s="229"/>
      <c r="V33" s="229"/>
    </row>
    <row r="34" spans="1:22" ht="15" customHeight="1">
      <c r="A34" s="9"/>
      <c r="B34" s="124"/>
      <c r="C34" s="9"/>
      <c r="D34" s="148"/>
      <c r="E34" s="9"/>
      <c r="F34" s="9"/>
      <c r="G34" s="9"/>
      <c r="H34" s="9"/>
      <c r="I34" s="149"/>
      <c r="J34" s="149"/>
      <c r="K34" s="149"/>
      <c r="L34" s="149"/>
      <c r="M34" s="150"/>
      <c r="N34" s="125"/>
      <c r="O34" s="9"/>
      <c r="P34" s="210"/>
      <c r="Q34" s="204"/>
      <c r="R34" s="229"/>
      <c r="S34" s="229"/>
      <c r="T34" s="229"/>
      <c r="U34" s="229"/>
      <c r="V34" s="229"/>
    </row>
    <row r="35" spans="1:22" ht="15" customHeight="1">
      <c r="A35" s="9"/>
      <c r="B35" s="124"/>
      <c r="C35" s="9"/>
      <c r="D35" s="148"/>
      <c r="E35" s="9"/>
      <c r="F35" s="9"/>
      <c r="G35" s="9"/>
      <c r="H35" s="9"/>
      <c r="I35" s="149"/>
      <c r="J35" s="149"/>
      <c r="K35" s="149"/>
      <c r="L35" s="149"/>
      <c r="M35" s="150"/>
      <c r="N35" s="125"/>
      <c r="O35" s="9"/>
      <c r="P35" s="210"/>
      <c r="Q35" s="204"/>
      <c r="R35" s="229"/>
      <c r="S35" s="229"/>
      <c r="T35" s="229"/>
      <c r="U35" s="229"/>
      <c r="V35" s="229"/>
    </row>
    <row r="36" spans="1:22" ht="15" customHeight="1">
      <c r="A36" s="9"/>
      <c r="B36" s="124"/>
      <c r="C36" s="9"/>
      <c r="D36" s="148"/>
      <c r="E36" s="9"/>
      <c r="F36" s="9"/>
      <c r="G36" s="9"/>
      <c r="H36" s="9"/>
      <c r="I36" s="149"/>
      <c r="J36" s="149"/>
      <c r="K36" s="149"/>
      <c r="L36" s="149"/>
      <c r="M36" s="150"/>
      <c r="N36" s="125"/>
      <c r="O36" s="9"/>
      <c r="P36" s="210"/>
      <c r="Q36" s="204"/>
      <c r="R36" s="229"/>
      <c r="S36" s="229"/>
      <c r="T36" s="229"/>
      <c r="U36" s="229"/>
      <c r="V36" s="229"/>
    </row>
    <row r="37" spans="1:22" ht="15" customHeight="1">
      <c r="A37" s="9"/>
      <c r="B37" s="124"/>
      <c r="C37" s="9"/>
      <c r="D37" s="148"/>
      <c r="E37" s="9"/>
      <c r="F37" s="9"/>
      <c r="G37" s="9"/>
      <c r="H37" s="9"/>
      <c r="I37" s="149"/>
      <c r="J37" s="149"/>
      <c r="K37" s="149"/>
      <c r="L37" s="149"/>
      <c r="M37" s="150"/>
      <c r="N37" s="125"/>
      <c r="O37" s="9"/>
      <c r="P37" s="210"/>
      <c r="Q37" s="204"/>
      <c r="R37" s="229"/>
      <c r="S37" s="229"/>
      <c r="T37" s="229"/>
      <c r="U37" s="229"/>
      <c r="V37" s="229"/>
    </row>
    <row r="38" spans="1:22" ht="15" customHeight="1">
      <c r="A38" s="9"/>
      <c r="B38" s="124"/>
      <c r="C38" s="9"/>
      <c r="D38" s="148"/>
      <c r="E38" s="9"/>
      <c r="F38" s="9"/>
      <c r="G38" s="9"/>
      <c r="H38" s="9"/>
      <c r="I38" s="149"/>
      <c r="J38" s="149"/>
      <c r="K38" s="149"/>
      <c r="L38" s="149"/>
      <c r="M38" s="150"/>
      <c r="N38" s="125"/>
      <c r="O38" s="9"/>
      <c r="P38" s="210"/>
      <c r="Q38" s="204"/>
      <c r="R38" s="229"/>
      <c r="S38" s="229"/>
      <c r="T38" s="229"/>
      <c r="U38" s="229"/>
      <c r="V38" s="229"/>
    </row>
    <row r="39" spans="1:22" ht="15" customHeight="1">
      <c r="A39" s="9"/>
      <c r="B39" s="124"/>
      <c r="C39" s="9"/>
      <c r="D39" s="148"/>
      <c r="E39" s="9"/>
      <c r="F39" s="9"/>
      <c r="G39" s="9"/>
      <c r="H39" s="9"/>
      <c r="I39" s="149"/>
      <c r="J39" s="149"/>
      <c r="K39" s="149"/>
      <c r="L39" s="149"/>
      <c r="M39" s="150"/>
      <c r="N39" s="125"/>
      <c r="O39" s="9"/>
      <c r="P39" s="210"/>
      <c r="Q39" s="204"/>
      <c r="R39" s="229"/>
      <c r="S39" s="229"/>
      <c r="T39" s="229"/>
      <c r="U39" s="229"/>
      <c r="V39" s="229"/>
    </row>
    <row r="40" spans="1:22" ht="15" customHeight="1">
      <c r="A40" s="9"/>
      <c r="B40" s="124"/>
      <c r="C40" s="9"/>
      <c r="D40" s="148"/>
      <c r="E40" s="9"/>
      <c r="F40" s="9"/>
      <c r="G40" s="9"/>
      <c r="H40" s="9"/>
      <c r="I40" s="149"/>
      <c r="J40" s="149"/>
      <c r="K40" s="149"/>
      <c r="L40" s="149"/>
      <c r="M40" s="150"/>
      <c r="N40" s="125"/>
      <c r="O40" s="9"/>
      <c r="P40" s="210"/>
      <c r="Q40" s="204"/>
      <c r="R40" s="229"/>
      <c r="S40" s="229"/>
      <c r="T40" s="229"/>
      <c r="U40" s="229"/>
      <c r="V40" s="229"/>
    </row>
    <row r="41" spans="1:22" ht="15" customHeight="1">
      <c r="A41" s="9"/>
      <c r="B41" s="124"/>
      <c r="C41" s="9"/>
      <c r="D41" s="148"/>
      <c r="E41" s="9"/>
      <c r="F41" s="9"/>
      <c r="G41" s="9"/>
      <c r="H41" s="9"/>
      <c r="I41" s="149"/>
      <c r="J41" s="149"/>
      <c r="K41" s="149"/>
      <c r="L41" s="149"/>
      <c r="M41" s="150"/>
      <c r="N41" s="125"/>
      <c r="O41" s="9"/>
      <c r="P41" s="210"/>
      <c r="Q41" s="204"/>
      <c r="R41" s="229"/>
      <c r="S41" s="229"/>
      <c r="T41" s="229"/>
      <c r="U41" s="229"/>
      <c r="V41" s="229"/>
    </row>
    <row r="42" spans="1:22" ht="15" customHeight="1">
      <c r="A42" s="9"/>
      <c r="B42" s="124"/>
      <c r="C42" s="9"/>
      <c r="D42" s="148"/>
      <c r="E42" s="9"/>
      <c r="F42" s="9"/>
      <c r="G42" s="9"/>
      <c r="H42" s="9"/>
      <c r="I42" s="149"/>
      <c r="J42" s="149"/>
      <c r="K42" s="149"/>
      <c r="L42" s="149"/>
      <c r="M42" s="150"/>
      <c r="N42" s="125"/>
      <c r="O42" s="9"/>
      <c r="P42" s="210"/>
      <c r="Q42" s="204"/>
      <c r="R42" s="229"/>
      <c r="S42" s="229"/>
      <c r="T42" s="229"/>
      <c r="U42" s="229"/>
      <c r="V42" s="229"/>
    </row>
    <row r="43" spans="1:22" ht="15" customHeight="1">
      <c r="A43" s="9"/>
      <c r="B43" s="124"/>
      <c r="C43" s="9"/>
      <c r="D43" s="148"/>
      <c r="E43" s="9"/>
      <c r="F43" s="9"/>
      <c r="G43" s="9"/>
      <c r="H43" s="9"/>
      <c r="I43" s="149"/>
      <c r="J43" s="149"/>
      <c r="K43" s="149"/>
      <c r="L43" s="149"/>
      <c r="M43" s="150"/>
      <c r="N43" s="125"/>
      <c r="O43" s="9"/>
      <c r="P43" s="210"/>
      <c r="Q43" s="204"/>
      <c r="R43" s="229"/>
      <c r="S43" s="229"/>
      <c r="T43" s="229"/>
      <c r="U43" s="229"/>
      <c r="V43" s="229"/>
    </row>
    <row r="44" spans="1:22" ht="15" customHeight="1">
      <c r="A44" s="9"/>
      <c r="B44" s="124"/>
      <c r="C44" s="9"/>
      <c r="D44" s="148"/>
      <c r="E44" s="9"/>
      <c r="F44" s="9"/>
      <c r="G44" s="9"/>
      <c r="H44" s="9"/>
      <c r="I44" s="149"/>
      <c r="J44" s="149"/>
      <c r="K44" s="149"/>
      <c r="L44" s="149"/>
      <c r="M44" s="150"/>
      <c r="N44" s="125"/>
      <c r="O44" s="9"/>
      <c r="P44" s="210"/>
      <c r="Q44" s="204"/>
      <c r="R44" s="229"/>
      <c r="S44" s="229"/>
      <c r="T44" s="229"/>
      <c r="U44" s="229"/>
      <c r="V44" s="229"/>
    </row>
    <row r="45" spans="1:22" ht="15" customHeight="1">
      <c r="A45" s="9"/>
      <c r="B45" s="124"/>
      <c r="C45" s="9"/>
      <c r="D45" s="148"/>
      <c r="E45" s="9"/>
      <c r="F45" s="9"/>
      <c r="G45" s="9"/>
      <c r="H45" s="9"/>
      <c r="I45" s="149"/>
      <c r="J45" s="149"/>
      <c r="K45" s="149"/>
      <c r="L45" s="149"/>
      <c r="M45" s="150"/>
      <c r="N45" s="125"/>
      <c r="O45" s="9"/>
      <c r="P45" s="210"/>
      <c r="Q45" s="204"/>
      <c r="R45" s="229"/>
      <c r="S45" s="229"/>
      <c r="T45" s="229"/>
      <c r="U45" s="229"/>
      <c r="V45" s="229"/>
    </row>
    <row r="46" spans="1:22" ht="15" customHeight="1">
      <c r="A46" s="9"/>
      <c r="B46" s="124"/>
      <c r="C46" s="9"/>
      <c r="D46" s="148"/>
      <c r="E46" s="9"/>
      <c r="F46" s="9"/>
      <c r="G46" s="9"/>
      <c r="H46" s="9"/>
      <c r="I46" s="149"/>
      <c r="J46" s="149"/>
      <c r="K46" s="149"/>
      <c r="L46" s="149"/>
      <c r="M46" s="150"/>
      <c r="N46" s="125"/>
      <c r="O46" s="9"/>
      <c r="P46" s="210"/>
      <c r="Q46" s="204"/>
      <c r="R46" s="229"/>
      <c r="S46" s="229"/>
      <c r="T46" s="229"/>
      <c r="U46" s="229"/>
      <c r="V46" s="229"/>
    </row>
    <row r="47" spans="1:22" ht="15" customHeight="1" thickBot="1">
      <c r="A47" s="9"/>
      <c r="B47" s="151"/>
      <c r="C47" s="152"/>
      <c r="D47" s="152"/>
      <c r="E47" s="152"/>
      <c r="F47" s="152"/>
      <c r="G47" s="152"/>
      <c r="H47" s="152"/>
      <c r="I47" s="152"/>
      <c r="J47" s="152"/>
      <c r="K47" s="152"/>
      <c r="L47" s="152"/>
      <c r="M47" s="152"/>
      <c r="N47" s="153"/>
      <c r="O47" s="9"/>
      <c r="P47" s="210"/>
      <c r="Q47" s="204"/>
      <c r="R47" s="229"/>
      <c r="S47" s="229"/>
      <c r="T47" s="229"/>
      <c r="U47" s="229"/>
      <c r="V47" s="229"/>
    </row>
    <row r="48" spans="1:22" ht="15" customHeight="1">
      <c r="A48" s="9"/>
      <c r="B48" s="9"/>
      <c r="C48" s="9"/>
      <c r="D48" s="9"/>
      <c r="E48" s="9"/>
      <c r="F48" s="9"/>
      <c r="G48" s="9"/>
      <c r="H48" s="9"/>
      <c r="I48" s="9"/>
      <c r="J48" s="9"/>
      <c r="K48" s="9"/>
      <c r="L48" s="9"/>
      <c r="M48" s="9"/>
      <c r="N48" s="9"/>
      <c r="O48" s="9"/>
      <c r="P48" s="229"/>
      <c r="Q48" s="229"/>
      <c r="R48" s="229"/>
      <c r="S48" s="229"/>
      <c r="T48" s="229"/>
      <c r="U48" s="229"/>
      <c r="V48" s="229"/>
    </row>
    <row r="49" ht="15" hidden="1" customHeight="1"/>
    <row r="50" ht="15" hidden="1" customHeight="1"/>
  </sheetData>
  <sheetProtection algorithmName="SHA-512" hashValue="1EmW/tcVQheGVq4H+ggfV7ZEPGWFA3Q1aOjp9H+YKKOIwKBo4CS2vbD2Nu+sEiLw9VuJ+pPqHhLcvF5cFVFTPg==" saltValue="8N6PKDng53RjEqEqupPLJQ==" spinCount="100000" sheet="1" selectLockedCells="1"/>
  <mergeCells count="9">
    <mergeCell ref="D13:H14"/>
    <mergeCell ref="D15:G16"/>
    <mergeCell ref="I24:L24"/>
    <mergeCell ref="C18:H27"/>
    <mergeCell ref="C2:H2"/>
    <mergeCell ref="B4:D4"/>
    <mergeCell ref="B5:D5"/>
    <mergeCell ref="B6:D6"/>
    <mergeCell ref="C10:M10"/>
  </mergeCell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9947-F89E-442D-8108-99C5F09B451E}">
  <sheetPr codeName="Sheet11"/>
  <dimension ref="A1:T61"/>
  <sheetViews>
    <sheetView zoomScaleNormal="100" workbookViewId="0">
      <selection activeCell="I13" sqref="I13"/>
    </sheetView>
  </sheetViews>
  <sheetFormatPr defaultColWidth="0" defaultRowHeight="0" customHeight="1" zeroHeight="1"/>
  <cols>
    <col min="1" max="3" width="3.6640625" customWidth="1"/>
    <col min="4" max="7" width="5.6640625" customWidth="1"/>
    <col min="8" max="8" width="3.6640625" customWidth="1"/>
    <col min="9" max="9" width="25.6640625" customWidth="1"/>
    <col min="10" max="12" width="11.6640625" customWidth="1"/>
    <col min="13" max="13" width="14.6640625" customWidth="1"/>
    <col min="14" max="15" width="3.6640625" customWidth="1"/>
    <col min="16" max="16" width="10.6640625" hidden="1" customWidth="1"/>
    <col min="17" max="16384" width="8.77734375" hidden="1"/>
  </cols>
  <sheetData>
    <row r="1" spans="1:20" ht="25.2" customHeight="1">
      <c r="A1" s="9"/>
      <c r="B1" s="9"/>
      <c r="C1" s="9"/>
      <c r="D1" s="9"/>
      <c r="E1" s="9"/>
      <c r="F1" s="9"/>
      <c r="G1" s="9"/>
      <c r="H1" s="9"/>
      <c r="I1" s="9"/>
      <c r="J1" s="9"/>
      <c r="K1" s="9"/>
      <c r="L1" s="9"/>
      <c r="M1" s="9"/>
      <c r="N1" s="9"/>
      <c r="O1" s="9"/>
    </row>
    <row r="2" spans="1:20" ht="25.2" customHeight="1">
      <c r="A2" s="9"/>
      <c r="B2" s="116" t="s">
        <v>0</v>
      </c>
      <c r="C2" s="450" t="s">
        <v>1</v>
      </c>
      <c r="D2" s="450"/>
      <c r="E2" s="450"/>
      <c r="F2" s="450"/>
      <c r="G2" s="450"/>
      <c r="H2" s="450"/>
      <c r="I2" s="354" t="str">
        <f>+'WSA-CC-Energy'!I2</f>
        <v>Carbon Calculator-2024</v>
      </c>
      <c r="J2" s="9"/>
      <c r="K2" s="9"/>
      <c r="L2" s="9"/>
      <c r="M2" s="9"/>
      <c r="N2" s="9"/>
      <c r="O2" s="9"/>
    </row>
    <row r="3" spans="1:20" ht="25.2" customHeight="1">
      <c r="A3" s="9"/>
      <c r="B3" s="9"/>
      <c r="D3" s="9"/>
      <c r="E3" s="9"/>
      <c r="F3" s="9"/>
      <c r="G3" s="9"/>
      <c r="H3" s="9"/>
      <c r="I3" s="9"/>
      <c r="J3" s="9"/>
      <c r="K3" s="9"/>
      <c r="L3" s="9"/>
      <c r="M3" s="9"/>
      <c r="N3" s="9"/>
      <c r="O3" s="9"/>
    </row>
    <row r="4" spans="1:20" ht="15" customHeight="1">
      <c r="A4" s="9"/>
      <c r="B4" s="451" t="s">
        <v>38</v>
      </c>
      <c r="C4" s="451"/>
      <c r="D4" s="451"/>
      <c r="E4" s="9"/>
      <c r="F4" s="259" t="str">
        <f>+'WSA-CC-Energy'!F4</f>
        <v>Click here to type once to automatically fill the rest</v>
      </c>
      <c r="G4" s="117"/>
      <c r="H4" s="117"/>
      <c r="I4" s="117"/>
      <c r="J4" s="9"/>
      <c r="K4" s="118" t="s">
        <v>40</v>
      </c>
      <c r="L4" s="119" t="str">
        <f>+'WSA-CC-Energy'!L4</f>
        <v>Click here to Type</v>
      </c>
      <c r="M4" s="119"/>
      <c r="N4" s="9"/>
      <c r="O4" s="9"/>
    </row>
    <row r="5" spans="1:20" ht="15" customHeight="1">
      <c r="A5" s="9"/>
      <c r="B5" s="451"/>
      <c r="C5" s="451"/>
      <c r="D5" s="451"/>
      <c r="E5" s="9"/>
      <c r="F5" s="258"/>
      <c r="G5" s="9"/>
      <c r="H5" s="9"/>
      <c r="I5" s="9"/>
      <c r="J5" s="9"/>
      <c r="K5" s="9"/>
      <c r="L5" s="9"/>
      <c r="M5" s="9"/>
      <c r="N5" s="9"/>
      <c r="O5" s="9"/>
    </row>
    <row r="6" spans="1:20" ht="15" customHeight="1">
      <c r="A6" s="9"/>
      <c r="B6" s="451"/>
      <c r="C6" s="451"/>
      <c r="D6" s="451"/>
      <c r="E6" s="9"/>
      <c r="F6" s="258"/>
      <c r="G6" s="9"/>
      <c r="H6" s="9"/>
      <c r="I6" s="9"/>
      <c r="J6" s="9"/>
      <c r="K6" s="9"/>
      <c r="L6" s="9"/>
      <c r="M6" s="9"/>
      <c r="N6" s="9"/>
      <c r="O6" s="9"/>
    </row>
    <row r="7" spans="1:20" ht="15" customHeight="1" thickBot="1">
      <c r="A7" s="9"/>
      <c r="B7" s="9"/>
      <c r="C7" s="9"/>
      <c r="D7" s="9"/>
      <c r="E7" s="9"/>
      <c r="F7" s="9"/>
      <c r="G7" s="9"/>
      <c r="H7" s="9"/>
      <c r="I7" s="152"/>
      <c r="J7" s="9"/>
      <c r="K7" s="9"/>
      <c r="L7" s="9"/>
      <c r="M7" s="9"/>
      <c r="N7" s="9"/>
      <c r="O7" s="9"/>
    </row>
    <row r="8" spans="1:20" ht="23.4">
      <c r="A8" s="9"/>
      <c r="B8" s="120"/>
      <c r="C8" s="121" t="s">
        <v>264</v>
      </c>
      <c r="D8" s="121"/>
      <c r="E8" s="121"/>
      <c r="F8" s="121"/>
      <c r="G8" s="121"/>
      <c r="H8" s="121"/>
      <c r="I8" s="121"/>
      <c r="J8" s="121"/>
      <c r="K8" s="121"/>
      <c r="L8" s="121"/>
      <c r="M8" s="122" t="s">
        <v>265</v>
      </c>
      <c r="N8" s="123"/>
      <c r="O8" s="9"/>
    </row>
    <row r="9" spans="1:20" ht="14.4">
      <c r="A9" s="9"/>
      <c r="B9" s="124"/>
      <c r="C9" s="9"/>
      <c r="D9" s="9"/>
      <c r="E9" s="9"/>
      <c r="F9" s="9"/>
      <c r="G9" s="9"/>
      <c r="H9" s="9"/>
      <c r="I9" s="9"/>
      <c r="J9" s="9"/>
      <c r="K9" s="9"/>
      <c r="L9" s="9"/>
      <c r="M9" s="9"/>
      <c r="N9" s="125"/>
      <c r="O9" s="9"/>
    </row>
    <row r="10" spans="1:20" ht="45" customHeight="1">
      <c r="A10" s="9"/>
      <c r="B10" s="124"/>
      <c r="C10" s="444" t="s">
        <v>501</v>
      </c>
      <c r="D10" s="444"/>
      <c r="E10" s="444"/>
      <c r="F10" s="444"/>
      <c r="G10" s="444"/>
      <c r="H10" s="444"/>
      <c r="I10" s="444"/>
      <c r="J10" s="444"/>
      <c r="K10" s="444"/>
      <c r="L10" s="444"/>
      <c r="M10" s="444"/>
      <c r="N10" s="125"/>
      <c r="O10" s="9"/>
    </row>
    <row r="11" spans="1:20" ht="15" thickBot="1">
      <c r="A11" s="9"/>
      <c r="B11" s="124"/>
      <c r="C11" s="9"/>
      <c r="D11" s="9"/>
      <c r="E11" s="9"/>
      <c r="F11" s="9"/>
      <c r="G11" s="9"/>
      <c r="H11" s="9"/>
      <c r="I11" s="9"/>
      <c r="J11" s="9"/>
      <c r="K11" s="9"/>
      <c r="L11" s="9"/>
      <c r="M11" s="9"/>
      <c r="N11" s="125"/>
      <c r="O11" s="9"/>
      <c r="P11" s="229"/>
      <c r="Q11" s="229"/>
      <c r="R11" s="229"/>
      <c r="S11" s="229"/>
      <c r="T11" s="229"/>
    </row>
    <row r="12" spans="1:20" ht="28.2" thickBot="1">
      <c r="A12" s="9"/>
      <c r="B12" s="124"/>
      <c r="C12" s="126" t="s">
        <v>52</v>
      </c>
      <c r="D12" s="9"/>
      <c r="E12" s="127"/>
      <c r="F12" s="127"/>
      <c r="G12" s="127"/>
      <c r="H12" s="9"/>
      <c r="I12" s="128" t="s">
        <v>266</v>
      </c>
      <c r="J12" s="129" t="s">
        <v>267</v>
      </c>
      <c r="K12" s="129" t="s">
        <v>268</v>
      </c>
      <c r="L12" s="130" t="s">
        <v>269</v>
      </c>
      <c r="M12" s="131" t="s">
        <v>50</v>
      </c>
      <c r="N12" s="125"/>
      <c r="O12" s="9" t="s">
        <v>51</v>
      </c>
      <c r="P12" s="202"/>
      <c r="Q12" s="229"/>
      <c r="R12" s="229"/>
      <c r="S12" s="229"/>
      <c r="T12" s="229"/>
    </row>
    <row r="13" spans="1:20" ht="15" customHeight="1" thickBot="1">
      <c r="A13" s="9"/>
      <c r="B13" s="124"/>
      <c r="C13" s="484" t="s">
        <v>6</v>
      </c>
      <c r="D13" s="442" t="s">
        <v>500</v>
      </c>
      <c r="E13" s="442"/>
      <c r="F13" s="442"/>
      <c r="G13" s="442"/>
      <c r="H13" s="232"/>
      <c r="I13" s="226"/>
      <c r="J13" s="217"/>
      <c r="K13" s="233"/>
      <c r="L13" s="107"/>
      <c r="M13" s="425">
        <f>K13*L13*S13</f>
        <v>0</v>
      </c>
      <c r="N13" s="125"/>
      <c r="O13" s="9"/>
      <c r="P13" s="204" t="s">
        <v>270</v>
      </c>
      <c r="Q13" s="229">
        <v>11.5</v>
      </c>
      <c r="R13" s="229"/>
      <c r="S13" s="394" t="str">
        <f>IF(J13=P13,Q13,IF(J13=P14,Q14,IF(J13=P15,Q15,IF(J13=P16,Q16,IF(J13=P17,Q17,IF(J13=P18,Q18,IF(J13=P19,Q19,IF(J13=P20,Q20,IF(J13=P21,Q21,IF(J13=P22,Q22,IF(J13=P23,Q23,IF(J13=P24,Q24,IF(J13=P25,Q25,IF(J13=P26,Q26,IF(J13=P27,Q27,IF(J13=P28,Q28,IF(J13=P29,Q29,IF(J13=P30,Q30,IF(J13=P31,Q31,IF(J13=P32,Q32,IF(J13=P33,Q33,IF(J13=P34,Q34,IF(J13=P35,Q35,IF(J13=P36,Q36,IF(J13=P37,Q37,IF(J13=P38,Q38,IF(J13=P39,Q39,IF(J13=P40,Q40,IF(J13=P41,Q41,IF(J13=P42,Q42,IF(J13=P43,Q43,IF(J13=P44,Q44,IF(J13=P45,Q45,IF(J13=P46,Q46,IF(J13=P47,Q47,IF(J13=P48,Q48,IF(J13=P49,Q49,IF(J13=P50,Q50,IF(J13=P51,Q51,"0")))))))))))))))))))))))))))))))))))))))</f>
        <v>0</v>
      </c>
      <c r="T13" s="229"/>
    </row>
    <row r="14" spans="1:20" ht="15" customHeight="1" thickBot="1">
      <c r="A14" s="9"/>
      <c r="B14" s="124"/>
      <c r="C14" s="484"/>
      <c r="D14" s="442"/>
      <c r="E14" s="442"/>
      <c r="F14" s="442"/>
      <c r="G14" s="442"/>
      <c r="H14" s="232"/>
      <c r="I14" s="227"/>
      <c r="J14" s="220"/>
      <c r="K14" s="234"/>
      <c r="L14" s="109"/>
      <c r="M14" s="426">
        <f t="shared" ref="M14:M21" si="0">K14*L14*S14</f>
        <v>0</v>
      </c>
      <c r="N14" s="125"/>
      <c r="O14" s="9"/>
      <c r="P14" s="204" t="s">
        <v>271</v>
      </c>
      <c r="Q14" s="229">
        <v>10.4</v>
      </c>
      <c r="R14" s="229"/>
      <c r="S14" s="394" t="str">
        <f>IF(J14=P13,Q13,IF(J14=P14,Q14,IF(J14=P15,Q15,IF(J14=P16,Q16,IF(J14=P17,Q17,IF(J14=P18,Q18,IF(J14=P19,Q19,IF(J14=P20,Q20,IF(J14=P21,Q21,IF(J14=P22,Q22,IF(J14=P23,Q23,IF(J14=P24,Q24,IF(J14=P25,Q25,IF(J14=P26,Q26,IF(J14=P27,Q27,IF(J14=P28,Q28,IF(J14=P29,Q29,IF(J14=P30,Q30,IF(J14=P31,Q31,IF(J14=P32,Q32,IF(J14=P33,Q33,IF(J14=P34,Q34,IF(J14=P35,Q35,IF(J14=P36,Q36,IF(J14=P37,Q37,IF(J14=P38,Q38,IF(J14=P39,Q39,IF(J14=P40,Q40,IF(J14=P41,Q41,IF(J14=P42,Q42,IF(J14=P43,Q43,IF(J14=P44,Q44,IF(J14=P45,Q45,IF(J14=P46,Q46,IF(J14=P47,Q47,IF(J14=P48,Q48,IF(J14=P49,Q49,IF(J14=P50,Q50,IF(J14=P51,Q51,"0")))))))))))))))))))))))))))))))))))))))</f>
        <v>0</v>
      </c>
      <c r="T14" s="229"/>
    </row>
    <row r="15" spans="1:20" ht="15" customHeight="1" thickBot="1">
      <c r="A15" s="9"/>
      <c r="B15" s="124"/>
      <c r="C15" s="484" t="s">
        <v>10</v>
      </c>
      <c r="D15" s="442" t="s">
        <v>498</v>
      </c>
      <c r="E15" s="442"/>
      <c r="F15" s="442"/>
      <c r="G15" s="442"/>
      <c r="H15" s="9"/>
      <c r="I15" s="228"/>
      <c r="J15" s="217"/>
      <c r="K15" s="235"/>
      <c r="L15" s="107"/>
      <c r="M15" s="427">
        <f t="shared" si="0"/>
        <v>0</v>
      </c>
      <c r="N15" s="125"/>
      <c r="O15" s="9"/>
      <c r="P15" s="204" t="s">
        <v>272</v>
      </c>
      <c r="Q15" s="229">
        <v>35</v>
      </c>
      <c r="R15" s="229"/>
      <c r="S15" s="394" t="str">
        <f>IF(J15=P13,Q13,IF(J15=P14,Q14,IF(J15=P15,Q15,IF(J15=P16,Q16,IF(J15=P17,Q17,IF(J15=P18,Q18,IF(J15=P19,Q19,IF(J15=P20,Q20,IF(J15=P21,Q21,IF(J15=P22,Q22,IF(J15=P23,Q23,IF(J15=P24,Q24,IF(J15=P25,Q25,IF(J15=P26,Q26,IF(J15=P27,Q27,IF(J15=P28,Q28,IF(J15=P29,Q29,IF(J15=P30,Q30,IF(J15=P31,Q31,IF(J15=P32,Q32,IF(J15=P33,Q33,IF(J15=P34,Q34,IF(J15=P35,Q35,IF(J15=P36,Q36,IF(J15=P37,Q37,IF(J15=P38,Q38,IF(J15=P39,Q39,IF(J15=P40,Q40,IF(J15=P41,Q41,IF(J15=P42,Q42,IF(J15=P43,Q43,IF(J15=P44,Q44,IF(J15=P45,Q45,IF(J15=P46,Q46,IF(J15=P47,Q47,IF(J15=P48,Q48,IF(J15=P49,Q49,IF(J15=P50,Q50,IF(J15=P51,Q51,"0")))))))))))))))))))))))))))))))))))))))</f>
        <v>0</v>
      </c>
      <c r="T15" s="229"/>
    </row>
    <row r="16" spans="1:20" ht="15" customHeight="1" thickBot="1">
      <c r="A16" s="9"/>
      <c r="B16" s="124"/>
      <c r="C16" s="484"/>
      <c r="D16" s="442"/>
      <c r="E16" s="442"/>
      <c r="F16" s="442"/>
      <c r="G16" s="442"/>
      <c r="H16" s="9"/>
      <c r="I16" s="231"/>
      <c r="J16" s="220"/>
      <c r="K16" s="234"/>
      <c r="L16" s="109"/>
      <c r="M16" s="428">
        <f t="shared" si="0"/>
        <v>0</v>
      </c>
      <c r="N16" s="125"/>
      <c r="O16" s="9"/>
      <c r="P16" s="204" t="s">
        <v>273</v>
      </c>
      <c r="Q16" s="229">
        <v>12.2</v>
      </c>
      <c r="R16" s="229"/>
      <c r="S16" s="394" t="str">
        <f>IF(J16=P13,Q13,IF(J16=P14,Q14,IF(J16=P15,Q15,IF(J16=P16,Q16,IF(J16=P17,Q17,IF(J16=P18,Q18,IF(J16=P19,Q19,IF(J16=P20,Q20,IF(J16=P21,Q21,IF(J16=P22,Q22,IF(J16=P23,Q23,IF(J16=P24,Q24,IF(J16=P25,Q25,IF(J16=P26,Q26,IF(J16=P27,Q27,IF(J16=P28,Q28,IF(J16=P29,Q29,IF(J16=P30,Q30,IF(J16=P31,Q31,IF(J16=P32,Q32,IF(J16=P33,Q33,IF(J16=P34,Q34,IF(J16=P35,Q35,IF(J16=P36,Q36,IF(J16=P37,Q37,IF(J16=P38,Q38,IF(J16=P39,Q39,IF(J16=P40,Q40,IF(J16=P41,Q41,IF(J16=P42,Q42,IF(J16=P43,Q43,IF(J16=P44,Q44,IF(J16=P45,Q45,IF(J16=P46,Q46,IF(J16=P47,Q47,IF(J16=P48,Q48,IF(J16=P49,Q49,IF(J16=P50,Q50,IF(J16=P51,Q51,"0")))))))))))))))))))))))))))))))))))))))</f>
        <v>0</v>
      </c>
      <c r="T16" s="229"/>
    </row>
    <row r="17" spans="1:20" ht="15" customHeight="1" thickBot="1">
      <c r="A17" s="9"/>
      <c r="B17" s="124"/>
      <c r="C17" s="484" t="s">
        <v>14</v>
      </c>
      <c r="D17" s="442" t="s">
        <v>499</v>
      </c>
      <c r="E17" s="442"/>
      <c r="F17" s="442"/>
      <c r="G17" s="442"/>
      <c r="H17" s="9"/>
      <c r="I17" s="228"/>
      <c r="J17" s="217"/>
      <c r="K17" s="233"/>
      <c r="L17" s="107"/>
      <c r="M17" s="429">
        <f t="shared" si="0"/>
        <v>0</v>
      </c>
      <c r="N17" s="125"/>
      <c r="O17" s="9"/>
      <c r="P17" s="204" t="s">
        <v>274</v>
      </c>
      <c r="Q17" s="229">
        <v>8.6999999999999993</v>
      </c>
      <c r="R17" s="229"/>
      <c r="S17" s="394" t="str">
        <f>IF(J17=P13,Q13,IF(J17=P14,Q14,IF(J17=P15,Q15,IF(J17=P16,Q16,IF(J17=P17,Q17,IF(J17=P18,Q18,IF(J17=P19,Q19,IF(J17=P20,Q20,IF(J17=P21,Q21,IF(J17=P22,Q22,IF(J17=P23,Q23,IF(J17=P24,Q24,IF(J17=P25,Q25,IF(J17=P26,Q26,IF(J17=P27,Q27,IF(J17=P28,Q28,IF(J17=P29,Q29,IF(J17=P30,Q30,IF(J17=P31,Q31,IF(J17=P32,Q32,IF(J17=P33,Q33,IF(J17=P34,Q34,IF(J17=P35,Q35,IF(J17=P36,Q36,IF(J17=P37,Q37,IF(J17=P38,Q38,IF(J17=P39,Q39,IF(J17=P40,Q40,IF(J17=P41,Q41,IF(J17=P42,Q42,IF(J17=P43,Q43,IF(J17=P44,Q44,IF(J17=P45,Q45,IF(J17=P46,Q46,IF(J17=P47,Q47,IF(J17=P48,Q48,IF(J17=P49,Q49,IF(J17=P50,Q50,IF(J17=P51,Q51,"0")))))))))))))))))))))))))))))))))))))))</f>
        <v>0</v>
      </c>
      <c r="T17" s="229"/>
    </row>
    <row r="18" spans="1:20" ht="15" customHeight="1" thickBot="1">
      <c r="A18" s="9"/>
      <c r="B18" s="124"/>
      <c r="C18" s="484"/>
      <c r="D18" s="442"/>
      <c r="E18" s="442"/>
      <c r="F18" s="442"/>
      <c r="G18" s="442"/>
      <c r="H18" s="288"/>
      <c r="I18" s="231"/>
      <c r="J18" s="220"/>
      <c r="K18" s="236"/>
      <c r="L18" s="109"/>
      <c r="M18" s="426">
        <f t="shared" si="0"/>
        <v>0</v>
      </c>
      <c r="N18" s="125"/>
      <c r="O18" s="9"/>
      <c r="P18" s="204" t="s">
        <v>276</v>
      </c>
      <c r="Q18" s="229">
        <v>7.4</v>
      </c>
      <c r="R18" s="229"/>
      <c r="S18" s="394" t="str">
        <f>IF(J18=P13,Q13,IF(J18=P14,Q14,IF(J18=P15,Q15,IF(J18=P16,Q16,IF(J18=P17,Q17,IF(J18=P18,Q18,IF(J18=P19,Q19,IF(J18=P20,Q20,IF(J18=P21,Q21,IF(J18=P22,Q22,IF(J18=P23,Q23,IF(J18=P24,Q24,IF(J18=P25,Q25,IF(J18=P26,Q26,IF(J18=P27,Q27,IF(J18=P28,Q28,IF(J18=P29,Q29,IF(J18=P30,Q30,IF(J18=P31,Q31,IF(J18=P32,Q32,IF(J18=P33,Q33,IF(J18=P34,Q34,IF(J18=P35,Q35,IF(J18=P36,Q36,IF(J18=P37,Q37,IF(J18=P38,Q38,IF(J18=P39,Q39,IF(J18=P40,Q40,IF(J18=P41,Q41,IF(J18=P42,Q42,IF(J18=P43,Q43,IF(J18=P44,Q44,IF(J18=P45,Q45,IF(J18=P46,Q46,IF(J18=P47,Q47,IF(J18=P48,Q48,IF(J18=P49,Q49,IF(J18=P50,Q50,IF(J18=P51,Q51,"0")))))))))))))))))))))))))))))))))))))))</f>
        <v>0</v>
      </c>
      <c r="T18" s="229"/>
    </row>
    <row r="19" spans="1:20" ht="15" customHeight="1" thickBot="1">
      <c r="A19" s="9"/>
      <c r="B19" s="124"/>
      <c r="C19" s="484"/>
      <c r="D19" s="442"/>
      <c r="E19" s="442"/>
      <c r="F19" s="442"/>
      <c r="G19" s="442"/>
      <c r="H19" s="288"/>
      <c r="I19" s="228"/>
      <c r="J19" s="217"/>
      <c r="K19" s="233"/>
      <c r="L19" s="107"/>
      <c r="M19" s="430">
        <f t="shared" si="0"/>
        <v>0</v>
      </c>
      <c r="N19" s="125"/>
      <c r="O19" s="9"/>
      <c r="P19" s="204" t="s">
        <v>277</v>
      </c>
      <c r="Q19" s="229">
        <v>27.6</v>
      </c>
      <c r="R19" s="229"/>
      <c r="S19" s="394" t="str">
        <f>IF(J19=P13,Q13,IF(J19=P14,Q14,IF(J19=P15,Q15,IF(J19=P16,Q16,IF(J19=P17,Q17,IF(J19=P18,Q18,IF(J19=P19,Q19,IF(J19=P20,Q20,IF(J19=P21,Q21,IF(J19=P22,Q22,IF(J19=P23,Q23,IF(J19=P24,Q24,IF(J19=P25,Q25,IF(J19=P26,Q26,IF(J19=P27,Q27,IF(J19=P28,Q28,IF(J19=P29,Q29,IF(J19=P30,Q30,IF(J19=P31,Q31,IF(J19=P32,Q32,IF(J19=P33,Q33,IF(J19=P34,Q34,IF(J19=P35,Q35,IF(J19=P36,Q36,IF(J19=P37,Q37,IF(J19=P38,Q38,IF(J19=P39,Q39,IF(J19=P40,Q40,IF(J19=P41,Q41,IF(J19=P42,Q42,IF(J19=P43,Q43,IF(J19=P44,Q44,IF(J19=P45,Q45,IF(J19=P46,Q46,IF(J19=P47,Q47,IF(J19=P48,Q48,IF(J19=P49,Q49,IF(J19=P50,Q50,IF(J19=P51,Q51,"0")))))))))))))))))))))))))))))))))))))))</f>
        <v>0</v>
      </c>
      <c r="T19" s="229"/>
    </row>
    <row r="20" spans="1:20" ht="15" customHeight="1" thickBot="1">
      <c r="A20" s="9"/>
      <c r="B20" s="124"/>
      <c r="C20" s="126" t="s">
        <v>135</v>
      </c>
      <c r="D20" s="288"/>
      <c r="E20" s="288"/>
      <c r="F20" s="288"/>
      <c r="G20" s="288"/>
      <c r="H20" s="288"/>
      <c r="I20" s="227"/>
      <c r="J20" s="220"/>
      <c r="K20" s="234"/>
      <c r="L20" s="109"/>
      <c r="M20" s="426">
        <f t="shared" si="0"/>
        <v>0</v>
      </c>
      <c r="N20" s="125"/>
      <c r="O20" s="9"/>
      <c r="P20" s="204" t="s">
        <v>278</v>
      </c>
      <c r="Q20" s="229">
        <v>53.5</v>
      </c>
      <c r="R20" s="229"/>
      <c r="S20" s="394" t="str">
        <f>IF(J20=P13,Q13,IF(J20=P14,Q14,IF(J20=P15,Q15,IF(J20=P16,Q16,IF(J20=P17,Q17,IF(J20=P18,Q18,IF(J20=P19,Q19,IF(J20=P20,Q20,IF(J20=P21,Q21,IF(J20=P22,Q22,IF(J20=P23,Q23,IF(J20=P24,Q24,IF(J20=P25,Q25,IF(J20=P26,Q26,IF(J20=P27,Q27,IF(J20=P28,Q28,IF(J20=P29,Q29,IF(J20=P30,Q30,IF(J20=P31,Q31,IF(J20=P32,Q32,IF(J20=P33,Q33,IF(J20=P34,Q34,IF(J20=P35,Q35,IF(J20=P36,Q36,IF(J20=P37,Q37,IF(J20=P38,Q38,IF(J20=P39,Q39,IF(J20=P40,Q40,IF(J20=P41,Q41,IF(J20=P42,Q42,IF(J20=P43,Q43,IF(J20=P44,Q44,IF(J20=P45,Q45,IF(J20=P46,Q46,IF(J20=P47,Q47,IF(J20=P48,Q48,IF(J20=P49,Q49,IF(J20=P50,Q50,IF(J20=P51,Q51,"0")))))))))))))))))))))))))))))))))))))))</f>
        <v>0</v>
      </c>
      <c r="T20" s="229"/>
    </row>
    <row r="21" spans="1:20" ht="15" thickBot="1">
      <c r="A21" s="9"/>
      <c r="B21" s="124"/>
      <c r="C21" s="485" t="s">
        <v>275</v>
      </c>
      <c r="D21" s="485"/>
      <c r="E21" s="485"/>
      <c r="F21" s="485"/>
      <c r="G21" s="485"/>
      <c r="H21" s="288"/>
      <c r="I21" s="228"/>
      <c r="J21" s="217"/>
      <c r="K21" s="237"/>
      <c r="L21" s="107"/>
      <c r="M21" s="135">
        <f t="shared" si="0"/>
        <v>0</v>
      </c>
      <c r="N21" s="125"/>
      <c r="O21" s="9"/>
      <c r="P21" s="204" t="s">
        <v>279</v>
      </c>
      <c r="Q21" s="229">
        <v>14.7</v>
      </c>
      <c r="R21" s="229"/>
      <c r="S21" s="394" t="str">
        <f>IF(J21=P13,Q13,IF(J21=P14,Q14,IF(J21=P15,Q15,IF(J21=P16,Q16,IF(J21=P17,Q17,IF(J21=P18,Q18,IF(J21=P19,Q19,IF(J21=P20,Q20,IF(J21=P21,Q21,IF(J21=P22,Q22,IF(J21=P23,Q23,IF(J21=P24,Q24,IF(J21=P25,Q25,IF(J21=P26,Q26,IF(J21=P27,Q27,IF(J21=P28,Q28,IF(J21=P29,Q29,IF(J21=P30,Q30,IF(J21=P31,Q31,IF(J21=P32,Q32,IF(J21=P33,Q33,IF(J21=P34,Q34,IF(J21=P35,Q35,IF(J21=P36,Q36,IF(J21=P37,Q37,IF(J21=P38,Q38,IF(J21=P39,Q39,IF(J21=P40,Q40,IF(J21=P41,Q41,IF(J21=P42,Q42,IF(J21=P43,Q43,IF(J21=P44,Q44,IF(J21=P45,Q45,IF(J21=P46,Q46,IF(J21=P47,Q47,IF(J21=P48,Q48,IF(J21=P49,Q49,IF(J21=P50,Q50,IF(J21=P51,Q51,"0")))))))))))))))))))))))))))))))))))))))</f>
        <v>0</v>
      </c>
      <c r="T21" s="229"/>
    </row>
    <row r="22" spans="1:20" ht="18.600000000000001" thickBot="1">
      <c r="A22" s="9"/>
      <c r="B22" s="124"/>
      <c r="C22" s="485"/>
      <c r="D22" s="485"/>
      <c r="E22" s="485"/>
      <c r="F22" s="485"/>
      <c r="G22" s="485"/>
      <c r="H22" s="288"/>
      <c r="I22" s="476" t="s">
        <v>57</v>
      </c>
      <c r="J22" s="477"/>
      <c r="K22" s="477"/>
      <c r="L22" s="478"/>
      <c r="M22" s="147">
        <f>SUM(M13:M21)</f>
        <v>0</v>
      </c>
      <c r="N22" s="125"/>
      <c r="O22" s="9"/>
      <c r="P22" s="204" t="s">
        <v>280</v>
      </c>
      <c r="Q22" s="229">
        <v>4.7</v>
      </c>
      <c r="R22" s="229"/>
      <c r="S22" s="229"/>
      <c r="T22" s="229"/>
    </row>
    <row r="23" spans="1:20" ht="14.4">
      <c r="A23" s="9"/>
      <c r="B23" s="124"/>
      <c r="C23" s="485"/>
      <c r="D23" s="485"/>
      <c r="E23" s="485"/>
      <c r="F23" s="485"/>
      <c r="G23" s="485"/>
      <c r="H23" s="288"/>
      <c r="I23" s="214"/>
      <c r="J23" s="214"/>
      <c r="K23" s="222"/>
      <c r="L23" s="223"/>
      <c r="M23" s="215"/>
      <c r="N23" s="125"/>
      <c r="O23" s="9"/>
      <c r="P23" s="204" t="s">
        <v>281</v>
      </c>
      <c r="Q23" s="229">
        <v>44.2</v>
      </c>
      <c r="R23" s="229"/>
      <c r="S23" s="229"/>
      <c r="T23" s="229"/>
    </row>
    <row r="24" spans="1:20" ht="14.4">
      <c r="A24" s="9"/>
      <c r="B24" s="124"/>
      <c r="C24" s="485"/>
      <c r="D24" s="485"/>
      <c r="E24" s="485"/>
      <c r="F24" s="485"/>
      <c r="G24" s="485"/>
      <c r="H24" s="288"/>
      <c r="I24" s="216"/>
      <c r="J24" s="9"/>
      <c r="K24" s="9"/>
      <c r="L24" s="9"/>
      <c r="M24" s="9"/>
      <c r="N24" s="125"/>
      <c r="O24" s="9"/>
      <c r="P24" s="204" t="s">
        <v>282</v>
      </c>
      <c r="Q24" s="229">
        <v>6.7</v>
      </c>
      <c r="R24" s="229"/>
      <c r="S24" s="229"/>
      <c r="T24" s="229"/>
    </row>
    <row r="25" spans="1:20" ht="14.4">
      <c r="A25" s="9"/>
      <c r="B25" s="124"/>
      <c r="C25" s="288"/>
      <c r="D25" s="288"/>
      <c r="E25" s="288"/>
      <c r="F25" s="288"/>
      <c r="G25" s="288"/>
      <c r="H25" s="288"/>
      <c r="I25" s="192"/>
      <c r="J25" s="194"/>
      <c r="K25" s="192"/>
      <c r="L25" s="196"/>
      <c r="M25" s="193"/>
      <c r="N25" s="125"/>
      <c r="O25" s="9"/>
      <c r="P25" s="204" t="s">
        <v>283</v>
      </c>
      <c r="Q25" s="229">
        <v>13.2</v>
      </c>
      <c r="R25" s="229"/>
      <c r="S25" s="229"/>
      <c r="T25" s="229"/>
    </row>
    <row r="26" spans="1:20" ht="14.4">
      <c r="A26" s="9"/>
      <c r="B26" s="124"/>
      <c r="C26" s="288"/>
      <c r="D26" s="288"/>
      <c r="E26" s="288"/>
      <c r="F26" s="288"/>
      <c r="G26" s="288"/>
      <c r="H26" s="288"/>
      <c r="I26" s="192"/>
      <c r="J26" s="194"/>
      <c r="K26" s="194"/>
      <c r="L26" s="196"/>
      <c r="M26" s="195"/>
      <c r="N26" s="125"/>
      <c r="O26" s="9"/>
      <c r="P26" s="204" t="s">
        <v>284</v>
      </c>
      <c r="Q26" s="229">
        <v>51.5</v>
      </c>
      <c r="R26" s="229"/>
      <c r="S26" s="229"/>
      <c r="T26" s="229"/>
    </row>
    <row r="27" spans="1:20" ht="14.4">
      <c r="A27" s="9"/>
      <c r="B27" s="124"/>
      <c r="C27" s="288"/>
      <c r="D27" s="288"/>
      <c r="E27" s="288"/>
      <c r="F27" s="288"/>
      <c r="G27" s="288"/>
      <c r="H27" s="288"/>
      <c r="I27" s="9"/>
      <c r="J27" s="9"/>
      <c r="K27" s="9"/>
      <c r="L27" s="9"/>
      <c r="M27" s="9"/>
      <c r="N27" s="125"/>
      <c r="O27" s="9"/>
      <c r="P27" s="204" t="s">
        <v>285</v>
      </c>
      <c r="Q27" s="229">
        <v>58.9</v>
      </c>
      <c r="R27" s="229"/>
      <c r="S27" s="229"/>
      <c r="T27" s="229"/>
    </row>
    <row r="28" spans="1:20" ht="15" customHeight="1">
      <c r="A28" s="9"/>
      <c r="B28" s="124"/>
      <c r="C28" s="9"/>
      <c r="D28" s="148"/>
      <c r="E28" s="9"/>
      <c r="F28" s="9"/>
      <c r="G28" s="9"/>
      <c r="H28" s="9"/>
      <c r="I28" s="149"/>
      <c r="J28" s="149"/>
      <c r="K28" s="149"/>
      <c r="L28" s="149"/>
      <c r="M28" s="150"/>
      <c r="N28" s="125"/>
      <c r="O28" s="9"/>
      <c r="P28" s="204" t="s">
        <v>286</v>
      </c>
      <c r="Q28" s="229">
        <v>62.7</v>
      </c>
      <c r="R28" s="229"/>
      <c r="S28" s="229"/>
      <c r="T28" s="229"/>
    </row>
    <row r="29" spans="1:20" ht="15" customHeight="1">
      <c r="A29" s="9"/>
      <c r="B29" s="124"/>
      <c r="C29" s="9"/>
      <c r="D29" s="148"/>
      <c r="E29" s="9"/>
      <c r="F29" s="9"/>
      <c r="G29" s="9"/>
      <c r="H29" s="9"/>
      <c r="I29" s="149"/>
      <c r="J29" s="149"/>
      <c r="K29" s="149"/>
      <c r="L29" s="149"/>
      <c r="M29" s="150"/>
      <c r="N29" s="125"/>
      <c r="O29" s="9"/>
      <c r="P29" s="204" t="s">
        <v>287</v>
      </c>
      <c r="Q29" s="229">
        <v>14.3</v>
      </c>
      <c r="R29" s="229"/>
      <c r="S29" s="229"/>
      <c r="T29" s="229"/>
    </row>
    <row r="30" spans="1:20" ht="15" customHeight="1">
      <c r="A30" s="9"/>
      <c r="B30" s="124"/>
      <c r="C30" s="9"/>
      <c r="D30" s="148"/>
      <c r="E30" s="9"/>
      <c r="F30" s="9"/>
      <c r="G30" s="9"/>
      <c r="H30" s="9"/>
      <c r="I30" s="149"/>
      <c r="J30" s="149"/>
      <c r="K30" s="149"/>
      <c r="L30" s="149"/>
      <c r="M30" s="150"/>
      <c r="N30" s="125"/>
      <c r="O30" s="9"/>
      <c r="P30" s="204" t="s">
        <v>288</v>
      </c>
      <c r="Q30" s="229">
        <v>39</v>
      </c>
      <c r="R30" s="229"/>
      <c r="S30" s="229"/>
      <c r="T30" s="229"/>
    </row>
    <row r="31" spans="1:20" ht="15" customHeight="1">
      <c r="A31" s="9"/>
      <c r="B31" s="124"/>
      <c r="C31" s="9"/>
      <c r="D31" s="148"/>
      <c r="E31" s="9"/>
      <c r="F31" s="9"/>
      <c r="G31" s="9"/>
      <c r="H31" s="9"/>
      <c r="I31" s="149"/>
      <c r="J31" s="149"/>
      <c r="K31" s="149"/>
      <c r="L31" s="149"/>
      <c r="M31" s="150"/>
      <c r="N31" s="125"/>
      <c r="O31" s="9"/>
      <c r="P31" s="204" t="s">
        <v>289</v>
      </c>
      <c r="Q31" s="229">
        <v>68.900000000000006</v>
      </c>
      <c r="R31" s="229"/>
      <c r="S31" s="229"/>
      <c r="T31" s="229"/>
    </row>
    <row r="32" spans="1:20" ht="15" customHeight="1">
      <c r="A32" s="9"/>
      <c r="B32" s="124"/>
      <c r="C32" s="9"/>
      <c r="D32" s="148"/>
      <c r="E32" s="9"/>
      <c r="F32" s="9"/>
      <c r="G32" s="9"/>
      <c r="H32" s="9"/>
      <c r="I32" s="149"/>
      <c r="J32" s="149"/>
      <c r="K32" s="149"/>
      <c r="L32" s="149"/>
      <c r="M32" s="150"/>
      <c r="N32" s="125"/>
      <c r="O32" s="9"/>
      <c r="P32" s="204" t="s">
        <v>290</v>
      </c>
      <c r="Q32" s="229">
        <v>55.8</v>
      </c>
      <c r="R32" s="229"/>
      <c r="S32" s="229"/>
      <c r="T32" s="229"/>
    </row>
    <row r="33" spans="1:20" ht="15" customHeight="1">
      <c r="A33" s="9"/>
      <c r="B33" s="124"/>
      <c r="C33" s="9"/>
      <c r="D33" s="148"/>
      <c r="E33" s="9"/>
      <c r="F33" s="9"/>
      <c r="G33" s="9"/>
      <c r="H33" s="9"/>
      <c r="I33" s="149"/>
      <c r="J33" s="149"/>
      <c r="K33" s="149"/>
      <c r="L33" s="149"/>
      <c r="M33" s="150"/>
      <c r="N33" s="125"/>
      <c r="O33" s="9"/>
      <c r="P33" s="204" t="s">
        <v>291</v>
      </c>
      <c r="Q33" s="229">
        <v>61.5</v>
      </c>
      <c r="R33" s="229"/>
      <c r="S33" s="229"/>
      <c r="T33" s="229"/>
    </row>
    <row r="34" spans="1:20" ht="15" customHeight="1">
      <c r="A34" s="9"/>
      <c r="B34" s="124"/>
      <c r="C34" s="9"/>
      <c r="D34" s="148"/>
      <c r="E34" s="9"/>
      <c r="F34" s="9"/>
      <c r="G34" s="9"/>
      <c r="H34" s="9"/>
      <c r="I34" s="149"/>
      <c r="J34" s="149"/>
      <c r="K34" s="149"/>
      <c r="L34" s="149"/>
      <c r="M34" s="150"/>
      <c r="N34" s="125"/>
      <c r="O34" s="9"/>
      <c r="P34" s="204" t="s">
        <v>292</v>
      </c>
      <c r="Q34" s="229">
        <v>152.19999999999999</v>
      </c>
      <c r="R34" s="229"/>
      <c r="S34" s="229"/>
      <c r="T34" s="229"/>
    </row>
    <row r="35" spans="1:20" ht="15" customHeight="1">
      <c r="A35" s="9"/>
      <c r="B35" s="124"/>
      <c r="C35" s="9"/>
      <c r="D35" s="148"/>
      <c r="E35" s="9"/>
      <c r="F35" s="9"/>
      <c r="G35" s="9"/>
      <c r="H35" s="9"/>
      <c r="I35" s="149"/>
      <c r="J35" s="149"/>
      <c r="K35" s="149"/>
      <c r="L35" s="149"/>
      <c r="M35" s="150"/>
      <c r="N35" s="125"/>
      <c r="O35" s="9"/>
      <c r="P35" s="204" t="s">
        <v>293</v>
      </c>
      <c r="Q35" s="229">
        <v>19.3</v>
      </c>
      <c r="R35" s="229"/>
      <c r="S35" s="229"/>
      <c r="T35" s="229"/>
    </row>
    <row r="36" spans="1:20" ht="15" customHeight="1">
      <c r="A36" s="9"/>
      <c r="B36" s="124"/>
      <c r="C36" s="9"/>
      <c r="D36" s="148"/>
      <c r="E36" s="9"/>
      <c r="F36" s="9"/>
      <c r="G36" s="9"/>
      <c r="H36" s="9"/>
      <c r="I36" s="149"/>
      <c r="J36" s="149"/>
      <c r="K36" s="149"/>
      <c r="L36" s="149"/>
      <c r="M36" s="150"/>
      <c r="N36" s="125"/>
      <c r="O36" s="9"/>
      <c r="P36" s="204" t="s">
        <v>294</v>
      </c>
      <c r="Q36" s="229">
        <v>14.8</v>
      </c>
      <c r="R36" s="229"/>
      <c r="S36" s="229"/>
      <c r="T36" s="229"/>
    </row>
    <row r="37" spans="1:20" ht="15" customHeight="1">
      <c r="A37" s="9"/>
      <c r="B37" s="124"/>
      <c r="C37" s="9"/>
      <c r="D37" s="148"/>
      <c r="E37" s="9"/>
      <c r="F37" s="9"/>
      <c r="G37" s="9"/>
      <c r="H37" s="9"/>
      <c r="I37" s="149"/>
      <c r="J37" s="149"/>
      <c r="K37" s="149"/>
      <c r="L37" s="149"/>
      <c r="M37" s="150"/>
      <c r="N37" s="125"/>
      <c r="O37" s="9"/>
      <c r="P37" s="204" t="s">
        <v>295</v>
      </c>
      <c r="Q37" s="229">
        <v>90.3</v>
      </c>
      <c r="R37" s="229"/>
      <c r="S37" s="229"/>
      <c r="T37" s="229"/>
    </row>
    <row r="38" spans="1:20" ht="15" customHeight="1">
      <c r="A38" s="9"/>
      <c r="B38" s="124"/>
      <c r="C38" s="9"/>
      <c r="D38" s="148"/>
      <c r="E38" s="9"/>
      <c r="F38" s="9"/>
      <c r="G38" s="9"/>
      <c r="H38" s="9"/>
      <c r="I38" s="149"/>
      <c r="J38" s="149"/>
      <c r="K38" s="149"/>
      <c r="L38" s="149"/>
      <c r="M38" s="150"/>
      <c r="N38" s="125"/>
      <c r="O38" s="9"/>
      <c r="P38" s="204" t="s">
        <v>296</v>
      </c>
      <c r="Q38" s="229">
        <v>54.3</v>
      </c>
      <c r="R38" s="229"/>
      <c r="S38" s="229"/>
      <c r="T38" s="229"/>
    </row>
    <row r="39" spans="1:20" ht="15" customHeight="1">
      <c r="A39" s="9"/>
      <c r="B39" s="124"/>
      <c r="C39" s="9"/>
      <c r="D39" s="148"/>
      <c r="E39" s="9"/>
      <c r="F39" s="9"/>
      <c r="G39" s="9"/>
      <c r="H39" s="9"/>
      <c r="I39" s="149"/>
      <c r="J39" s="149"/>
      <c r="K39" s="149"/>
      <c r="L39" s="149"/>
      <c r="M39" s="150"/>
      <c r="N39" s="125"/>
      <c r="O39" s="9"/>
      <c r="P39" s="204" t="s">
        <v>297</v>
      </c>
      <c r="Q39" s="229">
        <v>19</v>
      </c>
      <c r="R39" s="229"/>
      <c r="S39" s="229"/>
      <c r="T39" s="229"/>
    </row>
    <row r="40" spans="1:20" ht="15" customHeight="1">
      <c r="A40" s="9"/>
      <c r="B40" s="124"/>
      <c r="C40" s="9"/>
      <c r="D40" s="148"/>
      <c r="E40" s="9"/>
      <c r="F40" s="9"/>
      <c r="G40" s="9"/>
      <c r="H40" s="9"/>
      <c r="I40" s="149"/>
      <c r="J40" s="149"/>
      <c r="K40" s="149"/>
      <c r="L40" s="149"/>
      <c r="M40" s="150"/>
      <c r="N40" s="125"/>
      <c r="O40" s="9"/>
      <c r="P40" s="204" t="s">
        <v>298</v>
      </c>
      <c r="Q40" s="229">
        <v>86.2</v>
      </c>
      <c r="R40" s="229"/>
      <c r="S40" s="229"/>
      <c r="T40" s="229"/>
    </row>
    <row r="41" spans="1:20" ht="15" customHeight="1">
      <c r="A41" s="9"/>
      <c r="B41" s="124"/>
      <c r="C41" s="9"/>
      <c r="D41" s="148"/>
      <c r="E41" s="9"/>
      <c r="F41" s="9"/>
      <c r="G41" s="9"/>
      <c r="H41" s="9"/>
      <c r="I41" s="149"/>
      <c r="J41" s="149"/>
      <c r="K41" s="149"/>
      <c r="L41" s="149"/>
      <c r="M41" s="150"/>
      <c r="N41" s="125"/>
      <c r="O41" s="9"/>
      <c r="P41" s="204" t="s">
        <v>299</v>
      </c>
      <c r="Q41" s="229">
        <v>24.2</v>
      </c>
      <c r="R41" s="229"/>
      <c r="S41" s="229"/>
      <c r="T41" s="229"/>
    </row>
    <row r="42" spans="1:20" ht="15" customHeight="1">
      <c r="A42" s="9"/>
      <c r="B42" s="124"/>
      <c r="C42" s="9"/>
      <c r="D42" s="148"/>
      <c r="E42" s="9"/>
      <c r="F42" s="9"/>
      <c r="G42" s="9"/>
      <c r="H42" s="9"/>
      <c r="I42" s="149"/>
      <c r="J42" s="149"/>
      <c r="K42" s="149"/>
      <c r="L42" s="149"/>
      <c r="M42" s="150"/>
      <c r="N42" s="125"/>
      <c r="O42" s="9"/>
      <c r="P42" s="204" t="s">
        <v>300</v>
      </c>
      <c r="Q42" s="229">
        <v>106.4</v>
      </c>
      <c r="R42" s="229"/>
      <c r="S42" s="229"/>
      <c r="T42" s="229"/>
    </row>
    <row r="43" spans="1:20" ht="15" customHeight="1">
      <c r="A43" s="9"/>
      <c r="B43" s="124"/>
      <c r="C43" s="9"/>
      <c r="D43" s="148"/>
      <c r="E43" s="9"/>
      <c r="F43" s="9"/>
      <c r="G43" s="9"/>
      <c r="H43" s="9"/>
      <c r="I43" s="149"/>
      <c r="J43" s="149"/>
      <c r="K43" s="149"/>
      <c r="L43" s="149"/>
      <c r="M43" s="150"/>
      <c r="N43" s="125"/>
      <c r="O43" s="9"/>
      <c r="P43" s="204" t="s">
        <v>301</v>
      </c>
      <c r="Q43" s="229">
        <v>24.5</v>
      </c>
      <c r="R43" s="229"/>
      <c r="S43" s="229"/>
      <c r="T43" s="229"/>
    </row>
    <row r="44" spans="1:20" ht="15" customHeight="1">
      <c r="A44" s="9"/>
      <c r="B44" s="124"/>
      <c r="C44" s="9"/>
      <c r="D44" s="148"/>
      <c r="E44" s="9"/>
      <c r="F44" s="9"/>
      <c r="G44" s="9"/>
      <c r="H44" s="9"/>
      <c r="I44" s="149"/>
      <c r="J44" s="149"/>
      <c r="K44" s="149"/>
      <c r="L44" s="149"/>
      <c r="M44" s="150"/>
      <c r="N44" s="125"/>
      <c r="O44" s="9"/>
      <c r="P44" s="204" t="s">
        <v>302</v>
      </c>
      <c r="Q44" s="229">
        <v>51.4</v>
      </c>
      <c r="R44" s="229"/>
      <c r="S44" s="229"/>
      <c r="T44" s="229"/>
    </row>
    <row r="45" spans="1:20" ht="15" customHeight="1">
      <c r="A45" s="9"/>
      <c r="B45" s="124"/>
      <c r="C45" s="9"/>
      <c r="D45" s="148"/>
      <c r="E45" s="9"/>
      <c r="F45" s="9"/>
      <c r="G45" s="9"/>
      <c r="H45" s="9"/>
      <c r="I45" s="149"/>
      <c r="J45" s="149"/>
      <c r="K45" s="149"/>
      <c r="L45" s="149"/>
      <c r="M45" s="150"/>
      <c r="N45" s="125"/>
      <c r="O45" s="9"/>
      <c r="P45" s="204" t="s">
        <v>303</v>
      </c>
      <c r="Q45" s="229">
        <v>7</v>
      </c>
      <c r="R45" s="229"/>
      <c r="S45" s="229"/>
      <c r="T45" s="229"/>
    </row>
    <row r="46" spans="1:20" ht="15" customHeight="1">
      <c r="A46" s="9"/>
      <c r="B46" s="124"/>
      <c r="C46" s="9"/>
      <c r="D46" s="148"/>
      <c r="E46" s="9"/>
      <c r="F46" s="9"/>
      <c r="G46" s="9"/>
      <c r="H46" s="9"/>
      <c r="I46" s="149"/>
      <c r="J46" s="149"/>
      <c r="K46" s="149"/>
      <c r="L46" s="149"/>
      <c r="M46" s="150"/>
      <c r="N46" s="125"/>
      <c r="O46" s="9"/>
      <c r="P46" s="204" t="s">
        <v>304</v>
      </c>
      <c r="Q46" s="229">
        <v>6.6</v>
      </c>
      <c r="R46" s="229"/>
      <c r="S46" s="229"/>
      <c r="T46" s="229"/>
    </row>
    <row r="47" spans="1:20" ht="15" customHeight="1" thickBot="1">
      <c r="A47" s="9"/>
      <c r="B47" s="151"/>
      <c r="C47" s="152"/>
      <c r="D47" s="152"/>
      <c r="E47" s="152"/>
      <c r="F47" s="152"/>
      <c r="G47" s="152"/>
      <c r="H47" s="152"/>
      <c r="I47" s="152"/>
      <c r="J47" s="152"/>
      <c r="K47" s="152"/>
      <c r="L47" s="152"/>
      <c r="M47" s="152"/>
      <c r="N47" s="153"/>
      <c r="O47" s="9"/>
      <c r="P47" s="204" t="s">
        <v>305</v>
      </c>
      <c r="Q47" s="229">
        <v>43.4</v>
      </c>
      <c r="R47" s="229"/>
      <c r="S47" s="229"/>
      <c r="T47" s="229"/>
    </row>
    <row r="48" spans="1:20" ht="15" customHeight="1">
      <c r="A48" s="9"/>
      <c r="B48" s="9"/>
      <c r="C48" s="9"/>
      <c r="D48" s="9"/>
      <c r="E48" s="9"/>
      <c r="F48" s="9"/>
      <c r="G48" s="9"/>
      <c r="H48" s="9"/>
      <c r="I48" s="9"/>
      <c r="J48" s="9"/>
      <c r="K48" s="9"/>
      <c r="L48" s="9"/>
      <c r="M48" s="9"/>
      <c r="N48" s="9"/>
      <c r="O48" s="9"/>
      <c r="P48" s="229" t="s">
        <v>306</v>
      </c>
      <c r="Q48" s="229">
        <v>32.1</v>
      </c>
      <c r="R48" s="229"/>
      <c r="T48" s="229"/>
    </row>
    <row r="49" spans="16:17" ht="15" hidden="1" customHeight="1">
      <c r="P49" s="211" t="s">
        <v>307</v>
      </c>
      <c r="Q49" s="229">
        <v>63.8</v>
      </c>
    </row>
    <row r="50" spans="16:17" ht="15" hidden="1" customHeight="1">
      <c r="P50" s="211" t="s">
        <v>308</v>
      </c>
      <c r="Q50" s="229">
        <v>16.100000000000001</v>
      </c>
    </row>
    <row r="51" spans="16:17" ht="15" hidden="1" customHeight="1">
      <c r="P51" s="211" t="s">
        <v>309</v>
      </c>
      <c r="Q51" s="229">
        <v>38.5</v>
      </c>
    </row>
    <row r="52" spans="16:17" ht="15" hidden="1" customHeight="1"/>
    <row r="53" spans="16:17" ht="15" hidden="1" customHeight="1"/>
    <row r="54" spans="16:17" ht="15" hidden="1" customHeight="1"/>
    <row r="55" spans="16:17" ht="15" hidden="1" customHeight="1"/>
    <row r="56" spans="16:17" ht="15" hidden="1" customHeight="1"/>
    <row r="57" spans="16:17" ht="15" hidden="1" customHeight="1"/>
    <row r="58" spans="16:17" ht="15" hidden="1" customHeight="1"/>
    <row r="59" spans="16:17" ht="15" hidden="1" customHeight="1"/>
    <row r="60" spans="16:17" ht="15" hidden="1" customHeight="1"/>
    <row r="61" spans="16:17" ht="15" hidden="1" customHeight="1"/>
  </sheetData>
  <sheetProtection algorithmName="SHA-512" hashValue="ldPjg+KRl05Jz5GKiJXMrVLJJL3FmYO4n9teU6+Sb1XVH+x9kM5zX/ojUBJKO8jamFEKYy3CjV/WQnuQaw4eKg==" saltValue="+jOoI+ldEnPsmMEGP1amww==" spinCount="100000" sheet="1" selectLockedCells="1"/>
  <mergeCells count="13">
    <mergeCell ref="D15:G16"/>
    <mergeCell ref="I22:L22"/>
    <mergeCell ref="D13:G14"/>
    <mergeCell ref="C2:H2"/>
    <mergeCell ref="B4:D4"/>
    <mergeCell ref="B5:D5"/>
    <mergeCell ref="B6:D6"/>
    <mergeCell ref="C10:M10"/>
    <mergeCell ref="C21:G24"/>
    <mergeCell ref="D17:G19"/>
    <mergeCell ref="C17:C19"/>
    <mergeCell ref="C15:C16"/>
    <mergeCell ref="C13:C14"/>
  </mergeCells>
  <dataValidations count="1">
    <dataValidation type="list" allowBlank="1" showInputMessage="1" showErrorMessage="1" sqref="J13:J21" xr:uid="{55336AD5-35A3-46C4-A808-8F1D5AE5E953}">
      <formula1>$P$13:$P$51</formula1>
    </dataValidation>
  </dataValidations>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AA3CC-280C-4D11-B6E4-F739E3783A59}">
  <sheetPr codeName="Sheet12"/>
  <dimension ref="A1:T63"/>
  <sheetViews>
    <sheetView topLeftCell="A7" zoomScaleNormal="100" workbookViewId="0">
      <selection activeCell="I2" sqref="I2"/>
    </sheetView>
  </sheetViews>
  <sheetFormatPr defaultColWidth="0" defaultRowHeight="0" customHeight="1" zeroHeight="1"/>
  <cols>
    <col min="1" max="3" width="3.6640625" customWidth="1"/>
    <col min="4" max="7" width="5.6640625" customWidth="1"/>
    <col min="8" max="8" width="3.6640625" customWidth="1"/>
    <col min="9" max="9" width="25.6640625" customWidth="1"/>
    <col min="10" max="12" width="11.6640625" customWidth="1"/>
    <col min="13" max="13" width="14.6640625" customWidth="1"/>
    <col min="14" max="15" width="3.6640625" customWidth="1"/>
    <col min="16" max="16" width="10.6640625" hidden="1" customWidth="1"/>
    <col min="17" max="16384" width="8.77734375" hidden="1"/>
  </cols>
  <sheetData>
    <row r="1" spans="1:20" ht="25.2" customHeight="1">
      <c r="A1" s="9"/>
      <c r="B1" s="9"/>
      <c r="C1" s="9"/>
      <c r="D1" s="9"/>
      <c r="E1" s="9"/>
      <c r="F1" s="9"/>
      <c r="G1" s="9"/>
      <c r="H1" s="9"/>
      <c r="I1" s="9"/>
      <c r="J1" s="9"/>
      <c r="K1" s="9"/>
      <c r="L1" s="9"/>
      <c r="M1" s="9"/>
      <c r="N1" s="9"/>
      <c r="O1" s="9"/>
    </row>
    <row r="2" spans="1:20" ht="25.2" customHeight="1">
      <c r="A2" s="9"/>
      <c r="B2" s="116" t="s">
        <v>0</v>
      </c>
      <c r="C2" s="450" t="s">
        <v>1</v>
      </c>
      <c r="D2" s="450"/>
      <c r="E2" s="450"/>
      <c r="F2" s="450"/>
      <c r="G2" s="450"/>
      <c r="H2" s="450"/>
      <c r="I2" s="354" t="str">
        <f>+'WSA-CC-Energy'!I2</f>
        <v>Carbon Calculator-2024</v>
      </c>
      <c r="J2" s="9"/>
      <c r="K2" s="9"/>
      <c r="L2" s="9"/>
      <c r="M2" s="9"/>
      <c r="N2" s="9"/>
      <c r="O2" s="9"/>
    </row>
    <row r="3" spans="1:20" ht="25.2" customHeight="1">
      <c r="A3" s="9"/>
      <c r="B3" s="9"/>
      <c r="D3" s="9"/>
      <c r="E3" s="9"/>
      <c r="F3" s="9"/>
      <c r="G3" s="9"/>
      <c r="H3" s="9"/>
      <c r="I3" s="9"/>
      <c r="J3" s="9"/>
      <c r="K3" s="9"/>
      <c r="L3" s="9"/>
      <c r="M3" s="9"/>
      <c r="N3" s="9"/>
      <c r="O3" s="9"/>
    </row>
    <row r="4" spans="1:20" ht="15" customHeight="1">
      <c r="A4" s="9"/>
      <c r="B4" s="451" t="s">
        <v>38</v>
      </c>
      <c r="C4" s="451"/>
      <c r="D4" s="451"/>
      <c r="E4" s="9"/>
      <c r="F4" s="259" t="str">
        <f>+'WSA-CC-Energy'!F4</f>
        <v>Click here to type once to automatically fill the rest</v>
      </c>
      <c r="G4" s="117"/>
      <c r="H4" s="117"/>
      <c r="I4" s="117"/>
      <c r="J4" s="9"/>
      <c r="K4" s="118" t="s">
        <v>40</v>
      </c>
      <c r="L4" s="119" t="str">
        <f>+'WSA-CC-Energy'!L4</f>
        <v>Click here to Type</v>
      </c>
      <c r="M4" s="119"/>
      <c r="N4" s="9"/>
      <c r="O4" s="9"/>
    </row>
    <row r="5" spans="1:20" ht="15" customHeight="1">
      <c r="A5" s="9"/>
      <c r="B5" s="451"/>
      <c r="C5" s="451"/>
      <c r="D5" s="451"/>
      <c r="E5" s="9"/>
      <c r="F5" s="258"/>
      <c r="G5" s="9"/>
      <c r="H5" s="9"/>
      <c r="I5" s="9"/>
      <c r="J5" s="9"/>
      <c r="K5" s="9"/>
      <c r="L5" s="9"/>
      <c r="M5" s="9"/>
      <c r="N5" s="9"/>
      <c r="O5" s="9"/>
    </row>
    <row r="6" spans="1:20" ht="15" customHeight="1">
      <c r="A6" s="9"/>
      <c r="B6" s="451"/>
      <c r="C6" s="451"/>
      <c r="D6" s="451"/>
      <c r="E6" s="9"/>
      <c r="F6" s="258"/>
      <c r="G6" s="9"/>
      <c r="H6" s="9"/>
      <c r="I6" s="9"/>
      <c r="J6" s="9"/>
      <c r="K6" s="9"/>
      <c r="L6" s="9"/>
      <c r="M6" s="9"/>
      <c r="N6" s="9"/>
      <c r="O6" s="9"/>
    </row>
    <row r="7" spans="1:20" ht="15" customHeight="1" thickBot="1">
      <c r="A7" s="9"/>
      <c r="B7" s="9"/>
      <c r="C7" s="9"/>
      <c r="D7" s="9"/>
      <c r="E7" s="9"/>
      <c r="F7" s="9"/>
      <c r="G7" s="9"/>
      <c r="H7" s="9"/>
      <c r="I7" s="152"/>
      <c r="J7" s="9"/>
      <c r="K7" s="9"/>
      <c r="L7" s="9"/>
      <c r="M7" s="9"/>
      <c r="N7" s="9"/>
      <c r="O7" s="9"/>
    </row>
    <row r="8" spans="1:20" ht="23.4">
      <c r="A8" s="9"/>
      <c r="B8" s="120"/>
      <c r="C8" s="121" t="s">
        <v>21</v>
      </c>
      <c r="D8" s="121"/>
      <c r="E8" s="121"/>
      <c r="F8" s="121"/>
      <c r="G8" s="121"/>
      <c r="H8" s="121"/>
      <c r="I8" s="121"/>
      <c r="J8" s="121"/>
      <c r="K8" s="121"/>
      <c r="L8" s="121"/>
      <c r="M8" s="122" t="s">
        <v>310</v>
      </c>
      <c r="N8" s="123"/>
      <c r="O8" s="9"/>
    </row>
    <row r="9" spans="1:20" ht="14.4">
      <c r="A9" s="9"/>
      <c r="B9" s="124"/>
      <c r="C9" s="9"/>
      <c r="D9" s="9"/>
      <c r="E9" s="9"/>
      <c r="F9" s="9"/>
      <c r="G9" s="9"/>
      <c r="H9" s="9"/>
      <c r="I9" s="9"/>
      <c r="J9" s="9"/>
      <c r="K9" s="9"/>
      <c r="L9" s="9"/>
      <c r="M9" s="9"/>
      <c r="N9" s="125"/>
      <c r="O9" s="9"/>
    </row>
    <row r="10" spans="1:20" ht="14.55" customHeight="1">
      <c r="A10" s="9"/>
      <c r="B10" s="124"/>
      <c r="C10" s="444" t="s">
        <v>311</v>
      </c>
      <c r="D10" s="444"/>
      <c r="E10" s="444"/>
      <c r="F10" s="444"/>
      <c r="G10" s="444"/>
      <c r="H10" s="444"/>
      <c r="I10" s="444"/>
      <c r="J10" s="444"/>
      <c r="K10" s="444"/>
      <c r="L10" s="444"/>
      <c r="M10" s="444"/>
      <c r="N10" s="125"/>
      <c r="O10" s="9"/>
    </row>
    <row r="11" spans="1:20" ht="15" thickBot="1">
      <c r="A11" s="9"/>
      <c r="B11" s="124"/>
      <c r="C11" s="9"/>
      <c r="D11" s="9"/>
      <c r="E11" s="9"/>
      <c r="F11" s="9"/>
      <c r="G11" s="9"/>
      <c r="H11" s="9"/>
      <c r="I11" s="9"/>
      <c r="J11" s="9"/>
      <c r="K11" s="9"/>
      <c r="L11" s="9"/>
      <c r="M11" s="9"/>
      <c r="N11" s="125"/>
      <c r="O11" s="9"/>
      <c r="P11" s="229"/>
      <c r="Q11" s="229"/>
      <c r="R11" s="229"/>
      <c r="S11" s="229"/>
      <c r="T11" s="229"/>
    </row>
    <row r="12" spans="1:20" ht="28.2" thickBot="1">
      <c r="A12" s="9"/>
      <c r="B12" s="124"/>
      <c r="C12" s="126"/>
      <c r="D12" s="9"/>
      <c r="E12" s="127"/>
      <c r="F12" s="127"/>
      <c r="G12" s="127"/>
      <c r="H12" s="9"/>
      <c r="I12" s="479" t="s">
        <v>312</v>
      </c>
      <c r="J12" s="480"/>
      <c r="K12" s="480"/>
      <c r="L12" s="481"/>
      <c r="M12" s="131" t="s">
        <v>50</v>
      </c>
      <c r="N12" s="125"/>
      <c r="O12" s="9" t="s">
        <v>51</v>
      </c>
      <c r="P12" s="202"/>
      <c r="Q12" s="229"/>
      <c r="R12" s="229"/>
      <c r="S12" s="229"/>
      <c r="T12" s="229"/>
    </row>
    <row r="13" spans="1:20" ht="16.2" thickBot="1">
      <c r="A13" s="9"/>
      <c r="B13" s="124"/>
      <c r="C13" s="155"/>
      <c r="D13" s="141"/>
      <c r="E13" s="141"/>
      <c r="F13" s="141"/>
      <c r="G13" s="141"/>
      <c r="H13" s="232"/>
      <c r="I13" s="282" t="s">
        <v>44</v>
      </c>
      <c r="J13" s="272"/>
      <c r="K13" s="273"/>
      <c r="L13" s="274"/>
      <c r="M13" s="283">
        <f>+'WSA-CC-Energy'!M23</f>
        <v>0</v>
      </c>
      <c r="N13" s="125"/>
      <c r="O13" s="9"/>
      <c r="P13" s="204"/>
      <c r="Q13" s="229"/>
      <c r="R13" s="229"/>
      <c r="S13" s="238"/>
      <c r="T13" s="229"/>
    </row>
    <row r="14" spans="1:20" ht="16.2" thickBot="1">
      <c r="A14" s="9"/>
      <c r="B14" s="124"/>
      <c r="C14" s="155"/>
      <c r="D14" s="141"/>
      <c r="E14" s="141"/>
      <c r="F14" s="141"/>
      <c r="G14" s="141"/>
      <c r="H14" s="232"/>
      <c r="I14" s="284" t="s">
        <v>107</v>
      </c>
      <c r="J14" s="275"/>
      <c r="K14" s="276"/>
      <c r="L14" s="277"/>
      <c r="M14" s="285">
        <f>+'WSA-CC-Water'!M23</f>
        <v>0</v>
      </c>
      <c r="N14" s="125"/>
      <c r="O14" s="9"/>
      <c r="P14" s="204"/>
      <c r="Q14" s="229"/>
      <c r="R14" s="229"/>
      <c r="S14" s="238"/>
      <c r="T14" s="229"/>
    </row>
    <row r="15" spans="1:20" ht="16.2" thickBot="1">
      <c r="A15" s="9"/>
      <c r="B15" s="124"/>
      <c r="C15" s="155"/>
      <c r="D15" s="141"/>
      <c r="E15" s="141"/>
      <c r="F15" s="141"/>
      <c r="G15" s="141"/>
      <c r="H15" s="9"/>
      <c r="I15" s="286" t="s">
        <v>115</v>
      </c>
      <c r="J15" s="278"/>
      <c r="K15" s="279"/>
      <c r="L15" s="274"/>
      <c r="M15" s="283">
        <f>+'WSA-CC-Material'!M34</f>
        <v>0</v>
      </c>
      <c r="N15" s="125"/>
      <c r="O15" s="9"/>
      <c r="P15" s="204"/>
      <c r="Q15" s="229"/>
      <c r="R15" s="229"/>
      <c r="S15" s="238"/>
      <c r="T15" s="229"/>
    </row>
    <row r="16" spans="1:20" ht="16.2" thickBot="1">
      <c r="A16" s="9"/>
      <c r="B16" s="124"/>
      <c r="C16" s="156"/>
      <c r="D16" s="141"/>
      <c r="E16" s="141"/>
      <c r="F16" s="141"/>
      <c r="G16" s="141"/>
      <c r="H16" s="9"/>
      <c r="I16" s="287" t="s">
        <v>183</v>
      </c>
      <c r="J16" s="275"/>
      <c r="K16" s="276"/>
      <c r="L16" s="277"/>
      <c r="M16" s="285">
        <f>+'WSA-CC-Waste'!M27</f>
        <v>0</v>
      </c>
      <c r="N16" s="125"/>
      <c r="O16" s="9"/>
      <c r="P16" s="204"/>
      <c r="Q16" s="229"/>
      <c r="R16" s="229"/>
      <c r="S16" s="238"/>
      <c r="T16" s="229"/>
    </row>
    <row r="17" spans="1:20" ht="16.2" thickBot="1">
      <c r="A17" s="9"/>
      <c r="B17" s="124"/>
      <c r="C17" s="126"/>
      <c r="D17" s="141"/>
      <c r="E17" s="141"/>
      <c r="F17" s="141"/>
      <c r="G17" s="141"/>
      <c r="H17" s="9"/>
      <c r="I17" s="286" t="s">
        <v>205</v>
      </c>
      <c r="J17" s="272"/>
      <c r="K17" s="273"/>
      <c r="L17" s="274"/>
      <c r="M17" s="283">
        <f>+'WSA-CC-Travel'!M24</f>
        <v>0</v>
      </c>
      <c r="N17" s="125"/>
      <c r="O17" s="9"/>
      <c r="P17" s="204"/>
      <c r="Q17" s="229"/>
      <c r="R17" s="229"/>
      <c r="S17" s="238"/>
      <c r="T17" s="229"/>
    </row>
    <row r="18" spans="1:20" ht="16.2" thickBot="1">
      <c r="A18" s="9"/>
      <c r="B18" s="124"/>
      <c r="C18" s="288"/>
      <c r="D18" s="288"/>
      <c r="E18" s="288"/>
      <c r="F18" s="288"/>
      <c r="G18" s="288"/>
      <c r="H18" s="288"/>
      <c r="I18" s="287" t="s">
        <v>13</v>
      </c>
      <c r="J18" s="280"/>
      <c r="K18" s="281"/>
      <c r="L18" s="277"/>
      <c r="M18" s="285">
        <f>+'WSA-CC-Freight'!M24</f>
        <v>0</v>
      </c>
      <c r="N18" s="125"/>
      <c r="O18" s="9"/>
      <c r="P18" s="204"/>
      <c r="Q18" s="229"/>
      <c r="R18" s="229"/>
      <c r="S18" s="238"/>
      <c r="T18" s="229"/>
    </row>
    <row r="19" spans="1:20" ht="15" customHeight="1" thickBot="1">
      <c r="A19" s="9"/>
      <c r="B19" s="124"/>
      <c r="C19" s="288"/>
      <c r="D19" s="288"/>
      <c r="E19" s="288"/>
      <c r="F19" s="288"/>
      <c r="G19" s="288"/>
      <c r="H19" s="288"/>
      <c r="I19" s="286" t="s">
        <v>264</v>
      </c>
      <c r="J19" s="272"/>
      <c r="K19" s="273"/>
      <c r="L19" s="274"/>
      <c r="M19" s="283">
        <f>+'WSA-CC-Accommodation'!M22</f>
        <v>0</v>
      </c>
      <c r="N19" s="125"/>
      <c r="O19" s="9"/>
      <c r="P19" s="204"/>
      <c r="Q19" s="229"/>
      <c r="R19" s="229"/>
      <c r="S19" s="238"/>
      <c r="T19" s="229"/>
    </row>
    <row r="20" spans="1:20" ht="15" customHeight="1" thickBot="1">
      <c r="A20" s="9"/>
      <c r="B20" s="124"/>
      <c r="C20" s="288"/>
      <c r="D20" s="288"/>
      <c r="E20" s="288"/>
      <c r="F20" s="288"/>
      <c r="G20" s="288"/>
      <c r="H20" s="288"/>
      <c r="I20" s="476" t="s">
        <v>57</v>
      </c>
      <c r="J20" s="477"/>
      <c r="K20" s="477"/>
      <c r="L20" s="478"/>
      <c r="M20" s="147">
        <f>SUM(M13:M19)</f>
        <v>0</v>
      </c>
      <c r="N20" s="125"/>
      <c r="O20" s="9"/>
      <c r="P20" s="204"/>
      <c r="Q20" s="229"/>
      <c r="R20" s="229"/>
      <c r="S20" s="238"/>
      <c r="T20" s="229"/>
    </row>
    <row r="21" spans="1:20" ht="15" thickBot="1">
      <c r="A21" s="9"/>
      <c r="B21" s="124"/>
      <c r="C21" s="288"/>
      <c r="D21" s="288"/>
      <c r="E21" s="288"/>
      <c r="F21" s="288"/>
      <c r="G21" s="288"/>
      <c r="H21" s="288"/>
      <c r="I21" s="267"/>
      <c r="J21" s="268"/>
      <c r="K21" s="269"/>
      <c r="L21" s="270"/>
      <c r="M21" s="271"/>
      <c r="N21" s="125"/>
      <c r="O21" s="9"/>
      <c r="P21" s="204"/>
      <c r="Q21" s="229"/>
      <c r="R21" s="229"/>
      <c r="S21" s="238"/>
      <c r="T21" s="229"/>
    </row>
    <row r="22" spans="1:20" ht="14.4">
      <c r="A22" s="9"/>
      <c r="B22" s="124"/>
      <c r="C22" s="288"/>
      <c r="D22" s="288"/>
      <c r="E22" s="288"/>
      <c r="F22" s="288"/>
      <c r="G22" s="288"/>
      <c r="H22" s="288"/>
      <c r="I22" s="9"/>
      <c r="J22" s="9"/>
      <c r="K22" s="9"/>
      <c r="L22" s="9"/>
      <c r="M22" s="9"/>
      <c r="N22" s="125"/>
      <c r="O22" s="9"/>
      <c r="P22" s="204"/>
      <c r="Q22" s="229"/>
      <c r="R22" s="229"/>
      <c r="S22" s="229"/>
      <c r="T22" s="229"/>
    </row>
    <row r="23" spans="1:20" ht="14.4">
      <c r="A23" s="9"/>
      <c r="B23" s="124"/>
      <c r="C23" s="288"/>
      <c r="D23" s="288"/>
      <c r="E23" s="288"/>
      <c r="F23" s="288"/>
      <c r="G23" s="288"/>
      <c r="H23" s="288"/>
      <c r="I23" s="192"/>
      <c r="J23" s="192"/>
      <c r="K23" s="192"/>
      <c r="L23" s="196"/>
      <c r="M23" s="193"/>
      <c r="N23" s="125"/>
      <c r="O23" s="9"/>
      <c r="P23" s="204"/>
      <c r="Q23" s="229"/>
      <c r="R23" s="229"/>
      <c r="S23" s="229"/>
      <c r="T23" s="229"/>
    </row>
    <row r="24" spans="1:20" ht="14.4">
      <c r="A24" s="9"/>
      <c r="B24" s="124"/>
      <c r="C24" s="288"/>
      <c r="D24" s="288"/>
      <c r="E24" s="288"/>
      <c r="F24" s="288"/>
      <c r="G24" s="288"/>
      <c r="H24" s="288"/>
      <c r="I24" s="216"/>
      <c r="J24" s="9"/>
      <c r="K24" s="9"/>
      <c r="L24" s="9"/>
      <c r="M24" s="9"/>
      <c r="N24" s="125"/>
      <c r="O24" s="9"/>
      <c r="P24" s="204"/>
      <c r="Q24" s="229"/>
      <c r="R24" s="229"/>
      <c r="S24" s="229"/>
      <c r="T24" s="229"/>
    </row>
    <row r="25" spans="1:20" ht="14.4">
      <c r="A25" s="9"/>
      <c r="B25" s="124"/>
      <c r="C25" s="288"/>
      <c r="D25" s="288"/>
      <c r="E25" s="288"/>
      <c r="F25" s="288"/>
      <c r="G25" s="288"/>
      <c r="H25" s="288"/>
      <c r="I25" s="192"/>
      <c r="J25" s="194"/>
      <c r="K25" s="192"/>
      <c r="L25" s="196"/>
      <c r="M25" s="193"/>
      <c r="N25" s="125"/>
      <c r="O25" s="9"/>
      <c r="P25" s="204"/>
      <c r="Q25" s="229"/>
      <c r="R25" s="229"/>
      <c r="S25" s="229"/>
      <c r="T25" s="229"/>
    </row>
    <row r="26" spans="1:20" ht="14.4">
      <c r="A26" s="9"/>
      <c r="B26" s="124"/>
      <c r="C26" s="288"/>
      <c r="D26" s="288"/>
      <c r="E26" s="288"/>
      <c r="F26" s="288"/>
      <c r="G26" s="288"/>
      <c r="H26" s="288"/>
      <c r="I26" s="192"/>
      <c r="J26" s="194"/>
      <c r="K26" s="194"/>
      <c r="L26" s="196"/>
      <c r="M26" s="195"/>
      <c r="N26" s="125"/>
      <c r="O26" s="9"/>
      <c r="P26" s="204"/>
      <c r="Q26" s="229"/>
      <c r="R26" s="229"/>
      <c r="S26" s="229"/>
      <c r="T26" s="229"/>
    </row>
    <row r="27" spans="1:20" ht="14.4">
      <c r="A27" s="9"/>
      <c r="B27" s="124"/>
      <c r="C27" s="288"/>
      <c r="D27" s="288"/>
      <c r="E27" s="288"/>
      <c r="F27" s="288"/>
      <c r="G27" s="288"/>
      <c r="H27" s="288"/>
      <c r="I27" s="192"/>
      <c r="J27" s="194"/>
      <c r="K27" s="194"/>
      <c r="L27" s="196"/>
      <c r="M27" s="195"/>
      <c r="N27" s="125"/>
      <c r="O27" s="9"/>
      <c r="P27" s="204"/>
      <c r="Q27" s="229"/>
      <c r="R27" s="229"/>
      <c r="S27" s="229"/>
      <c r="T27" s="229"/>
    </row>
    <row r="28" spans="1:20" ht="14.4">
      <c r="A28" s="9"/>
      <c r="B28" s="124"/>
      <c r="C28" s="288"/>
      <c r="D28" s="288"/>
      <c r="E28" s="288"/>
      <c r="F28" s="288"/>
      <c r="G28" s="288"/>
      <c r="H28" s="288"/>
      <c r="I28" s="192"/>
      <c r="J28" s="194"/>
      <c r="K28" s="194"/>
      <c r="L28" s="196"/>
      <c r="M28" s="195"/>
      <c r="N28" s="125"/>
      <c r="O28" s="9"/>
      <c r="P28" s="204"/>
      <c r="Q28" s="229"/>
      <c r="R28" s="229"/>
      <c r="S28" s="229"/>
      <c r="T28" s="229"/>
    </row>
    <row r="29" spans="1:20" ht="14.4">
      <c r="A29" s="9"/>
      <c r="B29" s="124"/>
      <c r="C29" s="288"/>
      <c r="D29" s="288"/>
      <c r="E29" s="288"/>
      <c r="F29" s="288"/>
      <c r="G29" s="288"/>
      <c r="H29" s="288"/>
      <c r="I29" s="9"/>
      <c r="J29" s="9"/>
      <c r="K29" s="9"/>
      <c r="L29" s="9"/>
      <c r="M29" s="9"/>
      <c r="N29" s="125"/>
      <c r="O29" s="9"/>
      <c r="P29" s="204"/>
      <c r="Q29" s="229"/>
      <c r="R29" s="229"/>
      <c r="S29" s="229"/>
      <c r="T29" s="229"/>
    </row>
    <row r="30" spans="1:20" ht="15" customHeight="1">
      <c r="A30" s="9"/>
      <c r="B30" s="124"/>
      <c r="C30" s="9"/>
      <c r="D30" s="148"/>
      <c r="E30" s="9"/>
      <c r="F30" s="9"/>
      <c r="G30" s="9"/>
      <c r="H30" s="9"/>
      <c r="I30" s="149"/>
      <c r="J30" s="149"/>
      <c r="K30" s="149"/>
      <c r="L30" s="149"/>
      <c r="M30" s="150"/>
      <c r="N30" s="125"/>
      <c r="O30" s="9"/>
      <c r="P30" s="204"/>
      <c r="Q30" s="229"/>
      <c r="R30" s="229"/>
      <c r="S30" s="229"/>
      <c r="T30" s="229"/>
    </row>
    <row r="31" spans="1:20" ht="15" customHeight="1">
      <c r="A31" s="9"/>
      <c r="B31" s="124"/>
      <c r="C31" s="9"/>
      <c r="D31" s="148"/>
      <c r="E31" s="9"/>
      <c r="F31" s="9"/>
      <c r="G31" s="9"/>
      <c r="H31" s="9"/>
      <c r="I31" s="149"/>
      <c r="J31" s="149"/>
      <c r="K31" s="149"/>
      <c r="L31" s="149"/>
      <c r="M31" s="150"/>
      <c r="N31" s="125"/>
      <c r="O31" s="9"/>
      <c r="P31" s="204"/>
      <c r="Q31" s="229"/>
      <c r="R31" s="229"/>
      <c r="S31" s="229"/>
      <c r="T31" s="229"/>
    </row>
    <row r="32" spans="1:20" ht="15" customHeight="1">
      <c r="A32" s="9"/>
      <c r="B32" s="124"/>
      <c r="C32" s="9"/>
      <c r="D32" s="148"/>
      <c r="E32" s="9"/>
      <c r="F32" s="9"/>
      <c r="G32" s="9"/>
      <c r="H32" s="9"/>
      <c r="I32" s="149"/>
      <c r="J32" s="149"/>
      <c r="K32" s="149"/>
      <c r="L32" s="149"/>
      <c r="M32" s="150"/>
      <c r="N32" s="125"/>
      <c r="O32" s="9"/>
      <c r="P32" s="204"/>
      <c r="Q32" s="229"/>
      <c r="R32" s="229"/>
      <c r="S32" s="229"/>
      <c r="T32" s="229"/>
    </row>
    <row r="33" spans="1:20" ht="15" customHeight="1">
      <c r="A33" s="9"/>
      <c r="B33" s="124"/>
      <c r="C33" s="9"/>
      <c r="D33" s="148"/>
      <c r="E33" s="9"/>
      <c r="F33" s="9"/>
      <c r="G33" s="9"/>
      <c r="H33" s="9"/>
      <c r="I33" s="149"/>
      <c r="J33" s="149"/>
      <c r="K33" s="149"/>
      <c r="L33" s="149"/>
      <c r="M33" s="150"/>
      <c r="N33" s="125"/>
      <c r="O33" s="9"/>
      <c r="P33" s="204"/>
      <c r="Q33" s="229"/>
      <c r="R33" s="229"/>
      <c r="S33" s="229"/>
      <c r="T33" s="229"/>
    </row>
    <row r="34" spans="1:20" ht="15" customHeight="1">
      <c r="A34" s="9"/>
      <c r="B34" s="124"/>
      <c r="C34" s="9"/>
      <c r="D34" s="148"/>
      <c r="E34" s="9"/>
      <c r="F34" s="9"/>
      <c r="G34" s="9"/>
      <c r="H34" s="9"/>
      <c r="I34" s="149"/>
      <c r="J34" s="149"/>
      <c r="K34" s="149"/>
      <c r="L34" s="149"/>
      <c r="M34" s="150"/>
      <c r="N34" s="125"/>
      <c r="O34" s="9"/>
      <c r="P34" s="204"/>
      <c r="Q34" s="229"/>
      <c r="R34" s="229"/>
      <c r="S34" s="229"/>
      <c r="T34" s="229"/>
    </row>
    <row r="35" spans="1:20" ht="15" customHeight="1">
      <c r="A35" s="9"/>
      <c r="B35" s="124"/>
      <c r="C35" s="9"/>
      <c r="D35" s="148"/>
      <c r="E35" s="9"/>
      <c r="F35" s="9"/>
      <c r="G35" s="9"/>
      <c r="H35" s="9"/>
      <c r="I35" s="149"/>
      <c r="J35" s="149"/>
      <c r="K35" s="149"/>
      <c r="L35" s="149"/>
      <c r="M35" s="150"/>
      <c r="N35" s="125"/>
      <c r="O35" s="9"/>
      <c r="P35" s="204"/>
      <c r="Q35" s="229"/>
      <c r="R35" s="229"/>
      <c r="S35" s="229"/>
      <c r="T35" s="229"/>
    </row>
    <row r="36" spans="1:20" ht="15" customHeight="1">
      <c r="A36" s="9"/>
      <c r="B36" s="124"/>
      <c r="C36" s="9"/>
      <c r="D36" s="148"/>
      <c r="E36" s="9"/>
      <c r="F36" s="9"/>
      <c r="G36" s="9"/>
      <c r="H36" s="9"/>
      <c r="I36" s="149"/>
      <c r="J36" s="149"/>
      <c r="K36" s="149"/>
      <c r="L36" s="149"/>
      <c r="M36" s="150"/>
      <c r="N36" s="125"/>
      <c r="O36" s="9"/>
      <c r="P36" s="204"/>
      <c r="Q36" s="229"/>
      <c r="R36" s="229"/>
      <c r="S36" s="229"/>
      <c r="T36" s="229"/>
    </row>
    <row r="37" spans="1:20" ht="15" customHeight="1">
      <c r="A37" s="9"/>
      <c r="B37" s="124"/>
      <c r="C37" s="9"/>
      <c r="D37" s="148"/>
      <c r="E37" s="9"/>
      <c r="F37" s="9"/>
      <c r="G37" s="9"/>
      <c r="H37" s="9"/>
      <c r="I37" s="149"/>
      <c r="J37" s="149"/>
      <c r="K37" s="149"/>
      <c r="L37" s="149"/>
      <c r="M37" s="150"/>
      <c r="N37" s="125"/>
      <c r="O37" s="9"/>
      <c r="P37" s="204"/>
      <c r="Q37" s="229"/>
      <c r="R37" s="229"/>
      <c r="S37" s="229"/>
      <c r="T37" s="229"/>
    </row>
    <row r="38" spans="1:20" ht="15" customHeight="1">
      <c r="A38" s="9"/>
      <c r="B38" s="124"/>
      <c r="C38" s="9"/>
      <c r="D38" s="148"/>
      <c r="E38" s="9"/>
      <c r="F38" s="9"/>
      <c r="G38" s="9"/>
      <c r="H38" s="9"/>
      <c r="I38" s="149"/>
      <c r="J38" s="149"/>
      <c r="K38" s="149"/>
      <c r="L38" s="149"/>
      <c r="M38" s="150"/>
      <c r="N38" s="125"/>
      <c r="O38" s="9"/>
      <c r="P38" s="204"/>
      <c r="Q38" s="229"/>
      <c r="R38" s="229"/>
      <c r="S38" s="229"/>
      <c r="T38" s="229"/>
    </row>
    <row r="39" spans="1:20" ht="15" customHeight="1">
      <c r="A39" s="9"/>
      <c r="B39" s="124"/>
      <c r="C39" s="9"/>
      <c r="D39" s="148"/>
      <c r="E39" s="9"/>
      <c r="F39" s="9"/>
      <c r="G39" s="9"/>
      <c r="H39" s="9"/>
      <c r="I39" s="149"/>
      <c r="J39" s="149"/>
      <c r="K39" s="149"/>
      <c r="L39" s="149"/>
      <c r="M39" s="150"/>
      <c r="N39" s="125"/>
      <c r="O39" s="9"/>
      <c r="P39" s="204"/>
      <c r="Q39" s="229"/>
      <c r="R39" s="229"/>
      <c r="S39" s="229"/>
      <c r="T39" s="229"/>
    </row>
    <row r="40" spans="1:20" ht="15" customHeight="1">
      <c r="A40" s="9"/>
      <c r="B40" s="124"/>
      <c r="C40" s="9"/>
      <c r="D40" s="148"/>
      <c r="E40" s="9"/>
      <c r="F40" s="9"/>
      <c r="G40" s="9"/>
      <c r="H40" s="9"/>
      <c r="I40" s="149"/>
      <c r="J40" s="149"/>
      <c r="K40" s="149"/>
      <c r="L40" s="149"/>
      <c r="M40" s="150"/>
      <c r="N40" s="125"/>
      <c r="O40" s="9"/>
      <c r="P40" s="204"/>
      <c r="Q40" s="229"/>
      <c r="R40" s="229"/>
      <c r="S40" s="229"/>
      <c r="T40" s="229"/>
    </row>
    <row r="41" spans="1:20" ht="15" customHeight="1">
      <c r="A41" s="9"/>
      <c r="B41" s="124"/>
      <c r="C41" s="9"/>
      <c r="D41" s="148"/>
      <c r="E41" s="9"/>
      <c r="F41" s="9"/>
      <c r="G41" s="9"/>
      <c r="H41" s="9"/>
      <c r="I41" s="149"/>
      <c r="J41" s="149"/>
      <c r="K41" s="149"/>
      <c r="L41" s="149"/>
      <c r="M41" s="150"/>
      <c r="N41" s="125"/>
      <c r="O41" s="9"/>
      <c r="P41" s="204"/>
      <c r="Q41" s="229"/>
      <c r="R41" s="229"/>
      <c r="S41" s="229"/>
      <c r="T41" s="229"/>
    </row>
    <row r="42" spans="1:20" ht="15" customHeight="1">
      <c r="A42" s="9"/>
      <c r="B42" s="124"/>
      <c r="C42" s="9"/>
      <c r="D42" s="148"/>
      <c r="E42" s="9"/>
      <c r="F42" s="9"/>
      <c r="G42" s="9"/>
      <c r="H42" s="9"/>
      <c r="I42" s="149"/>
      <c r="J42" s="149"/>
      <c r="K42" s="149"/>
      <c r="L42" s="149"/>
      <c r="M42" s="150"/>
      <c r="N42" s="125"/>
      <c r="O42" s="9"/>
      <c r="P42" s="204"/>
      <c r="Q42" s="229"/>
      <c r="R42" s="229"/>
      <c r="S42" s="229"/>
      <c r="T42" s="229"/>
    </row>
    <row r="43" spans="1:20" ht="15" customHeight="1">
      <c r="A43" s="9"/>
      <c r="B43" s="124"/>
      <c r="C43" s="9"/>
      <c r="D43" s="148"/>
      <c r="E43" s="9"/>
      <c r="F43" s="9"/>
      <c r="G43" s="9"/>
      <c r="H43" s="9"/>
      <c r="I43" s="149"/>
      <c r="J43" s="149"/>
      <c r="K43" s="149"/>
      <c r="L43" s="149"/>
      <c r="M43" s="150"/>
      <c r="N43" s="125"/>
      <c r="O43" s="9"/>
      <c r="P43" s="204"/>
      <c r="Q43" s="229"/>
      <c r="R43" s="229"/>
      <c r="S43" s="229"/>
      <c r="T43" s="229"/>
    </row>
    <row r="44" spans="1:20" ht="15" customHeight="1">
      <c r="A44" s="9"/>
      <c r="B44" s="124"/>
      <c r="C44" s="9"/>
      <c r="D44" s="148"/>
      <c r="E44" s="9"/>
      <c r="F44" s="9"/>
      <c r="G44" s="9"/>
      <c r="H44" s="9"/>
      <c r="I44" s="149"/>
      <c r="J44" s="149"/>
      <c r="K44" s="149"/>
      <c r="L44" s="149"/>
      <c r="M44" s="150"/>
      <c r="N44" s="125"/>
      <c r="O44" s="9"/>
      <c r="P44" s="204"/>
      <c r="Q44" s="229"/>
      <c r="R44" s="229"/>
      <c r="S44" s="229"/>
      <c r="T44" s="229"/>
    </row>
    <row r="45" spans="1:20" ht="15" customHeight="1">
      <c r="A45" s="9"/>
      <c r="B45" s="124"/>
      <c r="C45" s="9"/>
      <c r="D45" s="148"/>
      <c r="E45" s="9"/>
      <c r="F45" s="9"/>
      <c r="G45" s="9"/>
      <c r="H45" s="9"/>
      <c r="I45" s="149"/>
      <c r="J45" s="149"/>
      <c r="K45" s="149"/>
      <c r="L45" s="149"/>
      <c r="M45" s="150"/>
      <c r="N45" s="125"/>
      <c r="O45" s="9"/>
      <c r="P45" s="204"/>
      <c r="Q45" s="229"/>
      <c r="R45" s="229"/>
      <c r="S45" s="229"/>
      <c r="T45" s="229"/>
    </row>
    <row r="46" spans="1:20" ht="15" customHeight="1">
      <c r="A46" s="9"/>
      <c r="B46" s="124"/>
      <c r="C46" s="9"/>
      <c r="D46" s="148"/>
      <c r="E46" s="9"/>
      <c r="F46" s="9"/>
      <c r="G46" s="9"/>
      <c r="H46" s="9"/>
      <c r="I46" s="149"/>
      <c r="J46" s="149"/>
      <c r="K46" s="149"/>
      <c r="L46" s="149"/>
      <c r="M46" s="150"/>
      <c r="N46" s="125"/>
      <c r="O46" s="9"/>
      <c r="P46" s="204"/>
      <c r="Q46" s="229"/>
      <c r="R46" s="229"/>
      <c r="S46" s="229"/>
      <c r="T46" s="229"/>
    </row>
    <row r="47" spans="1:20" ht="15" customHeight="1">
      <c r="A47" s="9"/>
      <c r="B47" s="124"/>
      <c r="C47" s="9"/>
      <c r="D47" s="148"/>
      <c r="E47" s="9"/>
      <c r="F47" s="9"/>
      <c r="G47" s="9"/>
      <c r="H47" s="9"/>
      <c r="I47" s="149"/>
      <c r="J47" s="149"/>
      <c r="K47" s="149"/>
      <c r="L47" s="149"/>
      <c r="M47" s="150"/>
      <c r="N47" s="125"/>
      <c r="O47" s="9"/>
      <c r="P47" s="204"/>
      <c r="Q47" s="229"/>
      <c r="R47" s="229"/>
      <c r="S47" s="229"/>
      <c r="T47" s="229"/>
    </row>
    <row r="48" spans="1:20" ht="15" customHeight="1">
      <c r="A48" s="9"/>
      <c r="B48" s="124"/>
      <c r="C48" s="9"/>
      <c r="D48" s="148"/>
      <c r="E48" s="9"/>
      <c r="F48" s="9"/>
      <c r="G48" s="9"/>
      <c r="H48" s="9"/>
      <c r="I48" s="149"/>
      <c r="J48" s="149"/>
      <c r="K48" s="149"/>
      <c r="L48" s="149"/>
      <c r="M48" s="150"/>
      <c r="N48" s="125"/>
      <c r="O48" s="9"/>
      <c r="P48" s="204"/>
      <c r="Q48" s="229"/>
      <c r="R48" s="229"/>
      <c r="S48" s="229"/>
      <c r="T48" s="229"/>
    </row>
    <row r="49" spans="1:20" ht="15" customHeight="1" thickBot="1">
      <c r="A49" s="9"/>
      <c r="B49" s="151"/>
      <c r="C49" s="152"/>
      <c r="D49" s="152"/>
      <c r="E49" s="152"/>
      <c r="F49" s="152"/>
      <c r="G49" s="152"/>
      <c r="H49" s="152"/>
      <c r="I49" s="152"/>
      <c r="J49" s="152"/>
      <c r="K49" s="152"/>
      <c r="L49" s="152"/>
      <c r="M49" s="152"/>
      <c r="N49" s="153"/>
      <c r="O49" s="9"/>
      <c r="P49" s="204"/>
      <c r="Q49" s="229"/>
      <c r="R49" s="229"/>
      <c r="S49" s="229"/>
      <c r="T49" s="229"/>
    </row>
    <row r="50" spans="1:20" ht="15" customHeight="1">
      <c r="A50" s="9"/>
      <c r="B50" s="9"/>
      <c r="C50" s="9"/>
      <c r="D50" s="9"/>
      <c r="E50" s="9"/>
      <c r="F50" s="9"/>
      <c r="G50" s="9"/>
      <c r="H50" s="9"/>
      <c r="I50" s="9"/>
      <c r="J50" s="9"/>
      <c r="K50" s="9"/>
      <c r="L50" s="9"/>
      <c r="M50" s="9"/>
      <c r="N50" s="9"/>
      <c r="O50" s="9"/>
      <c r="P50" s="229"/>
      <c r="Q50" s="229"/>
      <c r="R50" s="229"/>
      <c r="T50" s="229"/>
    </row>
    <row r="51" spans="1:20" ht="15" hidden="1" customHeight="1">
      <c r="P51" s="211"/>
      <c r="Q51" s="229"/>
    </row>
    <row r="52" spans="1:20" ht="15" hidden="1" customHeight="1">
      <c r="P52" s="211"/>
      <c r="Q52" s="229"/>
    </row>
    <row r="53" spans="1:20" ht="15" hidden="1" customHeight="1">
      <c r="P53" s="211"/>
      <c r="Q53" s="229"/>
    </row>
    <row r="54" spans="1:20" ht="15" hidden="1" customHeight="1"/>
    <row r="55" spans="1:20" ht="15" hidden="1" customHeight="1"/>
    <row r="56" spans="1:20" ht="15" hidden="1" customHeight="1"/>
    <row r="57" spans="1:20" ht="15" hidden="1" customHeight="1"/>
    <row r="58" spans="1:20" ht="15" hidden="1" customHeight="1"/>
    <row r="59" spans="1:20" ht="15" hidden="1" customHeight="1"/>
    <row r="60" spans="1:20" ht="15" hidden="1" customHeight="1"/>
    <row r="61" spans="1:20" ht="15" hidden="1" customHeight="1"/>
    <row r="62" spans="1:20" ht="15" hidden="1" customHeight="1"/>
    <row r="63" spans="1:20" ht="15" hidden="1" customHeight="1"/>
  </sheetData>
  <sheetProtection algorithmName="SHA-512" hashValue="0p2wf2FJTo9xgzx22P2cQJz9BoYHfK5YXIuH6f1KXQdkYVg8PscLiamAseAyXa4x+VpTdL6pxY/JDQ9jSZy2OQ==" saltValue="Yr6vQAz7aPmRd2rNs3PtIA==" spinCount="100000" sheet="1" selectLockedCells="1"/>
  <mergeCells count="7">
    <mergeCell ref="I20:L20"/>
    <mergeCell ref="I12:L12"/>
    <mergeCell ref="C2:H2"/>
    <mergeCell ref="B4:D4"/>
    <mergeCell ref="B5:D5"/>
    <mergeCell ref="B6:D6"/>
    <mergeCell ref="C10:M10"/>
  </mergeCell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9516-9E3A-41C6-B53B-46A1F7A0BFDF}">
  <sheetPr codeName="Sheet5"/>
  <dimension ref="A1:K205"/>
  <sheetViews>
    <sheetView topLeftCell="A69" zoomScaleNormal="100" workbookViewId="0">
      <selection activeCell="M83" sqref="M83"/>
    </sheetView>
  </sheetViews>
  <sheetFormatPr defaultColWidth="8.77734375" defaultRowHeight="14.4"/>
  <cols>
    <col min="1" max="1" width="34.6640625" customWidth="1"/>
    <col min="2" max="2" width="10.6640625" customWidth="1"/>
    <col min="3" max="3" width="35.6640625" style="8" customWidth="1"/>
    <col min="4" max="9" width="10.6640625" customWidth="1"/>
    <col min="10" max="11" width="15.6640625" customWidth="1"/>
    <col min="12" max="15" width="8.77734375" customWidth="1"/>
  </cols>
  <sheetData>
    <row r="1" spans="1:11" ht="57.45" customHeight="1">
      <c r="A1" s="67" t="s">
        <v>313</v>
      </c>
      <c r="B1" s="68" t="s">
        <v>314</v>
      </c>
      <c r="C1" s="68" t="s">
        <v>315</v>
      </c>
      <c r="D1" s="68" t="s">
        <v>316</v>
      </c>
      <c r="E1" s="68" t="s">
        <v>317</v>
      </c>
      <c r="F1" s="68" t="s">
        <v>318</v>
      </c>
      <c r="G1" s="68" t="s">
        <v>319</v>
      </c>
      <c r="H1" s="68" t="s">
        <v>320</v>
      </c>
      <c r="I1" s="68" t="s">
        <v>321</v>
      </c>
      <c r="J1" s="68" t="s">
        <v>322</v>
      </c>
      <c r="K1" s="69" t="s">
        <v>50</v>
      </c>
    </row>
    <row r="2" spans="1:11" ht="14.55" customHeight="1">
      <c r="A2" s="70" cm="1">
        <f t="array" ref="A2:A11">+'WSA-CC-Energy'!I13:I22</f>
        <v>0</v>
      </c>
      <c r="B2" s="62" t="s">
        <v>44</v>
      </c>
      <c r="C2" s="63" t="s">
        <v>323</v>
      </c>
      <c r="D2" s="61" cm="1">
        <f t="array" ref="D2:D11">+'WSA-CC-Energy'!J13:J22</f>
        <v>0</v>
      </c>
      <c r="E2" s="61" cm="1">
        <f t="array" ref="E2:E11">+'WSA-CC-Energy'!K13:K22</f>
        <v>0</v>
      </c>
      <c r="F2" s="61" t="s">
        <v>324</v>
      </c>
      <c r="G2" s="61" cm="1">
        <f t="array" ref="G2:G11">+'WSA-CC-Energy'!L13:L22</f>
        <v>0</v>
      </c>
      <c r="H2" s="64">
        <f>(D2*E2*G2)/1000</f>
        <v>0</v>
      </c>
      <c r="I2" s="64" t="s">
        <v>325</v>
      </c>
      <c r="J2" s="186">
        <f>+'GHG conversion factor'!D2</f>
        <v>0.20705000000000001</v>
      </c>
      <c r="K2" s="71">
        <f>H2*J2</f>
        <v>0</v>
      </c>
    </row>
    <row r="3" spans="1:11">
      <c r="A3" s="70">
        <v>0</v>
      </c>
      <c r="B3" s="62" t="s">
        <v>44</v>
      </c>
      <c r="C3" s="63" t="s">
        <v>323</v>
      </c>
      <c r="D3" s="61">
        <v>0</v>
      </c>
      <c r="E3" s="61">
        <v>0</v>
      </c>
      <c r="F3" s="61" t="s">
        <v>324</v>
      </c>
      <c r="G3" s="61">
        <v>0</v>
      </c>
      <c r="H3" s="64">
        <f t="shared" ref="H3:H11" si="0">(D3*E3*G3)/1000</f>
        <v>0</v>
      </c>
      <c r="I3" s="64" t="s">
        <v>325</v>
      </c>
      <c r="J3" s="186">
        <f>+'GHG conversion factor'!D2</f>
        <v>0.20705000000000001</v>
      </c>
      <c r="K3" s="71">
        <f t="shared" ref="K3:K11" si="1">H3*J3</f>
        <v>0</v>
      </c>
    </row>
    <row r="4" spans="1:11">
      <c r="A4" s="70">
        <v>0</v>
      </c>
      <c r="B4" s="62" t="s">
        <v>44</v>
      </c>
      <c r="C4" s="63" t="s">
        <v>323</v>
      </c>
      <c r="D4" s="61">
        <v>0</v>
      </c>
      <c r="E4" s="61">
        <v>0</v>
      </c>
      <c r="F4" s="61" t="s">
        <v>324</v>
      </c>
      <c r="G4" s="61">
        <v>0</v>
      </c>
      <c r="H4" s="64">
        <f t="shared" si="0"/>
        <v>0</v>
      </c>
      <c r="I4" s="64" t="s">
        <v>325</v>
      </c>
      <c r="J4" s="186">
        <f>+'GHG conversion factor'!D2</f>
        <v>0.20705000000000001</v>
      </c>
      <c r="K4" s="71">
        <f t="shared" si="1"/>
        <v>0</v>
      </c>
    </row>
    <row r="5" spans="1:11">
      <c r="A5" s="70">
        <v>0</v>
      </c>
      <c r="B5" s="62" t="s">
        <v>44</v>
      </c>
      <c r="C5" s="63" t="s">
        <v>323</v>
      </c>
      <c r="D5" s="61">
        <v>0</v>
      </c>
      <c r="E5" s="61">
        <v>0</v>
      </c>
      <c r="F5" s="61" t="s">
        <v>324</v>
      </c>
      <c r="G5" s="61">
        <v>0</v>
      </c>
      <c r="H5" s="64">
        <f t="shared" si="0"/>
        <v>0</v>
      </c>
      <c r="I5" s="64" t="s">
        <v>325</v>
      </c>
      <c r="J5" s="186">
        <f>+'GHG conversion factor'!D2</f>
        <v>0.20705000000000001</v>
      </c>
      <c r="K5" s="71">
        <f t="shared" si="1"/>
        <v>0</v>
      </c>
    </row>
    <row r="6" spans="1:11">
      <c r="A6" s="70">
        <v>0</v>
      </c>
      <c r="B6" s="62" t="s">
        <v>44</v>
      </c>
      <c r="C6" s="63" t="s">
        <v>323</v>
      </c>
      <c r="D6" s="61">
        <v>0</v>
      </c>
      <c r="E6" s="61">
        <v>0</v>
      </c>
      <c r="F6" s="61" t="s">
        <v>324</v>
      </c>
      <c r="G6" s="61">
        <v>0</v>
      </c>
      <c r="H6" s="64">
        <f t="shared" si="0"/>
        <v>0</v>
      </c>
      <c r="I6" s="64" t="s">
        <v>325</v>
      </c>
      <c r="J6" s="186">
        <f>+'GHG conversion factor'!D2</f>
        <v>0.20705000000000001</v>
      </c>
      <c r="K6" s="71">
        <f t="shared" si="1"/>
        <v>0</v>
      </c>
    </row>
    <row r="7" spans="1:11">
      <c r="A7" s="70">
        <v>0</v>
      </c>
      <c r="B7" s="62" t="s">
        <v>44</v>
      </c>
      <c r="C7" s="63" t="s">
        <v>323</v>
      </c>
      <c r="D7" s="61">
        <v>0</v>
      </c>
      <c r="E7" s="61">
        <v>0</v>
      </c>
      <c r="F7" s="61" t="s">
        <v>324</v>
      </c>
      <c r="G7" s="61">
        <v>0</v>
      </c>
      <c r="H7" s="64">
        <f t="shared" si="0"/>
        <v>0</v>
      </c>
      <c r="I7" s="64" t="s">
        <v>325</v>
      </c>
      <c r="J7" s="186">
        <f>+'GHG conversion factor'!D2</f>
        <v>0.20705000000000001</v>
      </c>
      <c r="K7" s="71">
        <f t="shared" si="1"/>
        <v>0</v>
      </c>
    </row>
    <row r="8" spans="1:11">
      <c r="A8" s="70">
        <v>0</v>
      </c>
      <c r="B8" s="62" t="s">
        <v>44</v>
      </c>
      <c r="C8" s="63" t="s">
        <v>323</v>
      </c>
      <c r="D8" s="61">
        <v>0</v>
      </c>
      <c r="E8" s="61">
        <v>0</v>
      </c>
      <c r="F8" s="61" t="s">
        <v>324</v>
      </c>
      <c r="G8" s="61">
        <v>0</v>
      </c>
      <c r="H8" s="64">
        <f t="shared" si="0"/>
        <v>0</v>
      </c>
      <c r="I8" s="64" t="s">
        <v>325</v>
      </c>
      <c r="J8" s="186">
        <f>+'GHG conversion factor'!D2</f>
        <v>0.20705000000000001</v>
      </c>
      <c r="K8" s="71">
        <f t="shared" si="1"/>
        <v>0</v>
      </c>
    </row>
    <row r="9" spans="1:11">
      <c r="A9" s="70">
        <v>0</v>
      </c>
      <c r="B9" s="62" t="s">
        <v>44</v>
      </c>
      <c r="C9" s="63" t="s">
        <v>323</v>
      </c>
      <c r="D9" s="61">
        <v>0</v>
      </c>
      <c r="E9" s="61">
        <v>0</v>
      </c>
      <c r="F9" s="61" t="s">
        <v>324</v>
      </c>
      <c r="G9" s="61">
        <v>0</v>
      </c>
      <c r="H9" s="64">
        <f t="shared" si="0"/>
        <v>0</v>
      </c>
      <c r="I9" s="64" t="s">
        <v>325</v>
      </c>
      <c r="J9" s="186">
        <f>+'GHG conversion factor'!D2</f>
        <v>0.20705000000000001</v>
      </c>
      <c r="K9" s="71">
        <f t="shared" si="1"/>
        <v>0</v>
      </c>
    </row>
    <row r="10" spans="1:11">
      <c r="A10" s="70">
        <v>0</v>
      </c>
      <c r="B10" s="62" t="s">
        <v>44</v>
      </c>
      <c r="C10" s="63" t="s">
        <v>323</v>
      </c>
      <c r="D10" s="61">
        <v>0</v>
      </c>
      <c r="E10" s="61">
        <v>0</v>
      </c>
      <c r="F10" s="61" t="s">
        <v>324</v>
      </c>
      <c r="G10" s="61">
        <v>0</v>
      </c>
      <c r="H10" s="64">
        <f t="shared" si="0"/>
        <v>0</v>
      </c>
      <c r="I10" s="64" t="s">
        <v>325</v>
      </c>
      <c r="J10" s="186">
        <f>+'GHG conversion factor'!D2</f>
        <v>0.20705000000000001</v>
      </c>
      <c r="K10" s="71">
        <f t="shared" si="1"/>
        <v>0</v>
      </c>
    </row>
    <row r="11" spans="1:11">
      <c r="A11" s="70">
        <v>0</v>
      </c>
      <c r="B11" s="62" t="s">
        <v>44</v>
      </c>
      <c r="C11" s="63" t="s">
        <v>323</v>
      </c>
      <c r="D11" s="61">
        <v>0</v>
      </c>
      <c r="E11" s="61">
        <v>0</v>
      </c>
      <c r="F11" s="61" t="s">
        <v>324</v>
      </c>
      <c r="G11" s="61">
        <v>0</v>
      </c>
      <c r="H11" s="64">
        <f t="shared" si="0"/>
        <v>0</v>
      </c>
      <c r="I11" s="64" t="s">
        <v>325</v>
      </c>
      <c r="J11" s="186">
        <f>+'GHG conversion factor'!D2</f>
        <v>0.20705000000000001</v>
      </c>
      <c r="K11" s="71">
        <f t="shared" si="1"/>
        <v>0</v>
      </c>
    </row>
    <row r="12" spans="1:11" ht="15" thickBot="1">
      <c r="A12" s="493" t="s">
        <v>326</v>
      </c>
      <c r="B12" s="494"/>
      <c r="C12" s="494"/>
      <c r="D12" s="494"/>
      <c r="E12" s="494"/>
      <c r="F12" s="494"/>
      <c r="G12" s="494"/>
      <c r="H12" s="494"/>
      <c r="I12" s="494"/>
      <c r="J12" s="494"/>
      <c r="K12" s="72">
        <f>SUM(K2:K11)</f>
        <v>0</v>
      </c>
    </row>
    <row r="13" spans="1:11">
      <c r="A13" s="66"/>
      <c r="B13" s="66"/>
      <c r="C13" s="66"/>
      <c r="D13" s="66"/>
      <c r="E13" s="66"/>
      <c r="F13" s="66"/>
      <c r="G13" s="66"/>
      <c r="H13" s="66"/>
      <c r="I13" s="66"/>
      <c r="J13" s="66"/>
      <c r="K13" s="12"/>
    </row>
    <row r="14" spans="1:11" ht="15" thickBot="1">
      <c r="A14" s="9"/>
      <c r="B14" s="10"/>
      <c r="C14" s="11"/>
      <c r="D14" s="9"/>
      <c r="E14" s="9"/>
      <c r="F14" s="9"/>
      <c r="G14" s="9"/>
      <c r="H14" s="12"/>
      <c r="I14" s="12"/>
      <c r="J14" s="12"/>
      <c r="K14" s="12"/>
    </row>
    <row r="15" spans="1:11" ht="43.2">
      <c r="A15" s="78" t="s">
        <v>327</v>
      </c>
      <c r="B15" s="79" t="s">
        <v>314</v>
      </c>
      <c r="C15" s="79" t="s">
        <v>315</v>
      </c>
      <c r="D15" s="80"/>
      <c r="E15" s="79" t="s">
        <v>119</v>
      </c>
      <c r="F15" s="79" t="s">
        <v>318</v>
      </c>
      <c r="G15" s="80"/>
      <c r="H15" s="79" t="s">
        <v>320</v>
      </c>
      <c r="I15" s="79" t="s">
        <v>321</v>
      </c>
      <c r="J15" s="79" t="s">
        <v>322</v>
      </c>
      <c r="K15" s="81" t="s">
        <v>50</v>
      </c>
    </row>
    <row r="16" spans="1:11">
      <c r="A16" s="82">
        <f>+'WSA-CC-Water'!I13</f>
        <v>0</v>
      </c>
      <c r="B16" s="62" t="s">
        <v>107</v>
      </c>
      <c r="C16" s="63" t="s">
        <v>328</v>
      </c>
      <c r="D16" s="65"/>
      <c r="E16" s="61">
        <f>+'WSA-CC-Water'!L13</f>
        <v>0</v>
      </c>
      <c r="F16" s="61" t="s">
        <v>329</v>
      </c>
      <c r="G16" s="65"/>
      <c r="H16" s="64">
        <f t="shared" ref="H16:H25" si="2">E16/1000</f>
        <v>0</v>
      </c>
      <c r="I16" s="64" t="s">
        <v>330</v>
      </c>
      <c r="J16" s="186">
        <f>+'GHG conversion factor'!D3</f>
        <v>0.15311</v>
      </c>
      <c r="K16" s="83">
        <f>H16*J16</f>
        <v>0</v>
      </c>
    </row>
    <row r="17" spans="1:11">
      <c r="A17" s="82">
        <f>+'WSA-CC-Water'!I14</f>
        <v>0</v>
      </c>
      <c r="B17" s="62" t="s">
        <v>107</v>
      </c>
      <c r="C17" s="63" t="s">
        <v>328</v>
      </c>
      <c r="D17" s="65"/>
      <c r="E17" s="61">
        <f>+'WSA-CC-Water'!L14</f>
        <v>0</v>
      </c>
      <c r="F17" s="61" t="s">
        <v>329</v>
      </c>
      <c r="G17" s="65"/>
      <c r="H17" s="64">
        <f t="shared" si="2"/>
        <v>0</v>
      </c>
      <c r="I17" s="64" t="s">
        <v>330</v>
      </c>
      <c r="J17" s="186">
        <f>+'GHG conversion factor'!D3</f>
        <v>0.15311</v>
      </c>
      <c r="K17" s="83">
        <f t="shared" ref="K17:K25" si="3">H17*J17</f>
        <v>0</v>
      </c>
    </row>
    <row r="18" spans="1:11">
      <c r="A18" s="82">
        <f>+'WSA-CC-Water'!I15</f>
        <v>0</v>
      </c>
      <c r="B18" s="62" t="s">
        <v>107</v>
      </c>
      <c r="C18" s="63" t="s">
        <v>328</v>
      </c>
      <c r="D18" s="65"/>
      <c r="E18" s="61">
        <f>+'WSA-CC-Water'!L15</f>
        <v>0</v>
      </c>
      <c r="F18" s="61" t="s">
        <v>329</v>
      </c>
      <c r="G18" s="65"/>
      <c r="H18" s="64">
        <f t="shared" si="2"/>
        <v>0</v>
      </c>
      <c r="I18" s="64" t="s">
        <v>330</v>
      </c>
      <c r="J18" s="186">
        <f>+'GHG conversion factor'!D3</f>
        <v>0.15311</v>
      </c>
      <c r="K18" s="83">
        <f t="shared" si="3"/>
        <v>0</v>
      </c>
    </row>
    <row r="19" spans="1:11">
      <c r="A19" s="82">
        <f>+'WSA-CC-Water'!I16</f>
        <v>0</v>
      </c>
      <c r="B19" s="62" t="s">
        <v>107</v>
      </c>
      <c r="C19" s="63" t="s">
        <v>328</v>
      </c>
      <c r="D19" s="65"/>
      <c r="E19" s="61">
        <f>+'WSA-CC-Water'!L16</f>
        <v>0</v>
      </c>
      <c r="F19" s="61" t="s">
        <v>329</v>
      </c>
      <c r="G19" s="65"/>
      <c r="H19" s="64">
        <f t="shared" si="2"/>
        <v>0</v>
      </c>
      <c r="I19" s="64" t="s">
        <v>330</v>
      </c>
      <c r="J19" s="186">
        <f>+'GHG conversion factor'!D3</f>
        <v>0.15311</v>
      </c>
      <c r="K19" s="83">
        <f t="shared" si="3"/>
        <v>0</v>
      </c>
    </row>
    <row r="20" spans="1:11">
      <c r="A20" s="82">
        <f>+'WSA-CC-Water'!I17</f>
        <v>0</v>
      </c>
      <c r="B20" s="62" t="s">
        <v>107</v>
      </c>
      <c r="C20" s="63" t="s">
        <v>328</v>
      </c>
      <c r="D20" s="65"/>
      <c r="E20" s="61">
        <f>+'WSA-CC-Water'!L17</f>
        <v>0</v>
      </c>
      <c r="F20" s="61" t="s">
        <v>329</v>
      </c>
      <c r="G20" s="65"/>
      <c r="H20" s="64">
        <f t="shared" si="2"/>
        <v>0</v>
      </c>
      <c r="I20" s="64" t="s">
        <v>330</v>
      </c>
      <c r="J20" s="186">
        <f>+'GHG conversion factor'!D3</f>
        <v>0.15311</v>
      </c>
      <c r="K20" s="83">
        <f t="shared" si="3"/>
        <v>0</v>
      </c>
    </row>
    <row r="21" spans="1:11">
      <c r="A21" s="82">
        <f>+'WSA-CC-Water'!I18</f>
        <v>0</v>
      </c>
      <c r="B21" s="62" t="s">
        <v>107</v>
      </c>
      <c r="C21" s="63" t="s">
        <v>328</v>
      </c>
      <c r="D21" s="65"/>
      <c r="E21" s="61">
        <f>+'WSA-CC-Water'!L18</f>
        <v>0</v>
      </c>
      <c r="F21" s="61" t="s">
        <v>329</v>
      </c>
      <c r="G21" s="65"/>
      <c r="H21" s="64">
        <f t="shared" si="2"/>
        <v>0</v>
      </c>
      <c r="I21" s="64" t="s">
        <v>330</v>
      </c>
      <c r="J21" s="186">
        <f>+'GHG conversion factor'!D3</f>
        <v>0.15311</v>
      </c>
      <c r="K21" s="83">
        <f t="shared" si="3"/>
        <v>0</v>
      </c>
    </row>
    <row r="22" spans="1:11">
      <c r="A22" s="82">
        <f>+'WSA-CC-Water'!I19</f>
        <v>0</v>
      </c>
      <c r="B22" s="62" t="s">
        <v>107</v>
      </c>
      <c r="C22" s="63" t="s">
        <v>328</v>
      </c>
      <c r="D22" s="65"/>
      <c r="E22" s="61">
        <f>+'WSA-CC-Water'!L19</f>
        <v>0</v>
      </c>
      <c r="F22" s="61" t="s">
        <v>329</v>
      </c>
      <c r="G22" s="65"/>
      <c r="H22" s="64">
        <f t="shared" si="2"/>
        <v>0</v>
      </c>
      <c r="I22" s="64" t="s">
        <v>330</v>
      </c>
      <c r="J22" s="186">
        <f>+'GHG conversion factor'!D3</f>
        <v>0.15311</v>
      </c>
      <c r="K22" s="83">
        <f t="shared" si="3"/>
        <v>0</v>
      </c>
    </row>
    <row r="23" spans="1:11">
      <c r="A23" s="82">
        <f>+'WSA-CC-Water'!I20</f>
        <v>0</v>
      </c>
      <c r="B23" s="62" t="s">
        <v>107</v>
      </c>
      <c r="C23" s="63" t="s">
        <v>328</v>
      </c>
      <c r="D23" s="65"/>
      <c r="E23" s="61">
        <f>+'WSA-CC-Water'!L20</f>
        <v>0</v>
      </c>
      <c r="F23" s="61" t="s">
        <v>329</v>
      </c>
      <c r="G23" s="65"/>
      <c r="H23" s="64">
        <f t="shared" si="2"/>
        <v>0</v>
      </c>
      <c r="I23" s="64" t="s">
        <v>330</v>
      </c>
      <c r="J23" s="186">
        <f>+'GHG conversion factor'!D3</f>
        <v>0.15311</v>
      </c>
      <c r="K23" s="83">
        <f t="shared" si="3"/>
        <v>0</v>
      </c>
    </row>
    <row r="24" spans="1:11">
      <c r="A24" s="82">
        <f>+'WSA-CC-Water'!I21</f>
        <v>0</v>
      </c>
      <c r="B24" s="62" t="s">
        <v>107</v>
      </c>
      <c r="C24" s="63" t="s">
        <v>328</v>
      </c>
      <c r="D24" s="65"/>
      <c r="E24" s="61">
        <f>+'WSA-CC-Water'!L21</f>
        <v>0</v>
      </c>
      <c r="F24" s="61" t="s">
        <v>329</v>
      </c>
      <c r="G24" s="65"/>
      <c r="H24" s="64">
        <f t="shared" si="2"/>
        <v>0</v>
      </c>
      <c r="I24" s="64" t="s">
        <v>330</v>
      </c>
      <c r="J24" s="186">
        <f>+'GHG conversion factor'!D3</f>
        <v>0.15311</v>
      </c>
      <c r="K24" s="83">
        <f t="shared" si="3"/>
        <v>0</v>
      </c>
    </row>
    <row r="25" spans="1:11">
      <c r="A25" s="82">
        <f>+'WSA-CC-Water'!I22</f>
        <v>0</v>
      </c>
      <c r="B25" s="62" t="s">
        <v>107</v>
      </c>
      <c r="C25" s="63" t="s">
        <v>328</v>
      </c>
      <c r="D25" s="65"/>
      <c r="E25" s="61">
        <f>+'WSA-CC-Water'!L22</f>
        <v>0</v>
      </c>
      <c r="F25" s="61" t="s">
        <v>329</v>
      </c>
      <c r="G25" s="65"/>
      <c r="H25" s="64">
        <f t="shared" si="2"/>
        <v>0</v>
      </c>
      <c r="I25" s="64" t="s">
        <v>330</v>
      </c>
      <c r="J25" s="186">
        <f>+'GHG conversion factor'!D3</f>
        <v>0.15311</v>
      </c>
      <c r="K25" s="83">
        <f t="shared" si="3"/>
        <v>0</v>
      </c>
    </row>
    <row r="26" spans="1:11" ht="15" thickBot="1">
      <c r="A26" s="491" t="s">
        <v>326</v>
      </c>
      <c r="B26" s="492"/>
      <c r="C26" s="492"/>
      <c r="D26" s="492"/>
      <c r="E26" s="492"/>
      <c r="F26" s="492"/>
      <c r="G26" s="492"/>
      <c r="H26" s="492"/>
      <c r="I26" s="492"/>
      <c r="J26" s="492"/>
      <c r="K26" s="84">
        <f>SUM(K16:K25)</f>
        <v>0</v>
      </c>
    </row>
    <row r="27" spans="1:11">
      <c r="A27" s="9"/>
      <c r="B27" s="10"/>
      <c r="C27" s="11"/>
      <c r="D27" s="9"/>
      <c r="E27" s="9"/>
      <c r="F27" s="9"/>
      <c r="G27" s="9"/>
      <c r="H27" s="12"/>
      <c r="I27" s="12"/>
      <c r="J27" s="12"/>
      <c r="K27" s="12"/>
    </row>
    <row r="28" spans="1:11" ht="15" thickBot="1">
      <c r="A28" s="9"/>
      <c r="B28" s="10"/>
      <c r="C28" s="11"/>
      <c r="D28" s="9"/>
      <c r="E28" s="9"/>
      <c r="F28" s="9"/>
      <c r="G28" s="9"/>
      <c r="H28" s="12"/>
      <c r="I28" s="12"/>
      <c r="J28" s="12"/>
      <c r="K28" s="12"/>
    </row>
    <row r="29" spans="1:11" ht="57.6">
      <c r="A29" s="78" t="s">
        <v>331</v>
      </c>
      <c r="B29" s="79" t="s">
        <v>314</v>
      </c>
      <c r="C29" s="79" t="s">
        <v>332</v>
      </c>
      <c r="D29" s="80" t="s">
        <v>316</v>
      </c>
      <c r="E29" s="79" t="s">
        <v>119</v>
      </c>
      <c r="F29" s="79" t="s">
        <v>318</v>
      </c>
      <c r="G29" s="80"/>
      <c r="H29" s="79" t="s">
        <v>320</v>
      </c>
      <c r="I29" s="79" t="s">
        <v>321</v>
      </c>
      <c r="J29" s="79" t="s">
        <v>322</v>
      </c>
      <c r="K29" s="81" t="s">
        <v>50</v>
      </c>
    </row>
    <row r="30" spans="1:11">
      <c r="A30" s="85"/>
      <c r="B30" s="18" t="s">
        <v>115</v>
      </c>
      <c r="C30" s="15" t="s">
        <v>333</v>
      </c>
      <c r="D30" s="19"/>
      <c r="E30" s="88" t="str">
        <f>+'WSA-CC-Material'!R13</f>
        <v>0</v>
      </c>
      <c r="F30" s="17" t="s">
        <v>334</v>
      </c>
      <c r="G30" s="19"/>
      <c r="H30" s="16">
        <f>E30/1000</f>
        <v>0</v>
      </c>
      <c r="I30" s="16" t="s">
        <v>335</v>
      </c>
      <c r="J30" s="49" cm="1">
        <f t="array" ref="J30:J52">+'GHG conversion factor'!D6:D28</f>
        <v>3815.7847299999999</v>
      </c>
      <c r="K30" s="86">
        <f>J30*H30</f>
        <v>0</v>
      </c>
    </row>
    <row r="31" spans="1:11">
      <c r="A31" s="85"/>
      <c r="B31" s="18" t="s">
        <v>115</v>
      </c>
      <c r="C31" s="15" t="s">
        <v>336</v>
      </c>
      <c r="D31" s="19"/>
      <c r="E31" s="89" t="str">
        <f>+'WSA-CC-Material'!R14</f>
        <v>0</v>
      </c>
      <c r="F31" s="17" t="s">
        <v>334</v>
      </c>
      <c r="G31" s="19"/>
      <c r="H31" s="16">
        <f t="shared" ref="H31:H108" si="4">E31/1000</f>
        <v>0</v>
      </c>
      <c r="I31" s="16" t="s">
        <v>335</v>
      </c>
      <c r="J31" s="49">
        <v>1630.7866100000001</v>
      </c>
      <c r="K31" s="86">
        <f>J31*H31</f>
        <v>0</v>
      </c>
    </row>
    <row r="32" spans="1:11" ht="27.6">
      <c r="A32" s="85"/>
      <c r="B32" s="18" t="s">
        <v>115</v>
      </c>
      <c r="C32" s="15" t="s">
        <v>337</v>
      </c>
      <c r="D32" s="19"/>
      <c r="E32" s="89" t="str">
        <f>+'WSA-CC-Material'!R15</f>
        <v>0</v>
      </c>
      <c r="F32" s="17" t="s">
        <v>334</v>
      </c>
      <c r="G32" s="19"/>
      <c r="H32" s="16">
        <f t="shared" si="4"/>
        <v>0</v>
      </c>
      <c r="I32" s="16" t="s">
        <v>335</v>
      </c>
      <c r="J32" s="49">
        <v>9106.9185099999995</v>
      </c>
      <c r="K32" s="86">
        <f t="shared" ref="K32:K72" si="5">J32*H32</f>
        <v>0</v>
      </c>
    </row>
    <row r="33" spans="1:11" ht="27.6">
      <c r="A33" s="85"/>
      <c r="B33" s="18" t="s">
        <v>115</v>
      </c>
      <c r="C33" s="15" t="s">
        <v>338</v>
      </c>
      <c r="D33" s="19"/>
      <c r="E33" s="89" t="str">
        <f>+'WSA-CC-Material'!R16</f>
        <v>0</v>
      </c>
      <c r="F33" s="17" t="s">
        <v>334</v>
      </c>
      <c r="G33" s="19"/>
      <c r="H33" s="16">
        <f t="shared" si="4"/>
        <v>0</v>
      </c>
      <c r="I33" s="16" t="s">
        <v>335</v>
      </c>
      <c r="J33" s="50">
        <v>990.47810000000004</v>
      </c>
      <c r="K33" s="86">
        <f t="shared" si="5"/>
        <v>0</v>
      </c>
    </row>
    <row r="34" spans="1:11" ht="27.6">
      <c r="A34" s="85"/>
      <c r="B34" s="18" t="s">
        <v>115</v>
      </c>
      <c r="C34" s="15" t="s">
        <v>339</v>
      </c>
      <c r="D34" s="19"/>
      <c r="E34" s="89" t="str">
        <f>+'WSA-CC-Material'!R17</f>
        <v>0</v>
      </c>
      <c r="F34" s="17" t="s">
        <v>334</v>
      </c>
      <c r="G34" s="19"/>
      <c r="H34" s="16">
        <f t="shared" si="4"/>
        <v>0</v>
      </c>
      <c r="I34" s="16" t="s">
        <v>335</v>
      </c>
      <c r="J34" s="50">
        <v>3464.56448</v>
      </c>
      <c r="K34" s="86">
        <f t="shared" si="5"/>
        <v>0</v>
      </c>
    </row>
    <row r="35" spans="1:11">
      <c r="A35" s="85"/>
      <c r="B35" s="18" t="s">
        <v>115</v>
      </c>
      <c r="C35" s="15" t="s">
        <v>340</v>
      </c>
      <c r="D35" s="19"/>
      <c r="E35" s="89" t="str">
        <f>+'WSA-CC-Material'!R18</f>
        <v>0</v>
      </c>
      <c r="F35" s="17" t="s">
        <v>334</v>
      </c>
      <c r="G35" s="19"/>
      <c r="H35" s="16">
        <f t="shared" si="4"/>
        <v>0</v>
      </c>
      <c r="I35" s="16" t="s">
        <v>335</v>
      </c>
      <c r="J35" s="51">
        <v>1620.2760599999999</v>
      </c>
      <c r="K35" s="86">
        <f t="shared" si="5"/>
        <v>0</v>
      </c>
    </row>
    <row r="36" spans="1:11" ht="25.2" customHeight="1">
      <c r="A36" s="85"/>
      <c r="B36" s="18" t="s">
        <v>115</v>
      </c>
      <c r="C36" s="15" t="s">
        <v>186</v>
      </c>
      <c r="D36" s="19"/>
      <c r="E36" s="89">
        <f>+'WSA-CC-Material'!L15</f>
        <v>0</v>
      </c>
      <c r="F36" s="17" t="s">
        <v>334</v>
      </c>
      <c r="G36" s="19"/>
      <c r="H36" s="16">
        <f t="shared" si="4"/>
        <v>0</v>
      </c>
      <c r="I36" s="16" t="s">
        <v>335</v>
      </c>
      <c r="J36" s="52">
        <v>0.98485</v>
      </c>
      <c r="K36" s="86">
        <f t="shared" si="5"/>
        <v>0</v>
      </c>
    </row>
    <row r="37" spans="1:11" ht="25.2" customHeight="1">
      <c r="A37" s="85"/>
      <c r="B37" s="18" t="s">
        <v>115</v>
      </c>
      <c r="C37" s="15" t="s">
        <v>341</v>
      </c>
      <c r="D37" s="19"/>
      <c r="E37" s="89" t="str" cm="1">
        <f t="array" ref="E37:E38">+'WSA-CC-Material'!R19:R20</f>
        <v>0</v>
      </c>
      <c r="F37" s="17" t="s">
        <v>334</v>
      </c>
      <c r="G37" s="19"/>
      <c r="H37" s="16">
        <f t="shared" si="4"/>
        <v>0</v>
      </c>
      <c r="I37" s="16" t="s">
        <v>335</v>
      </c>
      <c r="J37" s="52">
        <v>120.05</v>
      </c>
      <c r="K37" s="86">
        <f t="shared" si="5"/>
        <v>0</v>
      </c>
    </row>
    <row r="38" spans="1:11">
      <c r="A38" s="85"/>
      <c r="B38" s="18" t="s">
        <v>115</v>
      </c>
      <c r="C38" s="15" t="s">
        <v>342</v>
      </c>
      <c r="D38" s="19"/>
      <c r="E38" s="89" t="str">
        <v>0</v>
      </c>
      <c r="F38" s="17" t="s">
        <v>334</v>
      </c>
      <c r="G38" s="19"/>
      <c r="H38" s="16">
        <f t="shared" si="4"/>
        <v>0</v>
      </c>
      <c r="I38" s="16" t="s">
        <v>335</v>
      </c>
      <c r="J38" s="52">
        <v>32.17</v>
      </c>
      <c r="K38" s="86">
        <f t="shared" si="5"/>
        <v>0</v>
      </c>
    </row>
    <row r="39" spans="1:11" ht="14.55" customHeight="1">
      <c r="A39" s="85"/>
      <c r="B39" s="18" t="s">
        <v>115</v>
      </c>
      <c r="C39" s="15" t="s">
        <v>343</v>
      </c>
      <c r="D39" s="19"/>
      <c r="E39" s="89" t="str" cm="1">
        <f t="array" ref="E39:E40">+'WSA-CC-Material'!R21:R22</f>
        <v>0</v>
      </c>
      <c r="F39" s="17" t="s">
        <v>334</v>
      </c>
      <c r="G39" s="19"/>
      <c r="H39" s="16">
        <f t="shared" si="4"/>
        <v>0</v>
      </c>
      <c r="I39" s="16" t="s">
        <v>335</v>
      </c>
      <c r="J39" s="52">
        <v>3335.5718999999999</v>
      </c>
      <c r="K39" s="86">
        <f t="shared" si="5"/>
        <v>0</v>
      </c>
    </row>
    <row r="40" spans="1:11">
      <c r="A40" s="85"/>
      <c r="B40" s="18" t="s">
        <v>115</v>
      </c>
      <c r="C40" s="15" t="s">
        <v>344</v>
      </c>
      <c r="D40" s="19"/>
      <c r="E40" s="89" t="str">
        <v>0</v>
      </c>
      <c r="F40" s="17" t="s">
        <v>334</v>
      </c>
      <c r="G40" s="19"/>
      <c r="H40" s="16">
        <f t="shared" si="4"/>
        <v>0</v>
      </c>
      <c r="I40" s="16" t="s">
        <v>335</v>
      </c>
      <c r="J40" s="52">
        <v>731.21789000000001</v>
      </c>
      <c r="K40" s="86">
        <f t="shared" si="5"/>
        <v>0</v>
      </c>
    </row>
    <row r="41" spans="1:11" ht="14.55" customHeight="1">
      <c r="A41" s="85"/>
      <c r="B41" s="18" t="s">
        <v>115</v>
      </c>
      <c r="C41" s="15" t="s">
        <v>345</v>
      </c>
      <c r="D41" s="19"/>
      <c r="E41" s="89" t="str">
        <f>+'WSA-CC-Material'!R23</f>
        <v>0</v>
      </c>
      <c r="F41" s="17" t="s">
        <v>334</v>
      </c>
      <c r="G41" s="19"/>
      <c r="H41" s="16">
        <f t="shared" si="4"/>
        <v>0</v>
      </c>
      <c r="I41" s="16" t="s">
        <v>335</v>
      </c>
      <c r="J41" s="49">
        <v>269.50416000000001</v>
      </c>
      <c r="K41" s="86">
        <f t="shared" si="5"/>
        <v>0</v>
      </c>
    </row>
    <row r="42" spans="1:11">
      <c r="A42" s="85"/>
      <c r="B42" s="18" t="s">
        <v>115</v>
      </c>
      <c r="C42" s="15" t="s">
        <v>346</v>
      </c>
      <c r="D42" s="19"/>
      <c r="E42" s="89" t="str">
        <f>+'WSA-CC-Material'!R24</f>
        <v>0</v>
      </c>
      <c r="F42" s="17" t="s">
        <v>334</v>
      </c>
      <c r="G42" s="19"/>
      <c r="H42" s="16">
        <f t="shared" si="4"/>
        <v>0</v>
      </c>
      <c r="I42" s="16" t="s">
        <v>335</v>
      </c>
      <c r="J42" s="53">
        <v>38.542879999999997</v>
      </c>
      <c r="K42" s="86">
        <f t="shared" si="5"/>
        <v>0</v>
      </c>
    </row>
    <row r="43" spans="1:11" ht="14.55" customHeight="1">
      <c r="A43" s="85"/>
      <c r="B43" s="18" t="s">
        <v>115</v>
      </c>
      <c r="C43" s="15" t="s">
        <v>347</v>
      </c>
      <c r="D43" s="19"/>
      <c r="E43" s="89" t="str">
        <f>+'WSA-CC-Material'!R25</f>
        <v>0</v>
      </c>
      <c r="F43" s="17" t="s">
        <v>334</v>
      </c>
      <c r="G43" s="19"/>
      <c r="H43" s="16">
        <f t="shared" si="4"/>
        <v>0</v>
      </c>
      <c r="I43" s="16" t="s">
        <v>335</v>
      </c>
      <c r="J43" s="49">
        <v>112.96968372342414</v>
      </c>
      <c r="K43" s="86">
        <f t="shared" si="5"/>
        <v>0</v>
      </c>
    </row>
    <row r="44" spans="1:11" ht="14.55" customHeight="1">
      <c r="A44" s="85"/>
      <c r="B44" s="18" t="s">
        <v>115</v>
      </c>
      <c r="C44" s="15" t="s">
        <v>348</v>
      </c>
      <c r="D44" s="19"/>
      <c r="E44" s="89" t="str" cm="1">
        <f t="array" ref="E44:E47">+'WSA-CC-Material'!R26:R29</f>
        <v>0</v>
      </c>
      <c r="F44" s="17" t="s">
        <v>334</v>
      </c>
      <c r="G44" s="19"/>
      <c r="H44" s="16">
        <f t="shared" si="4"/>
        <v>0</v>
      </c>
      <c r="I44" s="16" t="s">
        <v>335</v>
      </c>
      <c r="J44" s="49">
        <v>1402.76667</v>
      </c>
      <c r="K44" s="86">
        <f t="shared" si="5"/>
        <v>0</v>
      </c>
    </row>
    <row r="45" spans="1:11" ht="14.55" customHeight="1">
      <c r="A45" s="85"/>
      <c r="B45" s="18" t="s">
        <v>115</v>
      </c>
      <c r="C45" s="15" t="s">
        <v>349</v>
      </c>
      <c r="D45" s="19"/>
      <c r="E45" s="89" t="str">
        <v>0</v>
      </c>
      <c r="F45" s="17" t="s">
        <v>334</v>
      </c>
      <c r="G45" s="19"/>
      <c r="H45" s="16">
        <f t="shared" si="4"/>
        <v>0</v>
      </c>
      <c r="I45" s="16" t="s">
        <v>335</v>
      </c>
      <c r="J45" s="49">
        <v>823.18953999999997</v>
      </c>
      <c r="K45" s="86">
        <f t="shared" si="5"/>
        <v>0</v>
      </c>
    </row>
    <row r="46" spans="1:11" ht="14.55" customHeight="1">
      <c r="A46" s="85"/>
      <c r="B46" s="18" t="s">
        <v>115</v>
      </c>
      <c r="C46" s="15" t="s">
        <v>350</v>
      </c>
      <c r="D46" s="19"/>
      <c r="E46" s="89">
        <v>0</v>
      </c>
      <c r="F46" s="17" t="s">
        <v>334</v>
      </c>
      <c r="G46" s="19"/>
      <c r="H46" s="16">
        <f t="shared" si="4"/>
        <v>0</v>
      </c>
      <c r="I46" s="16" t="s">
        <v>335</v>
      </c>
      <c r="J46" s="49">
        <v>22310</v>
      </c>
      <c r="K46" s="86">
        <f t="shared" si="5"/>
        <v>0</v>
      </c>
    </row>
    <row r="47" spans="1:11" ht="14.55" customHeight="1">
      <c r="A47" s="85"/>
      <c r="B47" s="18" t="s">
        <v>115</v>
      </c>
      <c r="C47" s="15" t="s">
        <v>351</v>
      </c>
      <c r="D47" s="19"/>
      <c r="E47" s="89">
        <v>0</v>
      </c>
      <c r="F47" s="17" t="s">
        <v>334</v>
      </c>
      <c r="G47" s="19"/>
      <c r="H47" s="16">
        <f t="shared" si="4"/>
        <v>0</v>
      </c>
      <c r="I47" s="16" t="s">
        <v>335</v>
      </c>
      <c r="J47" s="49">
        <v>152.25</v>
      </c>
      <c r="K47" s="86">
        <f t="shared" si="5"/>
        <v>0</v>
      </c>
    </row>
    <row r="48" spans="1:11" ht="14.55" customHeight="1">
      <c r="A48" s="85"/>
      <c r="B48" s="18" t="s">
        <v>115</v>
      </c>
      <c r="C48" s="15" t="s">
        <v>352</v>
      </c>
      <c r="D48" s="19"/>
      <c r="E48" s="89">
        <f>+'WSA-CC-Material'!L22</f>
        <v>0</v>
      </c>
      <c r="F48" s="17" t="s">
        <v>334</v>
      </c>
      <c r="G48" s="19"/>
      <c r="H48" s="16">
        <f t="shared" si="4"/>
        <v>0</v>
      </c>
      <c r="I48" s="16" t="s">
        <v>335</v>
      </c>
      <c r="J48" s="53">
        <v>3701.4035899999999</v>
      </c>
      <c r="K48" s="86">
        <f t="shared" si="5"/>
        <v>0</v>
      </c>
    </row>
    <row r="49" spans="1:11" ht="14.55" customHeight="1">
      <c r="A49" s="85"/>
      <c r="B49" s="18" t="s">
        <v>115</v>
      </c>
      <c r="C49" s="15" t="s">
        <v>353</v>
      </c>
      <c r="D49" s="19"/>
      <c r="E49" s="89" t="str" cm="1">
        <f t="array" ref="E49:E50">+'WSA-CC-Material'!R30:R31</f>
        <v>0</v>
      </c>
      <c r="F49" s="17" t="s">
        <v>334</v>
      </c>
      <c r="G49" s="19"/>
      <c r="H49" s="16">
        <f t="shared" si="4"/>
        <v>0</v>
      </c>
      <c r="I49" s="16" t="s">
        <v>335</v>
      </c>
      <c r="J49" s="54">
        <v>3164.7804900000001</v>
      </c>
      <c r="K49" s="86">
        <f t="shared" si="5"/>
        <v>0</v>
      </c>
    </row>
    <row r="50" spans="1:11">
      <c r="A50" s="85"/>
      <c r="B50" s="18" t="s">
        <v>115</v>
      </c>
      <c r="C50" s="15" t="s">
        <v>354</v>
      </c>
      <c r="D50" s="19"/>
      <c r="E50" s="89" t="str">
        <v>0</v>
      </c>
      <c r="F50" s="17" t="s">
        <v>334</v>
      </c>
      <c r="G50" s="19"/>
      <c r="H50" s="16">
        <f t="shared" si="4"/>
        <v>0</v>
      </c>
      <c r="I50" s="16" t="s">
        <v>335</v>
      </c>
      <c r="J50" s="54">
        <v>1566.3863799999999</v>
      </c>
      <c r="K50" s="86">
        <f>J50*H50</f>
        <v>0</v>
      </c>
    </row>
    <row r="51" spans="1:11" ht="27.6">
      <c r="A51" s="85"/>
      <c r="B51" s="18" t="s">
        <v>115</v>
      </c>
      <c r="C51" s="15" t="s">
        <v>355</v>
      </c>
      <c r="D51" s="19"/>
      <c r="E51" s="89" t="str" cm="1">
        <f t="array" ref="E51:E52">+'WSA-CC-Material'!R32:R33</f>
        <v>0</v>
      </c>
      <c r="F51" s="17" t="s">
        <v>334</v>
      </c>
      <c r="G51" s="19"/>
      <c r="H51" s="16">
        <f t="shared" si="4"/>
        <v>0</v>
      </c>
      <c r="I51" s="16" t="s">
        <v>335</v>
      </c>
      <c r="J51" s="54">
        <v>2910.4652900000001</v>
      </c>
      <c r="K51" s="86">
        <f>J51*H51</f>
        <v>0</v>
      </c>
    </row>
    <row r="52" spans="1:11" ht="14.55" customHeight="1">
      <c r="A52" s="85"/>
      <c r="B52" s="18" t="s">
        <v>115</v>
      </c>
      <c r="C52" s="15" t="s">
        <v>356</v>
      </c>
      <c r="D52" s="19"/>
      <c r="E52" s="89" t="str">
        <v>0</v>
      </c>
      <c r="F52" s="17" t="s">
        <v>334</v>
      </c>
      <c r="G52" s="19"/>
      <c r="H52" s="16">
        <f t="shared" si="4"/>
        <v>0</v>
      </c>
      <c r="I52" s="16" t="s">
        <v>335</v>
      </c>
      <c r="J52" s="54">
        <v>1094.58257</v>
      </c>
      <c r="K52" s="86">
        <f>H52*J52</f>
        <v>0</v>
      </c>
    </row>
    <row r="53" spans="1:11" ht="27.6">
      <c r="A53" s="98"/>
      <c r="B53" s="99" t="s">
        <v>115</v>
      </c>
      <c r="C53" s="100" t="s">
        <v>357</v>
      </c>
      <c r="D53" s="19"/>
      <c r="E53" s="101"/>
      <c r="F53" s="102" t="s">
        <v>334</v>
      </c>
      <c r="G53" s="19"/>
      <c r="H53" s="103">
        <f t="shared" si="4"/>
        <v>0</v>
      </c>
      <c r="I53" s="103" t="s">
        <v>335</v>
      </c>
      <c r="J53" s="104">
        <v>3263.9220153902234</v>
      </c>
      <c r="K53" s="97">
        <f t="shared" ref="K53:K66" si="6">H53*J53</f>
        <v>0</v>
      </c>
    </row>
    <row r="54" spans="1:11" ht="14.55" customHeight="1">
      <c r="A54" s="98"/>
      <c r="B54" s="99" t="s">
        <v>115</v>
      </c>
      <c r="C54" s="100" t="s">
        <v>358</v>
      </c>
      <c r="D54" s="19"/>
      <c r="E54" s="101"/>
      <c r="F54" s="102" t="s">
        <v>334</v>
      </c>
      <c r="G54" s="19"/>
      <c r="H54" s="103">
        <f t="shared" si="4"/>
        <v>0</v>
      </c>
      <c r="I54" s="103" t="s">
        <v>335</v>
      </c>
      <c r="J54" s="104">
        <v>2744.0924767186184</v>
      </c>
      <c r="K54" s="97">
        <f t="shared" si="6"/>
        <v>0</v>
      </c>
    </row>
    <row r="55" spans="1:11" ht="27.6">
      <c r="A55" s="90"/>
      <c r="B55" s="91" t="s">
        <v>115</v>
      </c>
      <c r="C55" s="92" t="s">
        <v>359</v>
      </c>
      <c r="D55" s="19"/>
      <c r="E55" s="94"/>
      <c r="F55" s="93" t="s">
        <v>334</v>
      </c>
      <c r="G55" s="19"/>
      <c r="H55" s="95">
        <f t="shared" si="4"/>
        <v>0</v>
      </c>
      <c r="I55" s="95" t="s">
        <v>335</v>
      </c>
      <c r="J55" s="96">
        <v>3255.9298007219054</v>
      </c>
      <c r="K55" s="97">
        <f t="shared" si="6"/>
        <v>0</v>
      </c>
    </row>
    <row r="56" spans="1:11" ht="27.6">
      <c r="A56" s="90"/>
      <c r="B56" s="91" t="s">
        <v>115</v>
      </c>
      <c r="C56" s="92" t="s">
        <v>360</v>
      </c>
      <c r="D56" s="19"/>
      <c r="E56" s="94"/>
      <c r="F56" s="93" t="s">
        <v>334</v>
      </c>
      <c r="G56" s="19"/>
      <c r="H56" s="95">
        <f t="shared" si="4"/>
        <v>0</v>
      </c>
      <c r="I56" s="95" t="s">
        <v>335</v>
      </c>
      <c r="J56" s="96">
        <v>2346.689068808902</v>
      </c>
      <c r="K56" s="97">
        <f t="shared" si="6"/>
        <v>0</v>
      </c>
    </row>
    <row r="57" spans="1:11" ht="27.6">
      <c r="A57" s="90"/>
      <c r="B57" s="91" t="s">
        <v>115</v>
      </c>
      <c r="C57" s="92" t="s">
        <v>361</v>
      </c>
      <c r="D57" s="19"/>
      <c r="E57" s="94"/>
      <c r="F57" s="93" t="s">
        <v>334</v>
      </c>
      <c r="G57" s="19"/>
      <c r="H57" s="95">
        <f t="shared" si="4"/>
        <v>0</v>
      </c>
      <c r="I57" s="95" t="s">
        <v>335</v>
      </c>
      <c r="J57" s="96">
        <v>2586.7273085100669</v>
      </c>
      <c r="K57" s="97">
        <f t="shared" si="6"/>
        <v>0</v>
      </c>
    </row>
    <row r="58" spans="1:11" ht="27.6">
      <c r="A58" s="90"/>
      <c r="B58" s="91" t="s">
        <v>115</v>
      </c>
      <c r="C58" s="92" t="s">
        <v>362</v>
      </c>
      <c r="D58" s="19"/>
      <c r="E58" s="94"/>
      <c r="F58" s="93" t="s">
        <v>334</v>
      </c>
      <c r="G58" s="19"/>
      <c r="H58" s="95">
        <f t="shared" si="4"/>
        <v>0</v>
      </c>
      <c r="I58" s="95" t="s">
        <v>335</v>
      </c>
      <c r="J58" s="96">
        <v>1793.2954051855249</v>
      </c>
      <c r="K58" s="97">
        <f t="shared" si="6"/>
        <v>0</v>
      </c>
    </row>
    <row r="59" spans="1:11" ht="27.6">
      <c r="A59" s="90"/>
      <c r="B59" s="91" t="s">
        <v>115</v>
      </c>
      <c r="C59" s="92" t="s">
        <v>363</v>
      </c>
      <c r="D59" s="19"/>
      <c r="E59" s="94"/>
      <c r="F59" s="93" t="s">
        <v>334</v>
      </c>
      <c r="G59" s="19"/>
      <c r="H59" s="95">
        <f t="shared" si="4"/>
        <v>0</v>
      </c>
      <c r="I59" s="95" t="s">
        <v>335</v>
      </c>
      <c r="J59" s="96">
        <v>4018.4834060710423</v>
      </c>
      <c r="K59" s="97">
        <f t="shared" si="6"/>
        <v>0</v>
      </c>
    </row>
    <row r="60" spans="1:11" ht="27.6">
      <c r="A60" s="90"/>
      <c r="B60" s="91" t="s">
        <v>115</v>
      </c>
      <c r="C60" s="92" t="s">
        <v>364</v>
      </c>
      <c r="D60" s="19"/>
      <c r="E60" s="94"/>
      <c r="F60" s="93" t="s">
        <v>334</v>
      </c>
      <c r="G60" s="19"/>
      <c r="H60" s="95">
        <f t="shared" si="4"/>
        <v>0</v>
      </c>
      <c r="I60" s="95" t="s">
        <v>335</v>
      </c>
      <c r="J60" s="96">
        <v>3121.3442943976229</v>
      </c>
      <c r="K60" s="97">
        <f t="shared" si="6"/>
        <v>0</v>
      </c>
    </row>
    <row r="61" spans="1:11" ht="27.6">
      <c r="A61" s="90"/>
      <c r="B61" s="91" t="s">
        <v>115</v>
      </c>
      <c r="C61" s="92" t="s">
        <v>365</v>
      </c>
      <c r="D61" s="19"/>
      <c r="E61" s="94"/>
      <c r="F61" s="93" t="s">
        <v>334</v>
      </c>
      <c r="G61" s="19"/>
      <c r="H61" s="95">
        <f t="shared" si="4"/>
        <v>0</v>
      </c>
      <c r="I61" s="95" t="s">
        <v>335</v>
      </c>
      <c r="J61" s="96">
        <v>3090.8179008445618</v>
      </c>
      <c r="K61" s="97">
        <f t="shared" si="6"/>
        <v>0</v>
      </c>
    </row>
    <row r="62" spans="1:11" ht="27.6">
      <c r="A62" s="90"/>
      <c r="B62" s="91" t="s">
        <v>115</v>
      </c>
      <c r="C62" s="92" t="s">
        <v>366</v>
      </c>
      <c r="D62" s="19"/>
      <c r="E62" s="94"/>
      <c r="F62" s="93" t="s">
        <v>334</v>
      </c>
      <c r="G62" s="19"/>
      <c r="H62" s="95">
        <f t="shared" si="4"/>
        <v>0</v>
      </c>
      <c r="I62" s="95" t="s">
        <v>335</v>
      </c>
      <c r="J62" s="96">
        <v>2537.3859975200198</v>
      </c>
      <c r="K62" s="97">
        <f t="shared" si="6"/>
        <v>0</v>
      </c>
    </row>
    <row r="63" spans="1:11" ht="27.6">
      <c r="A63" s="90"/>
      <c r="B63" s="91" t="s">
        <v>115</v>
      </c>
      <c r="C63" s="92" t="s">
        <v>367</v>
      </c>
      <c r="D63" s="19"/>
      <c r="E63" s="94"/>
      <c r="F63" s="93" t="s">
        <v>334</v>
      </c>
      <c r="G63" s="19"/>
      <c r="H63" s="95">
        <f t="shared" si="4"/>
        <v>0</v>
      </c>
      <c r="I63" s="95" t="s">
        <v>335</v>
      </c>
      <c r="J63" s="96">
        <v>3764.0398085100669</v>
      </c>
      <c r="K63" s="97">
        <f t="shared" si="6"/>
        <v>0</v>
      </c>
    </row>
    <row r="64" spans="1:11" ht="27.6">
      <c r="A64" s="90"/>
      <c r="B64" s="91" t="s">
        <v>115</v>
      </c>
      <c r="C64" s="92" t="s">
        <v>368</v>
      </c>
      <c r="D64" s="19"/>
      <c r="E64" s="94"/>
      <c r="F64" s="93" t="s">
        <v>334</v>
      </c>
      <c r="G64" s="19"/>
      <c r="H64" s="95">
        <f t="shared" si="4"/>
        <v>0</v>
      </c>
      <c r="I64" s="95" t="s">
        <v>335</v>
      </c>
      <c r="J64" s="96">
        <v>3187.0819919716205</v>
      </c>
      <c r="K64" s="97">
        <f t="shared" si="6"/>
        <v>0</v>
      </c>
    </row>
    <row r="65" spans="1:11" ht="27.6">
      <c r="A65" s="90"/>
      <c r="B65" s="91" t="s">
        <v>115</v>
      </c>
      <c r="C65" s="92" t="s">
        <v>369</v>
      </c>
      <c r="D65" s="19"/>
      <c r="E65" s="94"/>
      <c r="F65" s="93" t="s">
        <v>334</v>
      </c>
      <c r="G65" s="19"/>
      <c r="H65" s="95">
        <f t="shared" si="4"/>
        <v>0</v>
      </c>
      <c r="I65" s="95" t="s">
        <v>335</v>
      </c>
      <c r="J65" s="96">
        <v>3399.175069704097</v>
      </c>
      <c r="K65" s="97">
        <f t="shared" si="6"/>
        <v>0</v>
      </c>
    </row>
    <row r="66" spans="1:11" ht="27.6">
      <c r="A66" s="90"/>
      <c r="B66" s="91" t="s">
        <v>115</v>
      </c>
      <c r="C66" s="92" t="s">
        <v>370</v>
      </c>
      <c r="D66" s="19"/>
      <c r="E66" s="94"/>
      <c r="F66" s="93" t="s">
        <v>334</v>
      </c>
      <c r="G66" s="19"/>
      <c r="H66" s="95">
        <f t="shared" si="4"/>
        <v>0</v>
      </c>
      <c r="I66" s="95" t="s">
        <v>335</v>
      </c>
      <c r="J66" s="96">
        <v>2485.7431663795546</v>
      </c>
      <c r="K66" s="97">
        <f t="shared" si="6"/>
        <v>0</v>
      </c>
    </row>
    <row r="67" spans="1:11" ht="27.6">
      <c r="A67" s="85"/>
      <c r="B67" s="18" t="s">
        <v>115</v>
      </c>
      <c r="C67" s="15" t="s">
        <v>371</v>
      </c>
      <c r="D67" s="19"/>
      <c r="E67" s="89" t="str" cm="1">
        <f t="array" ref="E67:E68">+'WSA-CC-Material'!R34:R35</f>
        <v>0</v>
      </c>
      <c r="F67" s="17" t="s">
        <v>334</v>
      </c>
      <c r="G67" s="19"/>
      <c r="H67" s="16">
        <f t="shared" si="4"/>
        <v>0</v>
      </c>
      <c r="I67" s="16" t="s">
        <v>335</v>
      </c>
      <c r="J67" s="55" cm="1">
        <f t="array" ref="J67:J68">+'GHG conversion factor'!D29:D30</f>
        <v>1193.96586</v>
      </c>
      <c r="K67" s="86">
        <f t="shared" si="5"/>
        <v>0</v>
      </c>
    </row>
    <row r="68" spans="1:11">
      <c r="A68" s="85"/>
      <c r="B68" s="18" t="s">
        <v>115</v>
      </c>
      <c r="C68" s="15" t="s">
        <v>372</v>
      </c>
      <c r="D68" s="19"/>
      <c r="E68" s="89" t="str">
        <v>0</v>
      </c>
      <c r="F68" s="17" t="s">
        <v>334</v>
      </c>
      <c r="G68" s="19"/>
      <c r="H68" s="16">
        <f t="shared" si="4"/>
        <v>0</v>
      </c>
      <c r="I68" s="16" t="s">
        <v>335</v>
      </c>
      <c r="J68" s="55">
        <v>1092.3548599999999</v>
      </c>
      <c r="K68" s="86">
        <f t="shared" si="5"/>
        <v>0</v>
      </c>
    </row>
    <row r="69" spans="1:11" ht="27.6">
      <c r="A69" s="98"/>
      <c r="B69" s="99" t="s">
        <v>115</v>
      </c>
      <c r="C69" s="100" t="s">
        <v>373</v>
      </c>
      <c r="D69" s="19"/>
      <c r="E69" s="101"/>
      <c r="F69" s="102" t="s">
        <v>334</v>
      </c>
      <c r="G69" s="19"/>
      <c r="H69" s="103">
        <f t="shared" si="4"/>
        <v>0</v>
      </c>
      <c r="I69" s="103" t="s">
        <v>335</v>
      </c>
      <c r="J69" s="106">
        <v>868.06994451458229</v>
      </c>
      <c r="K69" s="105">
        <f t="shared" si="5"/>
        <v>0</v>
      </c>
    </row>
    <row r="70" spans="1:11" ht="27.6">
      <c r="A70" s="98"/>
      <c r="B70" s="99" t="s">
        <v>115</v>
      </c>
      <c r="C70" s="100" t="s">
        <v>374</v>
      </c>
      <c r="D70" s="19"/>
      <c r="E70" s="101"/>
      <c r="F70" s="102" t="s">
        <v>334</v>
      </c>
      <c r="G70" s="19"/>
      <c r="H70" s="103">
        <f t="shared" si="4"/>
        <v>0</v>
      </c>
      <c r="I70" s="103" t="s">
        <v>335</v>
      </c>
      <c r="J70" s="106">
        <v>718.56937316041797</v>
      </c>
      <c r="K70" s="105">
        <f t="shared" si="5"/>
        <v>0</v>
      </c>
    </row>
    <row r="71" spans="1:11">
      <c r="A71" s="85"/>
      <c r="B71" s="18" t="s">
        <v>115</v>
      </c>
      <c r="C71" s="15" t="s">
        <v>375</v>
      </c>
      <c r="D71" s="19"/>
      <c r="E71" s="89" t="e" cm="1" vm="1">
        <f t="array" aca="1" ref="E71" ca="1">+'WSA-CC-Material'!R36:R38</f>
        <v>#VALUE!</v>
      </c>
      <c r="F71" s="17" t="s">
        <v>334</v>
      </c>
      <c r="G71" s="19"/>
      <c r="H71" s="16" t="e" vm="2">
        <f t="shared" ca="1" si="4"/>
        <v>#VALUE!</v>
      </c>
      <c r="I71" s="16" t="s">
        <v>335</v>
      </c>
      <c r="J71" s="55" cm="1">
        <f t="array" ref="J71:J72">+'GHG conversion factor'!D31:D32</f>
        <v>1339.31834</v>
      </c>
      <c r="K71" s="86" t="e" vm="2">
        <f t="shared" ca="1" si="5"/>
        <v>#VALUE!</v>
      </c>
    </row>
    <row r="72" spans="1:11">
      <c r="A72" s="85"/>
      <c r="B72" s="18" t="s">
        <v>115</v>
      </c>
      <c r="C72" s="15" t="s">
        <v>376</v>
      </c>
      <c r="D72" s="19"/>
      <c r="E72" s="89"/>
      <c r="F72" s="17" t="s">
        <v>334</v>
      </c>
      <c r="G72" s="19"/>
      <c r="H72" s="16">
        <f t="shared" si="4"/>
        <v>0</v>
      </c>
      <c r="I72" s="16" t="s">
        <v>335</v>
      </c>
      <c r="J72" s="55">
        <v>1044.31834</v>
      </c>
      <c r="K72" s="86">
        <f t="shared" si="5"/>
        <v>0</v>
      </c>
    </row>
    <row r="73" spans="1:11" ht="15" thickBot="1">
      <c r="A73" s="491" t="s">
        <v>326</v>
      </c>
      <c r="B73" s="492"/>
      <c r="C73" s="492"/>
      <c r="D73" s="492"/>
      <c r="E73" s="492"/>
      <c r="F73" s="492"/>
      <c r="G73" s="492"/>
      <c r="H73" s="492"/>
      <c r="I73" s="492"/>
      <c r="J73" s="492"/>
      <c r="K73" s="84" t="e" vm="2">
        <f ca="1">SUM(K30:K72)</f>
        <v>#VALUE!</v>
      </c>
    </row>
    <row r="74" spans="1:11">
      <c r="A74" s="266" t="s">
        <v>377</v>
      </c>
      <c r="B74" s="41"/>
      <c r="C74" s="42"/>
      <c r="D74" s="40"/>
      <c r="E74" s="40"/>
      <c r="F74" s="40"/>
      <c r="G74" s="40"/>
      <c r="H74" s="43"/>
      <c r="I74" s="43"/>
      <c r="J74" s="34"/>
      <c r="K74" s="44"/>
    </row>
    <row r="75" spans="1:11">
      <c r="A75" s="40"/>
      <c r="B75" s="41"/>
      <c r="C75" s="42"/>
      <c r="D75" s="40"/>
      <c r="E75" s="40"/>
      <c r="F75" s="40"/>
      <c r="G75" s="40"/>
      <c r="H75" s="43"/>
      <c r="I75" s="43"/>
      <c r="J75" s="34"/>
      <c r="K75" s="44"/>
    </row>
    <row r="76" spans="1:11" ht="57.6">
      <c r="A76" s="4" t="s">
        <v>109</v>
      </c>
      <c r="B76" s="4" t="s">
        <v>314</v>
      </c>
      <c r="C76" s="4" t="s">
        <v>332</v>
      </c>
      <c r="D76" s="2" t="s">
        <v>316</v>
      </c>
      <c r="E76" s="4" t="s">
        <v>378</v>
      </c>
      <c r="F76" s="4" t="s">
        <v>379</v>
      </c>
      <c r="G76" s="2"/>
      <c r="H76" s="4" t="s">
        <v>320</v>
      </c>
      <c r="I76" s="4" t="s">
        <v>380</v>
      </c>
      <c r="J76" s="4" t="s">
        <v>322</v>
      </c>
      <c r="K76" s="4" t="s">
        <v>50</v>
      </c>
    </row>
    <row r="77" spans="1:11">
      <c r="A77" s="17"/>
      <c r="B77" s="36" t="s">
        <v>183</v>
      </c>
      <c r="C77" s="37" t="s">
        <v>381</v>
      </c>
      <c r="D77" s="38"/>
      <c r="E77" s="180">
        <f>+'WSA-CC-Waste'!L13</f>
        <v>0</v>
      </c>
      <c r="F77" s="35" t="s">
        <v>329</v>
      </c>
      <c r="G77" s="38"/>
      <c r="H77" s="39">
        <f t="shared" si="4"/>
        <v>0</v>
      </c>
      <c r="I77" s="39" t="s">
        <v>330</v>
      </c>
      <c r="J77" s="46" cm="1">
        <f t="array" ref="J77:J81">+'GHG conversion factor'!D35:D39</f>
        <v>0.18573999999999999</v>
      </c>
      <c r="K77" s="45">
        <f t="shared" ref="K77:K97" si="7">J77*H77</f>
        <v>0</v>
      </c>
    </row>
    <row r="78" spans="1:11">
      <c r="A78" s="17"/>
      <c r="B78" s="18" t="s">
        <v>183</v>
      </c>
      <c r="C78" s="15" t="s">
        <v>382</v>
      </c>
      <c r="D78" s="19"/>
      <c r="E78" s="181" t="str" cm="1">
        <f t="array" ref="E78:E79">+'WSA-CC-Waste'!R13:R14</f>
        <v>0</v>
      </c>
      <c r="F78" s="13" t="s">
        <v>334</v>
      </c>
      <c r="G78" s="19"/>
      <c r="H78" s="14">
        <f t="shared" si="4"/>
        <v>0</v>
      </c>
      <c r="I78" s="14" t="s">
        <v>335</v>
      </c>
      <c r="J78" s="47">
        <v>0.98485</v>
      </c>
      <c r="K78" s="45">
        <f t="shared" si="7"/>
        <v>0</v>
      </c>
    </row>
    <row r="79" spans="1:11">
      <c r="A79" s="17"/>
      <c r="B79" s="18" t="s">
        <v>183</v>
      </c>
      <c r="C79" s="15" t="s">
        <v>383</v>
      </c>
      <c r="D79" s="19"/>
      <c r="E79" s="181" t="str">
        <v>0</v>
      </c>
      <c r="F79" s="13" t="s">
        <v>334</v>
      </c>
      <c r="G79" s="19"/>
      <c r="H79" s="14">
        <f t="shared" si="4"/>
        <v>0</v>
      </c>
      <c r="I79" s="14" t="s">
        <v>335</v>
      </c>
      <c r="J79" s="32">
        <v>19.51726</v>
      </c>
      <c r="K79" s="45">
        <f t="shared" si="7"/>
        <v>0</v>
      </c>
    </row>
    <row r="80" spans="1:11">
      <c r="A80" s="17"/>
      <c r="B80" s="18" t="s">
        <v>183</v>
      </c>
      <c r="C80" s="15" t="s">
        <v>384</v>
      </c>
      <c r="D80" s="19"/>
      <c r="E80" s="181" t="str" cm="1">
        <f t="array" ref="E80:E81">+'WSA-CC-Waste'!R15:R16</f>
        <v>0</v>
      </c>
      <c r="F80" s="13" t="s">
        <v>334</v>
      </c>
      <c r="G80" s="19"/>
      <c r="H80" s="14">
        <f t="shared" si="4"/>
        <v>0</v>
      </c>
      <c r="I80" s="14" t="s">
        <v>335</v>
      </c>
      <c r="J80" s="48">
        <v>6.4106100000000001</v>
      </c>
      <c r="K80" s="45">
        <f t="shared" si="7"/>
        <v>0</v>
      </c>
    </row>
    <row r="81" spans="1:11">
      <c r="A81" s="17"/>
      <c r="B81" s="18" t="s">
        <v>183</v>
      </c>
      <c r="C81" s="15" t="s">
        <v>385</v>
      </c>
      <c r="D81" s="19"/>
      <c r="E81" s="181" t="str">
        <v>0</v>
      </c>
      <c r="F81" s="13" t="s">
        <v>334</v>
      </c>
      <c r="G81" s="19"/>
      <c r="H81" s="14">
        <f t="shared" si="4"/>
        <v>0</v>
      </c>
      <c r="I81" s="14" t="s">
        <v>335</v>
      </c>
      <c r="J81" s="48">
        <v>71.95</v>
      </c>
      <c r="K81" s="45">
        <f t="shared" si="7"/>
        <v>0</v>
      </c>
    </row>
    <row r="82" spans="1:11">
      <c r="A82" s="17"/>
      <c r="B82" s="18" t="s">
        <v>183</v>
      </c>
      <c r="C82" s="15" t="s">
        <v>386</v>
      </c>
      <c r="D82" s="19"/>
      <c r="E82" s="184">
        <f>+'WSA-CC-Waste'!L16</f>
        <v>0</v>
      </c>
      <c r="F82" s="13" t="s">
        <v>334</v>
      </c>
      <c r="G82" s="19"/>
      <c r="H82" s="14">
        <f t="shared" si="4"/>
        <v>0</v>
      </c>
      <c r="I82" s="14" t="s">
        <v>335</v>
      </c>
      <c r="J82" s="56">
        <f>+'GHG conversion factor'!D40</f>
        <v>6.4106100000000001</v>
      </c>
      <c r="K82" s="45">
        <f t="shared" si="7"/>
        <v>0</v>
      </c>
    </row>
    <row r="83" spans="1:11">
      <c r="A83" s="17"/>
      <c r="B83" s="18" t="s">
        <v>183</v>
      </c>
      <c r="C83" s="15" t="s">
        <v>387</v>
      </c>
      <c r="D83" s="19"/>
      <c r="E83" s="181" t="str" cm="1">
        <f t="array" ref="E83:E86">+'WSA-CC-Waste'!R17:R20</f>
        <v>0</v>
      </c>
      <c r="F83" s="13" t="s">
        <v>334</v>
      </c>
      <c r="G83" s="19"/>
      <c r="H83" s="14">
        <f t="shared" si="4"/>
        <v>0</v>
      </c>
      <c r="I83" s="14" t="s">
        <v>335</v>
      </c>
      <c r="J83" s="47" cm="1">
        <f t="array" ref="J83:J86">+'GHG conversion factor'!D41:D44</f>
        <v>6.4106100000000001</v>
      </c>
      <c r="K83" s="45">
        <f t="shared" si="7"/>
        <v>0</v>
      </c>
    </row>
    <row r="84" spans="1:11">
      <c r="A84" s="17"/>
      <c r="B84" s="18" t="s">
        <v>183</v>
      </c>
      <c r="C84" s="15" t="s">
        <v>388</v>
      </c>
      <c r="D84" s="19"/>
      <c r="E84" s="181" t="str">
        <v>0</v>
      </c>
      <c r="F84" s="13" t="s">
        <v>334</v>
      </c>
      <c r="G84" s="19"/>
      <c r="H84" s="14">
        <f t="shared" si="4"/>
        <v>0</v>
      </c>
      <c r="I84" s="14" t="s">
        <v>335</v>
      </c>
      <c r="J84" s="47">
        <v>6.4106100000000001</v>
      </c>
      <c r="K84" s="45">
        <f t="shared" si="7"/>
        <v>0</v>
      </c>
    </row>
    <row r="85" spans="1:11">
      <c r="A85" s="17"/>
      <c r="B85" s="18" t="s">
        <v>183</v>
      </c>
      <c r="C85" s="15" t="s">
        <v>389</v>
      </c>
      <c r="D85" s="19"/>
      <c r="E85" s="181" t="str">
        <v>0</v>
      </c>
      <c r="F85" s="13" t="s">
        <v>334</v>
      </c>
      <c r="G85" s="19"/>
      <c r="H85" s="14">
        <f t="shared" si="4"/>
        <v>0</v>
      </c>
      <c r="I85" s="14" t="s">
        <v>335</v>
      </c>
      <c r="J85" s="47">
        <v>8.8838600000000003</v>
      </c>
      <c r="K85" s="45">
        <f t="shared" si="7"/>
        <v>0</v>
      </c>
    </row>
    <row r="86" spans="1:11">
      <c r="A86" s="17"/>
      <c r="B86" s="18" t="s">
        <v>183</v>
      </c>
      <c r="C86" s="15" t="s">
        <v>390</v>
      </c>
      <c r="D86" s="19"/>
      <c r="E86" s="181" t="str">
        <v>0</v>
      </c>
      <c r="F86" s="13" t="s">
        <v>334</v>
      </c>
      <c r="G86" s="19"/>
      <c r="H86" s="14">
        <f t="shared" si="4"/>
        <v>0</v>
      </c>
      <c r="I86" s="14" t="s">
        <v>335</v>
      </c>
      <c r="J86" s="47">
        <v>925.24423000000002</v>
      </c>
      <c r="K86" s="45">
        <f t="shared" si="7"/>
        <v>0</v>
      </c>
    </row>
    <row r="87" spans="1:11">
      <c r="A87" s="17"/>
      <c r="B87" s="18" t="s">
        <v>183</v>
      </c>
      <c r="C87" s="15" t="s">
        <v>391</v>
      </c>
      <c r="D87" s="19"/>
      <c r="E87" s="181" t="str" cm="1">
        <f t="array" ref="E87:E90">+'WSA-CC-Waste'!R21:R24</f>
        <v>0</v>
      </c>
      <c r="F87" s="13" t="s">
        <v>334</v>
      </c>
      <c r="G87" s="19"/>
      <c r="H87" s="14">
        <f t="shared" si="4"/>
        <v>0</v>
      </c>
      <c r="I87" s="14" t="s">
        <v>335</v>
      </c>
      <c r="J87" s="47" cm="1">
        <f t="array" ref="J87:J90">+'GHG conversion factor'!D45:D48</f>
        <v>6.4106100000000001</v>
      </c>
      <c r="K87" s="45">
        <f t="shared" si="7"/>
        <v>0</v>
      </c>
    </row>
    <row r="88" spans="1:11">
      <c r="A88" s="17"/>
      <c r="B88" s="18" t="s">
        <v>183</v>
      </c>
      <c r="C88" s="15" t="s">
        <v>392</v>
      </c>
      <c r="D88" s="19"/>
      <c r="E88" s="181" t="str">
        <v>0</v>
      </c>
      <c r="F88" s="13" t="s">
        <v>334</v>
      </c>
      <c r="G88" s="19"/>
      <c r="H88" s="14">
        <f t="shared" si="4"/>
        <v>0</v>
      </c>
      <c r="I88" s="14" t="s">
        <v>335</v>
      </c>
      <c r="J88" s="47">
        <v>6.4106100000000001</v>
      </c>
      <c r="K88" s="45">
        <f t="shared" si="7"/>
        <v>0</v>
      </c>
    </row>
    <row r="89" spans="1:11">
      <c r="A89" s="17"/>
      <c r="B89" s="18" t="s">
        <v>183</v>
      </c>
      <c r="C89" s="15" t="s">
        <v>393</v>
      </c>
      <c r="D89" s="19"/>
      <c r="E89" s="181" t="str">
        <v>0</v>
      </c>
      <c r="F89" s="13" t="s">
        <v>334</v>
      </c>
      <c r="G89" s="19"/>
      <c r="H89" s="14">
        <f t="shared" si="4"/>
        <v>0</v>
      </c>
      <c r="I89" s="14" t="s">
        <v>335</v>
      </c>
      <c r="J89" s="47">
        <v>8.8838600000000003</v>
      </c>
      <c r="K89" s="45">
        <f t="shared" si="7"/>
        <v>0</v>
      </c>
    </row>
    <row r="90" spans="1:11">
      <c r="A90" s="17"/>
      <c r="B90" s="18" t="s">
        <v>183</v>
      </c>
      <c r="C90" s="15" t="s">
        <v>394</v>
      </c>
      <c r="D90" s="19"/>
      <c r="E90" s="181" t="str">
        <v>0</v>
      </c>
      <c r="F90" s="13" t="s">
        <v>334</v>
      </c>
      <c r="G90" s="19"/>
      <c r="H90" s="14">
        <f t="shared" si="4"/>
        <v>0</v>
      </c>
      <c r="I90" s="14" t="s">
        <v>335</v>
      </c>
      <c r="J90" s="47">
        <v>1164.3901499999999</v>
      </c>
      <c r="K90" s="45">
        <f t="shared" si="7"/>
        <v>0</v>
      </c>
    </row>
    <row r="91" spans="1:11">
      <c r="A91" s="17"/>
      <c r="B91" s="18" t="s">
        <v>183</v>
      </c>
      <c r="C91" s="15" t="s">
        <v>395</v>
      </c>
      <c r="D91" s="19"/>
      <c r="E91" s="181" t="str" cm="1">
        <f t="array" ref="E91:E94">+'WSA-CC-Waste'!R25:R28</f>
        <v>0</v>
      </c>
      <c r="F91" s="13" t="s">
        <v>334</v>
      </c>
      <c r="G91" s="19"/>
      <c r="H91" s="14">
        <f t="shared" si="4"/>
        <v>0</v>
      </c>
      <c r="I91" s="14" t="s">
        <v>335</v>
      </c>
      <c r="J91" s="47" cm="1">
        <f t="array" ref="J91:J94">+'GHG conversion factor'!D49:D52</f>
        <v>6.4106100000000001</v>
      </c>
      <c r="K91" s="45">
        <f t="shared" si="7"/>
        <v>0</v>
      </c>
    </row>
    <row r="92" spans="1:11">
      <c r="A92" s="17"/>
      <c r="B92" s="18" t="s">
        <v>183</v>
      </c>
      <c r="C92" s="15" t="s">
        <v>396</v>
      </c>
      <c r="D92" s="19"/>
      <c r="E92" s="181" t="str">
        <v>0</v>
      </c>
      <c r="F92" s="13" t="s">
        <v>334</v>
      </c>
      <c r="G92" s="19"/>
      <c r="H92" s="14">
        <f t="shared" si="4"/>
        <v>0</v>
      </c>
      <c r="I92" s="14" t="s">
        <v>335</v>
      </c>
      <c r="J92" s="47">
        <v>6.4106100000000001</v>
      </c>
      <c r="K92" s="45">
        <f t="shared" si="7"/>
        <v>0</v>
      </c>
    </row>
    <row r="93" spans="1:11">
      <c r="A93" s="17"/>
      <c r="B93" s="18" t="s">
        <v>183</v>
      </c>
      <c r="C93" s="15" t="s">
        <v>397</v>
      </c>
      <c r="D93" s="19"/>
      <c r="E93" s="181" t="str">
        <v>0</v>
      </c>
      <c r="F93" s="13" t="s">
        <v>334</v>
      </c>
      <c r="G93" s="19"/>
      <c r="H93" s="14">
        <f t="shared" si="4"/>
        <v>0</v>
      </c>
      <c r="I93" s="14" t="s">
        <v>335</v>
      </c>
      <c r="J93" s="47">
        <v>6.4106100000000001</v>
      </c>
      <c r="K93" s="45">
        <f t="shared" si="7"/>
        <v>0</v>
      </c>
    </row>
    <row r="94" spans="1:11">
      <c r="A94" s="17"/>
      <c r="B94" s="18" t="s">
        <v>183</v>
      </c>
      <c r="C94" s="15" t="s">
        <v>398</v>
      </c>
      <c r="D94" s="19"/>
      <c r="E94" s="181" t="str">
        <v>0</v>
      </c>
      <c r="F94" s="13" t="s">
        <v>334</v>
      </c>
      <c r="G94" s="19"/>
      <c r="H94" s="14">
        <f t="shared" si="4"/>
        <v>0</v>
      </c>
      <c r="I94" s="14" t="s">
        <v>335</v>
      </c>
      <c r="J94" s="47">
        <v>8.8838600000000003</v>
      </c>
      <c r="K94" s="45">
        <f t="shared" si="7"/>
        <v>0</v>
      </c>
    </row>
    <row r="95" spans="1:11">
      <c r="A95" s="17"/>
      <c r="B95" s="18" t="s">
        <v>183</v>
      </c>
      <c r="C95" s="15" t="s">
        <v>399</v>
      </c>
      <c r="D95" s="19"/>
      <c r="E95" s="181" t="str" cm="1">
        <f t="array" ref="E95:E97">+'WSA-CC-Waste'!R29:R31</f>
        <v>0</v>
      </c>
      <c r="F95" s="13" t="s">
        <v>334</v>
      </c>
      <c r="G95" s="19"/>
      <c r="H95" s="14">
        <f t="shared" si="4"/>
        <v>0</v>
      </c>
      <c r="I95" s="14" t="s">
        <v>335</v>
      </c>
      <c r="J95" s="47" cm="1">
        <f t="array" ref="J95:J97">+'GHG conversion factor'!D53:D55</f>
        <v>6.4106100000000001</v>
      </c>
      <c r="K95" s="45">
        <f t="shared" si="7"/>
        <v>0</v>
      </c>
    </row>
    <row r="96" spans="1:11">
      <c r="A96" s="17"/>
      <c r="B96" s="18" t="s">
        <v>183</v>
      </c>
      <c r="C96" s="15" t="s">
        <v>400</v>
      </c>
      <c r="D96" s="19"/>
      <c r="E96" s="181" t="str">
        <v>0</v>
      </c>
      <c r="F96" s="13" t="s">
        <v>334</v>
      </c>
      <c r="G96" s="19"/>
      <c r="H96" s="14">
        <f t="shared" si="4"/>
        <v>0</v>
      </c>
      <c r="I96" s="14" t="s">
        <v>335</v>
      </c>
      <c r="J96" s="47">
        <v>6.4106100000000001</v>
      </c>
      <c r="K96" s="45">
        <f t="shared" si="7"/>
        <v>0</v>
      </c>
    </row>
    <row r="97" spans="1:11">
      <c r="A97" s="17"/>
      <c r="B97" s="18" t="s">
        <v>183</v>
      </c>
      <c r="C97" s="15" t="s">
        <v>401</v>
      </c>
      <c r="D97" s="19"/>
      <c r="E97" s="181" t="str">
        <v>0</v>
      </c>
      <c r="F97" s="13" t="s">
        <v>334</v>
      </c>
      <c r="G97" s="19"/>
      <c r="H97" s="14">
        <f t="shared" si="4"/>
        <v>0</v>
      </c>
      <c r="I97" s="14" t="s">
        <v>335</v>
      </c>
      <c r="J97" s="47">
        <v>496.68302999999997</v>
      </c>
      <c r="K97" s="45">
        <f t="shared" si="7"/>
        <v>0</v>
      </c>
    </row>
    <row r="98" spans="1:11">
      <c r="A98" s="17"/>
      <c r="B98" s="18" t="s">
        <v>183</v>
      </c>
      <c r="C98" s="24" t="s">
        <v>402</v>
      </c>
      <c r="D98" s="19"/>
      <c r="E98" s="181" t="str" cm="1">
        <f t="array" ref="E98:E99">+'WSA-CC-Waste'!R32:R33</f>
        <v>0</v>
      </c>
      <c r="F98" s="13" t="s">
        <v>334</v>
      </c>
      <c r="G98" s="19"/>
      <c r="H98" s="14">
        <f t="shared" si="4"/>
        <v>0</v>
      </c>
      <c r="I98" s="14" t="s">
        <v>335</v>
      </c>
      <c r="J98" s="61" cm="1">
        <f t="array" ref="J98:J99">+'GHG conversion factor'!D56:D57</f>
        <v>6.4106100000000001</v>
      </c>
      <c r="K98" s="45">
        <f>'GHG conversion factor'!D56*H98</f>
        <v>0</v>
      </c>
    </row>
    <row r="99" spans="1:11">
      <c r="A99" s="17"/>
      <c r="B99" s="18" t="s">
        <v>183</v>
      </c>
      <c r="C99" s="24" t="s">
        <v>403</v>
      </c>
      <c r="D99" s="19"/>
      <c r="E99" s="181" t="str">
        <v>0</v>
      </c>
      <c r="F99" s="13" t="s">
        <v>334</v>
      </c>
      <c r="G99" s="19"/>
      <c r="H99" s="14">
        <f t="shared" si="4"/>
        <v>0</v>
      </c>
      <c r="I99" s="14" t="s">
        <v>335</v>
      </c>
      <c r="J99" s="61">
        <v>497.04415999999998</v>
      </c>
      <c r="K99" s="45">
        <f>'GHG conversion factor'!D57*H99</f>
        <v>0</v>
      </c>
    </row>
    <row r="100" spans="1:11">
      <c r="A100" s="17"/>
      <c r="B100" s="18" t="s">
        <v>183</v>
      </c>
      <c r="C100" s="24" t="s">
        <v>404</v>
      </c>
      <c r="D100" s="19"/>
      <c r="E100" s="181" t="str" cm="1">
        <f t="array" ref="E100:E102">+'WSA-CC-Waste'!R34:R36</f>
        <v>0</v>
      </c>
      <c r="F100" s="13" t="s">
        <v>334</v>
      </c>
      <c r="G100" s="19"/>
      <c r="H100" s="14">
        <f t="shared" si="4"/>
        <v>0</v>
      </c>
      <c r="I100" s="14" t="s">
        <v>335</v>
      </c>
      <c r="J100" s="61" cm="1">
        <f t="array" ref="J100:J102">+'GHG conversion factor'!D58:D60</f>
        <v>6.4106100000000001</v>
      </c>
      <c r="K100" s="45">
        <f>'GHG conversion factor'!D58*H100</f>
        <v>0</v>
      </c>
    </row>
    <row r="101" spans="1:11">
      <c r="A101" s="17"/>
      <c r="B101" s="18" t="s">
        <v>183</v>
      </c>
      <c r="C101" s="24" t="s">
        <v>405</v>
      </c>
      <c r="D101" s="19"/>
      <c r="E101" s="181" t="str">
        <v>0</v>
      </c>
      <c r="F101" s="13" t="s">
        <v>334</v>
      </c>
      <c r="G101" s="19"/>
      <c r="H101" s="14">
        <f t="shared" si="4"/>
        <v>0</v>
      </c>
      <c r="I101" s="14" t="s">
        <v>335</v>
      </c>
      <c r="J101" s="61">
        <v>8.8838600000000003</v>
      </c>
      <c r="K101" s="45">
        <f>'GHG conversion factor'!D59*H101</f>
        <v>0</v>
      </c>
    </row>
    <row r="102" spans="1:11">
      <c r="A102" s="17"/>
      <c r="B102" s="18" t="s">
        <v>183</v>
      </c>
      <c r="C102" s="24" t="s">
        <v>406</v>
      </c>
      <c r="D102" s="19"/>
      <c r="E102" s="181" t="str">
        <v>0</v>
      </c>
      <c r="F102" s="13" t="s">
        <v>334</v>
      </c>
      <c r="G102" s="19"/>
      <c r="H102" s="14">
        <f t="shared" si="4"/>
        <v>0</v>
      </c>
      <c r="I102" s="14" t="s">
        <v>335</v>
      </c>
      <c r="J102" s="61">
        <v>700.20961</v>
      </c>
      <c r="K102" s="45">
        <f>'GHG conversion factor'!D60*H102</f>
        <v>0</v>
      </c>
    </row>
    <row r="103" spans="1:11">
      <c r="A103" s="17"/>
      <c r="B103" s="18" t="s">
        <v>183</v>
      </c>
      <c r="C103" s="24" t="s">
        <v>407</v>
      </c>
      <c r="D103" s="19"/>
      <c r="E103" s="181" t="str" cm="1">
        <f t="array" ref="E103:E104">+'WSA-CC-Waste'!R37:R38</f>
        <v>0</v>
      </c>
      <c r="F103" s="13" t="s">
        <v>334</v>
      </c>
      <c r="G103" s="19"/>
      <c r="H103" s="14">
        <f t="shared" si="4"/>
        <v>0</v>
      </c>
      <c r="I103" s="14" t="s">
        <v>335</v>
      </c>
      <c r="J103" s="186" cm="1">
        <f t="array" ref="J103:J104">+'GHG conversion factor'!D61:D62</f>
        <v>6.4106100000000001</v>
      </c>
      <c r="K103" s="45">
        <f>'GHG conversion factor'!D61*H103</f>
        <v>0</v>
      </c>
    </row>
    <row r="104" spans="1:11">
      <c r="A104" s="17"/>
      <c r="B104" s="18" t="s">
        <v>183</v>
      </c>
      <c r="C104" s="15" t="s">
        <v>408</v>
      </c>
      <c r="D104" s="19"/>
      <c r="E104" s="181" t="str">
        <v>0</v>
      </c>
      <c r="F104" s="13" t="s">
        <v>334</v>
      </c>
      <c r="G104" s="19"/>
      <c r="H104" s="14">
        <f t="shared" si="4"/>
        <v>0</v>
      </c>
      <c r="I104" s="14" t="s">
        <v>335</v>
      </c>
      <c r="J104" s="186">
        <v>520.33420000000001</v>
      </c>
      <c r="K104" s="45">
        <f>'GHG conversion factor'!D62*H104</f>
        <v>0</v>
      </c>
    </row>
    <row r="105" spans="1:11" ht="27.6">
      <c r="A105" s="17"/>
      <c r="B105" s="18" t="s">
        <v>183</v>
      </c>
      <c r="C105" s="15" t="s">
        <v>409</v>
      </c>
      <c r="D105" s="19"/>
      <c r="E105" s="181" t="str" cm="1">
        <f t="array" ref="E105:E106">+'WSA-CC-Waste'!R39:R40</f>
        <v>0</v>
      </c>
      <c r="F105" s="13" t="s">
        <v>334</v>
      </c>
      <c r="G105" s="19"/>
      <c r="H105" s="14">
        <f t="shared" si="4"/>
        <v>0</v>
      </c>
      <c r="I105" s="14" t="s">
        <v>335</v>
      </c>
      <c r="J105" s="47" cm="1">
        <f t="array" ref="J105:J106">+'GHG conversion factor'!D63:D64</f>
        <v>6.4106100000000001</v>
      </c>
      <c r="K105" s="45">
        <f t="shared" ref="K105:K111" si="8">J105*H105</f>
        <v>0</v>
      </c>
    </row>
    <row r="106" spans="1:11">
      <c r="A106" s="17"/>
      <c r="B106" s="18" t="s">
        <v>183</v>
      </c>
      <c r="C106" s="15" t="s">
        <v>410</v>
      </c>
      <c r="D106" s="19"/>
      <c r="E106" s="181" t="str">
        <v>0</v>
      </c>
      <c r="F106" s="13" t="s">
        <v>334</v>
      </c>
      <c r="G106" s="19"/>
      <c r="H106" s="14">
        <f t="shared" si="4"/>
        <v>0</v>
      </c>
      <c r="I106" s="14" t="s">
        <v>335</v>
      </c>
      <c r="J106" s="47">
        <v>8.8838600000000003</v>
      </c>
      <c r="K106" s="45">
        <f t="shared" si="8"/>
        <v>0</v>
      </c>
    </row>
    <row r="107" spans="1:11" ht="27.6">
      <c r="A107" s="17"/>
      <c r="B107" s="18" t="s">
        <v>183</v>
      </c>
      <c r="C107" s="15" t="s">
        <v>411</v>
      </c>
      <c r="D107" s="19"/>
      <c r="E107" s="181" t="str" cm="1">
        <f t="array" ref="E107:E108">+'WSA-CC-Waste'!R41:R42</f>
        <v>0</v>
      </c>
      <c r="F107" s="13" t="s">
        <v>334</v>
      </c>
      <c r="G107" s="19"/>
      <c r="H107" s="14">
        <f t="shared" si="4"/>
        <v>0</v>
      </c>
      <c r="I107" s="14" t="s">
        <v>335</v>
      </c>
      <c r="J107" s="32" cm="1">
        <f t="array" ref="J107:J108">+'GHG conversion factor'!D65:D66</f>
        <v>6.4106100000000001</v>
      </c>
      <c r="K107" s="45">
        <f t="shared" si="8"/>
        <v>0</v>
      </c>
    </row>
    <row r="108" spans="1:11">
      <c r="A108" s="17"/>
      <c r="B108" s="18" t="s">
        <v>183</v>
      </c>
      <c r="C108" s="15" t="s">
        <v>412</v>
      </c>
      <c r="D108" s="19"/>
      <c r="E108" s="181" t="str">
        <v>0</v>
      </c>
      <c r="F108" s="13" t="s">
        <v>334</v>
      </c>
      <c r="G108" s="19"/>
      <c r="H108" s="14">
        <f t="shared" si="4"/>
        <v>0</v>
      </c>
      <c r="I108" s="14" t="s">
        <v>335</v>
      </c>
      <c r="J108" s="47">
        <v>8.8838600000000003</v>
      </c>
      <c r="K108" s="45">
        <f t="shared" si="8"/>
        <v>0</v>
      </c>
    </row>
    <row r="109" spans="1:11" ht="27.6">
      <c r="A109" s="17"/>
      <c r="B109" s="18" t="s">
        <v>183</v>
      </c>
      <c r="C109" s="15" t="s">
        <v>413</v>
      </c>
      <c r="D109" s="19"/>
      <c r="E109" s="181" t="str" cm="1">
        <f t="array" ref="E109:E111">+'WSA-CC-Waste'!R43:R45</f>
        <v>0</v>
      </c>
      <c r="F109" s="13" t="s">
        <v>334</v>
      </c>
      <c r="G109" s="19"/>
      <c r="H109" s="14">
        <f>E109/1000</f>
        <v>0</v>
      </c>
      <c r="I109" s="14" t="s">
        <v>335</v>
      </c>
      <c r="J109" s="47" cm="1">
        <f t="array" ref="J109:J111">+'GHG conversion factor'!D67:D69</f>
        <v>6.4106100000000001</v>
      </c>
      <c r="K109" s="45">
        <f t="shared" si="8"/>
        <v>0</v>
      </c>
    </row>
    <row r="110" spans="1:11">
      <c r="A110" s="17"/>
      <c r="B110" s="18" t="s">
        <v>183</v>
      </c>
      <c r="C110" s="15" t="s">
        <v>414</v>
      </c>
      <c r="D110" s="19"/>
      <c r="E110" s="181" t="str">
        <v>0</v>
      </c>
      <c r="F110" s="13" t="s">
        <v>334</v>
      </c>
      <c r="G110" s="19"/>
      <c r="H110" s="14">
        <f>E110/1000</f>
        <v>0</v>
      </c>
      <c r="I110" s="14" t="s">
        <v>335</v>
      </c>
      <c r="J110" s="32">
        <v>8.8838600000000003</v>
      </c>
      <c r="K110" s="45">
        <f t="shared" si="8"/>
        <v>0</v>
      </c>
    </row>
    <row r="111" spans="1:11">
      <c r="A111" s="17"/>
      <c r="B111" s="18" t="s">
        <v>183</v>
      </c>
      <c r="C111" s="15" t="s">
        <v>415</v>
      </c>
      <c r="D111" s="19"/>
      <c r="E111" s="181" t="str">
        <v>0</v>
      </c>
      <c r="F111" s="17" t="s">
        <v>334</v>
      </c>
      <c r="G111" s="19"/>
      <c r="H111" s="16">
        <f>E111/1000</f>
        <v>0</v>
      </c>
      <c r="I111" s="16" t="s">
        <v>335</v>
      </c>
      <c r="J111" s="47">
        <v>1164.3901499999999</v>
      </c>
      <c r="K111" s="45">
        <f t="shared" si="8"/>
        <v>0</v>
      </c>
    </row>
    <row r="112" spans="1:11" ht="15" thickBot="1">
      <c r="A112" s="491" t="s">
        <v>326</v>
      </c>
      <c r="B112" s="492"/>
      <c r="C112" s="492"/>
      <c r="D112" s="492"/>
      <c r="E112" s="492"/>
      <c r="F112" s="492"/>
      <c r="G112" s="492"/>
      <c r="H112" s="492"/>
      <c r="I112" s="492"/>
      <c r="J112" s="492"/>
      <c r="K112" s="84">
        <f>SUM(K77:K111)</f>
        <v>0</v>
      </c>
    </row>
    <row r="113" spans="1:11">
      <c r="A113" s="9"/>
      <c r="B113" s="10"/>
      <c r="C113" s="11"/>
      <c r="D113" s="9"/>
      <c r="E113" s="9"/>
      <c r="F113" s="9"/>
      <c r="G113" s="9"/>
      <c r="H113" s="12"/>
      <c r="I113" s="12"/>
      <c r="J113" s="12"/>
      <c r="K113" s="12"/>
    </row>
    <row r="114" spans="1:11">
      <c r="A114" s="9"/>
      <c r="B114" s="10"/>
      <c r="C114" s="11"/>
      <c r="D114" s="9"/>
      <c r="E114" s="9"/>
      <c r="F114" s="9"/>
      <c r="G114" s="9"/>
      <c r="H114" s="12"/>
      <c r="I114" s="12"/>
      <c r="J114" s="12"/>
      <c r="K114" s="12"/>
    </row>
    <row r="115" spans="1:11" ht="43.2">
      <c r="A115" s="4" t="s">
        <v>109</v>
      </c>
      <c r="B115" s="4" t="s">
        <v>314</v>
      </c>
      <c r="C115" s="4" t="s">
        <v>332</v>
      </c>
      <c r="D115" s="2"/>
      <c r="E115" s="2"/>
      <c r="F115" s="2"/>
      <c r="G115" s="2"/>
      <c r="H115" s="4" t="s">
        <v>416</v>
      </c>
      <c r="I115" s="4" t="s">
        <v>379</v>
      </c>
      <c r="J115" s="4" t="s">
        <v>322</v>
      </c>
      <c r="K115" s="4" t="s">
        <v>50</v>
      </c>
    </row>
    <row r="116" spans="1:11">
      <c r="A116" s="26"/>
      <c r="B116" s="26" t="s">
        <v>417</v>
      </c>
      <c r="C116" s="26" t="s">
        <v>418</v>
      </c>
      <c r="D116" s="21"/>
      <c r="E116" s="21"/>
      <c r="F116" s="30" t="s">
        <v>419</v>
      </c>
      <c r="G116" s="29"/>
      <c r="H116" s="22" t="str" cm="1">
        <f t="array" ref="H116:H118">+'WSA-CC-Travel'!R13:R15</f>
        <v>0</v>
      </c>
      <c r="I116" s="28" t="s">
        <v>420</v>
      </c>
      <c r="J116" s="58" cm="1">
        <f t="array" ref="J116:J118">+'GHG conversion factor'!D73:D75</f>
        <v>0.27256999999999998</v>
      </c>
      <c r="K116" s="60">
        <f>H116*J116</f>
        <v>0</v>
      </c>
    </row>
    <row r="117" spans="1:11" ht="28.8">
      <c r="A117" s="26"/>
      <c r="B117" s="26" t="s">
        <v>417</v>
      </c>
      <c r="C117" s="26" t="s">
        <v>421</v>
      </c>
      <c r="D117" s="21"/>
      <c r="E117" s="21"/>
      <c r="F117" s="30" t="s">
        <v>419</v>
      </c>
      <c r="G117" s="29"/>
      <c r="H117" s="22" t="str">
        <v>0</v>
      </c>
      <c r="I117" s="28" t="s">
        <v>420</v>
      </c>
      <c r="J117" s="58">
        <v>0.18592</v>
      </c>
      <c r="K117" s="60">
        <f>H117*J117</f>
        <v>0</v>
      </c>
    </row>
    <row r="118" spans="1:11" ht="28.8">
      <c r="A118" s="26"/>
      <c r="B118" s="26" t="s">
        <v>417</v>
      </c>
      <c r="C118" s="26" t="s">
        <v>422</v>
      </c>
      <c r="D118" s="21"/>
      <c r="E118" s="21"/>
      <c r="F118" s="30" t="s">
        <v>419</v>
      </c>
      <c r="G118" s="29"/>
      <c r="H118" s="22" t="str">
        <v>0</v>
      </c>
      <c r="I118" s="28" t="s">
        <v>420</v>
      </c>
      <c r="J118" s="191">
        <v>0.26128000000000001</v>
      </c>
      <c r="K118" s="60">
        <f>H118*J118</f>
        <v>0</v>
      </c>
    </row>
    <row r="119" spans="1:11">
      <c r="A119" s="26"/>
      <c r="B119" s="26" t="s">
        <v>423</v>
      </c>
      <c r="C119" s="26" t="s">
        <v>424</v>
      </c>
      <c r="D119" s="21"/>
      <c r="E119" s="21"/>
      <c r="F119" s="30" t="s">
        <v>419</v>
      </c>
      <c r="G119" s="21"/>
      <c r="H119" s="22" t="str" cm="1">
        <f t="array" ref="H119:H120">+'WSA-CC-Travel'!R16:R17</f>
        <v>0</v>
      </c>
      <c r="I119" s="28" t="s">
        <v>420</v>
      </c>
      <c r="J119" s="186" cm="1">
        <f t="array" ref="J119:J120">+'GHG conversion factor'!D76:D77</f>
        <v>1.8710000000000001E-2</v>
      </c>
      <c r="K119" s="60">
        <f>H119*J119</f>
        <v>0</v>
      </c>
    </row>
    <row r="120" spans="1:11">
      <c r="A120" s="26"/>
      <c r="B120" s="26" t="s">
        <v>423</v>
      </c>
      <c r="C120" s="26" t="s">
        <v>425</v>
      </c>
      <c r="D120" s="21"/>
      <c r="E120" s="21"/>
      <c r="F120" s="30" t="s">
        <v>419</v>
      </c>
      <c r="G120" s="21"/>
      <c r="H120" s="22" t="str">
        <v>0</v>
      </c>
      <c r="I120" s="28" t="s">
        <v>420</v>
      </c>
      <c r="J120" s="186">
        <v>0.12933</v>
      </c>
      <c r="K120" s="60">
        <f>H120*J120</f>
        <v>0</v>
      </c>
    </row>
    <row r="121" spans="1:11">
      <c r="A121" s="26"/>
      <c r="B121" s="26" t="s">
        <v>426</v>
      </c>
      <c r="C121" s="26" t="s">
        <v>427</v>
      </c>
      <c r="D121" s="21"/>
      <c r="E121" s="21"/>
      <c r="F121" s="31"/>
      <c r="G121" s="21"/>
      <c r="H121" s="20" t="str" cm="1">
        <f t="array" ref="H121:H123">+'WSA-CC-Travel'!R18:R20</f>
        <v>0</v>
      </c>
      <c r="I121" s="28" t="s">
        <v>428</v>
      </c>
      <c r="J121" s="47" cm="1">
        <f t="array" ref="J121:J123">+'GHG conversion factor'!D78:D80</f>
        <v>0.13994000000000001</v>
      </c>
      <c r="K121" s="60">
        <f t="shared" ref="K121:K147" si="9">H121*J121</f>
        <v>0</v>
      </c>
    </row>
    <row r="122" spans="1:11">
      <c r="A122" s="26"/>
      <c r="B122" s="26" t="s">
        <v>426</v>
      </c>
      <c r="C122" s="26" t="s">
        <v>429</v>
      </c>
      <c r="D122" s="21"/>
      <c r="E122" s="21"/>
      <c r="F122" s="31"/>
      <c r="G122" s="21"/>
      <c r="H122" s="20" t="str">
        <v>0</v>
      </c>
      <c r="I122" s="28" t="s">
        <v>428</v>
      </c>
      <c r="J122" s="47">
        <v>0.16807</v>
      </c>
      <c r="K122" s="60">
        <f t="shared" si="9"/>
        <v>0</v>
      </c>
    </row>
    <row r="123" spans="1:11">
      <c r="A123" s="26"/>
      <c r="B123" s="26" t="s">
        <v>426</v>
      </c>
      <c r="C123" s="26" t="s">
        <v>430</v>
      </c>
      <c r="D123" s="21"/>
      <c r="E123" s="21"/>
      <c r="F123" s="31"/>
      <c r="G123" s="21"/>
      <c r="H123" s="20" t="str">
        <v>0</v>
      </c>
      <c r="I123" s="28" t="s">
        <v>428</v>
      </c>
      <c r="J123" s="47">
        <v>0.20729</v>
      </c>
      <c r="K123" s="60">
        <f t="shared" si="9"/>
        <v>0</v>
      </c>
    </row>
    <row r="124" spans="1:11" ht="14.55" customHeight="1">
      <c r="A124" s="26"/>
      <c r="B124" s="26" t="s">
        <v>426</v>
      </c>
      <c r="C124" s="26" t="s">
        <v>431</v>
      </c>
      <c r="D124" s="21"/>
      <c r="E124" s="21"/>
      <c r="F124" s="31"/>
      <c r="G124" s="21"/>
      <c r="H124" s="20" t="str" cm="1">
        <f t="array" ref="H124:H126">+'WSA-CC-Travel'!R21:R23</f>
        <v>0</v>
      </c>
      <c r="I124" s="28" t="s">
        <v>428</v>
      </c>
      <c r="J124" s="59" cm="1">
        <f t="array" ref="J124:J126">+'GHG conversion factor'!D81:D83</f>
        <v>0.14369999999999999</v>
      </c>
      <c r="K124" s="60">
        <f t="shared" si="9"/>
        <v>0</v>
      </c>
    </row>
    <row r="125" spans="1:11">
      <c r="A125" s="26"/>
      <c r="B125" s="26" t="s">
        <v>426</v>
      </c>
      <c r="C125" s="26" t="s">
        <v>432</v>
      </c>
      <c r="D125" s="21"/>
      <c r="E125" s="21"/>
      <c r="F125" s="31"/>
      <c r="G125" s="21"/>
      <c r="H125" s="20" t="str">
        <v>0</v>
      </c>
      <c r="I125" s="28" t="s">
        <v>428</v>
      </c>
      <c r="J125" s="59">
        <v>0.17726</v>
      </c>
      <c r="K125" s="60">
        <f t="shared" si="9"/>
        <v>0</v>
      </c>
    </row>
    <row r="126" spans="1:11">
      <c r="A126" s="26"/>
      <c r="B126" s="26" t="s">
        <v>426</v>
      </c>
      <c r="C126" s="26" t="s">
        <v>433</v>
      </c>
      <c r="D126" s="21"/>
      <c r="E126" s="21"/>
      <c r="F126" s="31"/>
      <c r="G126" s="21"/>
      <c r="H126" s="20" t="str">
        <v>0</v>
      </c>
      <c r="I126" s="28" t="s">
        <v>428</v>
      </c>
      <c r="J126" s="59">
        <v>0.26884999999999998</v>
      </c>
      <c r="K126" s="60">
        <f t="shared" si="9"/>
        <v>0</v>
      </c>
    </row>
    <row r="127" spans="1:11">
      <c r="A127" s="26"/>
      <c r="B127" s="26" t="s">
        <v>426</v>
      </c>
      <c r="C127" s="26" t="s">
        <v>434</v>
      </c>
      <c r="D127" s="21"/>
      <c r="E127" s="21"/>
      <c r="F127" s="31"/>
      <c r="G127" s="21"/>
      <c r="H127" s="20" t="str" cm="1">
        <f t="array" ref="H127:H129">+'WSA-CC-Travel'!R24:R26</f>
        <v>0</v>
      </c>
      <c r="I127" s="28" t="s">
        <v>428</v>
      </c>
      <c r="J127" s="48" cm="1">
        <f t="array" ref="J127:J129">+'GHG conversion factor'!D84:D86</f>
        <v>0.11274000000000001</v>
      </c>
      <c r="K127" s="60">
        <f t="shared" si="9"/>
        <v>0</v>
      </c>
    </row>
    <row r="128" spans="1:11">
      <c r="A128" s="26"/>
      <c r="B128" s="26" t="s">
        <v>426</v>
      </c>
      <c r="C128" s="26" t="s">
        <v>435</v>
      </c>
      <c r="D128" s="21"/>
      <c r="E128" s="21"/>
      <c r="F128" s="31"/>
      <c r="G128" s="21"/>
      <c r="H128" s="20" t="str">
        <v>0</v>
      </c>
      <c r="I128" s="28" t="s">
        <v>428</v>
      </c>
      <c r="J128" s="57">
        <v>0.1149</v>
      </c>
      <c r="K128" s="60">
        <f t="shared" si="9"/>
        <v>0</v>
      </c>
    </row>
    <row r="129" spans="1:11" ht="14.55" customHeight="1">
      <c r="A129" s="26"/>
      <c r="B129" s="26" t="s">
        <v>426</v>
      </c>
      <c r="C129" s="26" t="s">
        <v>436</v>
      </c>
      <c r="D129" s="21"/>
      <c r="E129" s="21"/>
      <c r="F129" s="31"/>
      <c r="G129" s="21"/>
      <c r="H129" s="20" t="str">
        <v>0</v>
      </c>
      <c r="I129" s="28" t="s">
        <v>428</v>
      </c>
      <c r="J129" s="57">
        <v>0.15486</v>
      </c>
      <c r="K129" s="60">
        <f t="shared" si="9"/>
        <v>0</v>
      </c>
    </row>
    <row r="130" spans="1:11" ht="14.55" customHeight="1">
      <c r="A130" s="26"/>
      <c r="B130" s="26" t="s">
        <v>426</v>
      </c>
      <c r="C130" s="26" t="s">
        <v>437</v>
      </c>
      <c r="D130" s="21"/>
      <c r="E130" s="21"/>
      <c r="F130" s="31"/>
      <c r="G130" s="21"/>
      <c r="H130" s="20" t="e" cm="1" vm="3">
        <f t="array" aca="1" ref="H130" ca="1">+'WSA-CC-Travel'!$R$27:$R$30</f>
        <v>#VALUE!</v>
      </c>
      <c r="I130" s="28" t="s">
        <v>428</v>
      </c>
      <c r="J130" s="48" cm="1">
        <f t="array" ref="J130:J132">+'GHG conversion factor'!D87:D89</f>
        <v>6.0780000000000001E-2</v>
      </c>
      <c r="K130" s="60" t="e" vm="2">
        <f t="shared" ca="1" si="9"/>
        <v>#VALUE!</v>
      </c>
    </row>
    <row r="131" spans="1:11" ht="14.55" customHeight="1">
      <c r="A131" s="26"/>
      <c r="B131" s="26" t="s">
        <v>426</v>
      </c>
      <c r="C131" s="26" t="s">
        <v>438</v>
      </c>
      <c r="D131" s="21"/>
      <c r="E131" s="21"/>
      <c r="F131" s="31"/>
      <c r="G131" s="21"/>
      <c r="H131" s="20"/>
      <c r="I131" s="28" t="s">
        <v>428</v>
      </c>
      <c r="J131" s="48">
        <v>9.3119999999999994E-2</v>
      </c>
      <c r="K131" s="60">
        <f t="shared" si="9"/>
        <v>0</v>
      </c>
    </row>
    <row r="132" spans="1:11" ht="14.55" customHeight="1">
      <c r="A132" s="26"/>
      <c r="B132" s="26" t="s">
        <v>426</v>
      </c>
      <c r="C132" s="26" t="s">
        <v>439</v>
      </c>
      <c r="D132" s="21"/>
      <c r="E132" s="21"/>
      <c r="F132" s="31"/>
      <c r="G132" s="21"/>
      <c r="H132" s="20"/>
      <c r="I132" s="28" t="s">
        <v>428</v>
      </c>
      <c r="J132" s="48">
        <v>0.11923</v>
      </c>
      <c r="K132" s="60">
        <f t="shared" si="9"/>
        <v>0</v>
      </c>
    </row>
    <row r="133" spans="1:11">
      <c r="A133" s="26"/>
      <c r="B133" s="26" t="s">
        <v>426</v>
      </c>
      <c r="C133" s="26" t="s">
        <v>440</v>
      </c>
      <c r="D133" s="21"/>
      <c r="E133" s="21"/>
      <c r="F133" s="31"/>
      <c r="G133" s="21"/>
      <c r="H133" s="20" t="str" cm="1">
        <f t="array" ref="H133:H135">+'WSA-CC-Travel'!R31:R33</f>
        <v>0</v>
      </c>
      <c r="I133" s="28" t="s">
        <v>428</v>
      </c>
      <c r="J133" s="48">
        <v>4.8228E-2</v>
      </c>
      <c r="K133" s="60">
        <f t="shared" si="9"/>
        <v>0</v>
      </c>
    </row>
    <row r="134" spans="1:11">
      <c r="A134" s="26"/>
      <c r="B134" s="26" t="s">
        <v>426</v>
      </c>
      <c r="C134" s="26" t="s">
        <v>441</v>
      </c>
      <c r="D134" s="21"/>
      <c r="E134" s="21"/>
      <c r="F134" s="31"/>
      <c r="G134" s="21"/>
      <c r="H134" s="20" t="str">
        <v>0</v>
      </c>
      <c r="I134" s="28" t="s">
        <v>428</v>
      </c>
      <c r="J134" s="48">
        <v>5.2665999999999998E-2</v>
      </c>
      <c r="K134" s="60">
        <f t="shared" si="9"/>
        <v>0</v>
      </c>
    </row>
    <row r="135" spans="1:11">
      <c r="A135" s="26"/>
      <c r="B135" s="26" t="s">
        <v>426</v>
      </c>
      <c r="C135" s="26" t="s">
        <v>442</v>
      </c>
      <c r="D135" s="21"/>
      <c r="E135" s="21"/>
      <c r="F135" s="31"/>
      <c r="G135" s="21"/>
      <c r="H135" s="20" t="str">
        <v>0</v>
      </c>
      <c r="I135" s="28" t="s">
        <v>428</v>
      </c>
      <c r="J135" s="48">
        <v>5.7973999999999998E-2</v>
      </c>
      <c r="K135" s="60">
        <f t="shared" si="9"/>
        <v>0</v>
      </c>
    </row>
    <row r="136" spans="1:11">
      <c r="A136" s="26"/>
      <c r="B136" s="26" t="s">
        <v>426</v>
      </c>
      <c r="C136" s="26" t="s">
        <v>443</v>
      </c>
      <c r="D136" s="21"/>
      <c r="E136" s="21"/>
      <c r="F136" s="31"/>
      <c r="G136" s="21"/>
      <c r="H136" s="20" t="str" cm="1">
        <f t="array" ref="H136:H138">+'WSA-CC-Travel'!R34:R36</f>
        <v>0</v>
      </c>
      <c r="I136" s="28" t="s">
        <v>428</v>
      </c>
      <c r="J136" s="48" cm="1">
        <f t="array" ref="J136:J138">+'GHG conversion factor'!D93:D95</f>
        <v>8.319E-2</v>
      </c>
      <c r="K136" s="60">
        <f t="shared" si="9"/>
        <v>0</v>
      </c>
    </row>
    <row r="137" spans="1:11">
      <c r="A137" s="26"/>
      <c r="B137" s="26" t="s">
        <v>426</v>
      </c>
      <c r="C137" s="26" t="s">
        <v>444</v>
      </c>
      <c r="D137" s="21"/>
      <c r="E137" s="21"/>
      <c r="F137" s="31"/>
      <c r="G137" s="21"/>
      <c r="H137" s="20" t="str">
        <v>0</v>
      </c>
      <c r="I137" s="28" t="s">
        <v>428</v>
      </c>
      <c r="J137" s="48">
        <v>0.10106999999999999</v>
      </c>
      <c r="K137" s="60">
        <f t="shared" si="9"/>
        <v>0</v>
      </c>
    </row>
    <row r="138" spans="1:11">
      <c r="A138" s="26"/>
      <c r="B138" s="26" t="s">
        <v>426</v>
      </c>
      <c r="C138" s="26" t="s">
        <v>445</v>
      </c>
      <c r="D138" s="21"/>
      <c r="E138" s="21"/>
      <c r="F138" s="31"/>
      <c r="G138" s="21"/>
      <c r="H138" s="20" t="str">
        <v>0</v>
      </c>
      <c r="I138" s="28" t="s">
        <v>428</v>
      </c>
      <c r="J138" s="48">
        <v>0.13252</v>
      </c>
      <c r="K138" s="60">
        <f t="shared" si="9"/>
        <v>0</v>
      </c>
    </row>
    <row r="139" spans="1:11">
      <c r="A139" s="26"/>
      <c r="B139" s="26" t="s">
        <v>426</v>
      </c>
      <c r="C139" s="26" t="s">
        <v>446</v>
      </c>
      <c r="D139" s="21"/>
      <c r="E139" s="21"/>
      <c r="F139" s="31"/>
      <c r="G139" s="21"/>
      <c r="H139" s="20" t="str" cm="1">
        <f t="array" ref="H139:H140">+'WSA-CC-Travel'!R37:R38</f>
        <v>0</v>
      </c>
      <c r="I139" s="28" t="s">
        <v>428</v>
      </c>
      <c r="J139" s="48" cm="1">
        <f t="array" ref="J139:J140">+'GHG conversion factor'!D96:D97</f>
        <v>0.20805000000000001</v>
      </c>
      <c r="K139" s="60">
        <f t="shared" si="9"/>
        <v>0</v>
      </c>
    </row>
    <row r="140" spans="1:11">
      <c r="A140" s="26"/>
      <c r="B140" s="26" t="s">
        <v>426</v>
      </c>
      <c r="C140" s="26" t="s">
        <v>447</v>
      </c>
      <c r="D140" s="21"/>
      <c r="E140" s="21"/>
      <c r="F140" s="31"/>
      <c r="G140" s="21"/>
      <c r="H140" s="20" t="str">
        <v>0</v>
      </c>
      <c r="I140" s="28" t="s">
        <v>428</v>
      </c>
      <c r="J140" s="48">
        <v>0.30603000000000002</v>
      </c>
      <c r="K140" s="60">
        <f t="shared" si="9"/>
        <v>0</v>
      </c>
    </row>
    <row r="141" spans="1:11">
      <c r="A141" s="26"/>
      <c r="B141" s="26" t="s">
        <v>426</v>
      </c>
      <c r="C141" s="26" t="s">
        <v>448</v>
      </c>
      <c r="D141" s="21"/>
      <c r="E141" s="21"/>
      <c r="F141" s="31"/>
      <c r="G141" s="21"/>
      <c r="H141" s="20" t="str" cm="1">
        <f t="array" ref="H141:H143">+'WSA-CC-Travel'!R39:R41</f>
        <v>0</v>
      </c>
      <c r="I141" s="28" t="s">
        <v>428</v>
      </c>
      <c r="J141" s="48" cm="1">
        <f t="array" ref="J141:J143">+'GHG conversion factor'!D98:D100</f>
        <v>0.12998999999999999</v>
      </c>
      <c r="K141" s="60">
        <f t="shared" si="9"/>
        <v>0</v>
      </c>
    </row>
    <row r="142" spans="1:11">
      <c r="A142" s="26"/>
      <c r="B142" s="26" t="s">
        <v>426</v>
      </c>
      <c r="C142" s="26" t="s">
        <v>240</v>
      </c>
      <c r="D142" s="21"/>
      <c r="E142" s="21"/>
      <c r="F142" s="31"/>
      <c r="G142" s="21"/>
      <c r="H142" s="20" t="str">
        <v>0</v>
      </c>
      <c r="I142" s="28" t="s">
        <v>428</v>
      </c>
      <c r="J142" s="48">
        <v>7.4469999999999995E-2</v>
      </c>
      <c r="K142" s="60">
        <f t="shared" si="9"/>
        <v>0</v>
      </c>
    </row>
    <row r="143" spans="1:11">
      <c r="A143" s="26"/>
      <c r="B143" s="26" t="s">
        <v>426</v>
      </c>
      <c r="C143" s="26" t="s">
        <v>449</v>
      </c>
      <c r="D143" s="21"/>
      <c r="E143" s="21"/>
      <c r="F143" s="31"/>
      <c r="G143" s="21"/>
      <c r="H143" s="20" t="str">
        <v>0</v>
      </c>
      <c r="I143" s="28" t="s">
        <v>428</v>
      </c>
      <c r="J143" s="48">
        <v>2.717E-2</v>
      </c>
      <c r="K143" s="60">
        <f t="shared" si="9"/>
        <v>0</v>
      </c>
    </row>
    <row r="144" spans="1:11">
      <c r="A144" s="26"/>
      <c r="B144" s="26" t="s">
        <v>426</v>
      </c>
      <c r="C144" s="26" t="s">
        <v>450</v>
      </c>
      <c r="D144" s="21"/>
      <c r="E144" s="21"/>
      <c r="F144" s="31"/>
      <c r="G144" s="21"/>
      <c r="H144" s="20" t="str" cm="1">
        <f t="array" ref="H144:H147">+'WSA-CC-Travel'!R42:R45</f>
        <v>0</v>
      </c>
      <c r="I144" s="28" t="s">
        <v>428</v>
      </c>
      <c r="J144" s="47" cm="1">
        <f t="array" ref="J144:J147">+'GHG conversion factor'!D101:D104</f>
        <v>3.5459999999999998E-2</v>
      </c>
      <c r="K144" s="60">
        <f t="shared" si="9"/>
        <v>0</v>
      </c>
    </row>
    <row r="145" spans="1:11">
      <c r="A145" s="26"/>
      <c r="B145" s="26" t="s">
        <v>426</v>
      </c>
      <c r="C145" s="26" t="s">
        <v>451</v>
      </c>
      <c r="D145" s="21"/>
      <c r="E145" s="21"/>
      <c r="F145" s="31"/>
      <c r="G145" s="21"/>
      <c r="H145" s="20" t="str">
        <v>0</v>
      </c>
      <c r="I145" s="28" t="s">
        <v>428</v>
      </c>
      <c r="J145" s="47">
        <v>4.4600000000000004E-3</v>
      </c>
      <c r="K145" s="60">
        <f t="shared" si="9"/>
        <v>0</v>
      </c>
    </row>
    <row r="146" spans="1:11">
      <c r="A146" s="26"/>
      <c r="B146" s="26" t="s">
        <v>426</v>
      </c>
      <c r="C146" s="26" t="s">
        <v>452</v>
      </c>
      <c r="D146" s="21"/>
      <c r="E146" s="21"/>
      <c r="F146" s="31"/>
      <c r="G146" s="21"/>
      <c r="H146" s="20" t="str">
        <v>0</v>
      </c>
      <c r="I146" s="28" t="s">
        <v>428</v>
      </c>
      <c r="J146" s="47">
        <v>2.86E-2</v>
      </c>
      <c r="K146" s="60">
        <f t="shared" si="9"/>
        <v>0</v>
      </c>
    </row>
    <row r="147" spans="1:11">
      <c r="A147" s="26"/>
      <c r="B147" s="26" t="s">
        <v>426</v>
      </c>
      <c r="C147" s="26" t="s">
        <v>246</v>
      </c>
      <c r="D147" s="21"/>
      <c r="E147" s="21"/>
      <c r="F147" s="31"/>
      <c r="G147" s="21"/>
      <c r="H147" s="20" t="str">
        <v>0</v>
      </c>
      <c r="I147" s="28" t="s">
        <v>428</v>
      </c>
      <c r="J147" s="47">
        <v>2.7799999999999998E-2</v>
      </c>
      <c r="K147" s="60">
        <f t="shared" si="9"/>
        <v>0</v>
      </c>
    </row>
    <row r="148" spans="1:11" ht="15" thickBot="1">
      <c r="A148" s="491" t="s">
        <v>326</v>
      </c>
      <c r="B148" s="492"/>
      <c r="C148" s="492"/>
      <c r="D148" s="492"/>
      <c r="E148" s="492"/>
      <c r="F148" s="492"/>
      <c r="G148" s="492"/>
      <c r="H148" s="492"/>
      <c r="I148" s="492"/>
      <c r="J148" s="492"/>
      <c r="K148" s="84" t="e" vm="2">
        <f ca="1">SUM(K113:K147)</f>
        <v>#VALUE!</v>
      </c>
    </row>
    <row r="149" spans="1:11">
      <c r="A149" s="9"/>
      <c r="B149" s="10"/>
      <c r="C149" s="11"/>
      <c r="D149" s="9"/>
      <c r="E149" s="9"/>
      <c r="F149" s="9"/>
      <c r="G149" s="9"/>
      <c r="H149" s="12"/>
      <c r="I149" s="12"/>
      <c r="J149" s="12"/>
      <c r="K149" s="12"/>
    </row>
    <row r="150" spans="1:11">
      <c r="A150" s="9"/>
      <c r="B150" s="10"/>
      <c r="C150" s="11"/>
      <c r="D150" s="9"/>
      <c r="E150" s="9"/>
      <c r="F150" s="9"/>
      <c r="G150" s="9"/>
      <c r="H150" s="12"/>
      <c r="I150" s="12"/>
      <c r="J150" s="12"/>
      <c r="K150" s="12"/>
    </row>
    <row r="151" spans="1:11" ht="43.2">
      <c r="A151" s="4" t="s">
        <v>109</v>
      </c>
      <c r="B151" s="4" t="s">
        <v>314</v>
      </c>
      <c r="C151" s="4" t="s">
        <v>332</v>
      </c>
      <c r="D151" s="2" t="s">
        <v>453</v>
      </c>
      <c r="E151" s="4" t="s">
        <v>249</v>
      </c>
      <c r="F151" s="4" t="s">
        <v>454</v>
      </c>
      <c r="G151" s="4" t="s">
        <v>455</v>
      </c>
      <c r="H151" s="2" t="s">
        <v>456</v>
      </c>
      <c r="I151" s="2"/>
      <c r="J151" s="4" t="s">
        <v>322</v>
      </c>
      <c r="K151" s="4" t="s">
        <v>50</v>
      </c>
    </row>
    <row r="152" spans="1:11">
      <c r="A152" s="26"/>
      <c r="B152" s="26" t="s">
        <v>457</v>
      </c>
      <c r="C152" s="26" t="s">
        <v>458</v>
      </c>
      <c r="D152" s="388"/>
      <c r="E152" s="390" cm="1">
        <f t="array" ref="E152:G162">+'WSA-CC-Freight'!J13:L23</f>
        <v>0</v>
      </c>
      <c r="F152" s="391">
        <v>0</v>
      </c>
      <c r="G152" s="23">
        <v>0</v>
      </c>
      <c r="H152" s="33"/>
      <c r="I152" s="197" t="s">
        <v>459</v>
      </c>
      <c r="J152" s="48" cm="1">
        <f t="array" ref="J152:J162">+'GHG conversion factor'!D107:D117</f>
        <v>0.25023000000000001</v>
      </c>
      <c r="K152" s="20">
        <f>(E152*(F152/1000)*G152*J152)</f>
        <v>0</v>
      </c>
    </row>
    <row r="153" spans="1:11">
      <c r="A153" s="26"/>
      <c r="B153" s="26" t="s">
        <v>457</v>
      </c>
      <c r="C153" s="26" t="s">
        <v>460</v>
      </c>
      <c r="D153" s="388"/>
      <c r="E153" s="381">
        <v>0</v>
      </c>
      <c r="F153" s="391">
        <v>0</v>
      </c>
      <c r="G153" s="23">
        <v>0</v>
      </c>
      <c r="H153" s="33"/>
      <c r="I153" s="197" t="s">
        <v>459</v>
      </c>
      <c r="J153" s="57">
        <v>0.22095000000000001</v>
      </c>
      <c r="K153" s="23">
        <f t="shared" ref="K153:K162" si="10">((E153/1000)*F153*G153*J153)</f>
        <v>0</v>
      </c>
    </row>
    <row r="154" spans="1:11">
      <c r="A154" s="26"/>
      <c r="B154" s="26" t="s">
        <v>457</v>
      </c>
      <c r="C154" s="26" t="s">
        <v>461</v>
      </c>
      <c r="D154" s="388"/>
      <c r="E154" s="381">
        <v>0</v>
      </c>
      <c r="F154" s="391">
        <v>0</v>
      </c>
      <c r="G154" s="23">
        <v>0</v>
      </c>
      <c r="H154" s="33"/>
      <c r="I154" s="213"/>
      <c r="J154" s="57">
        <v>0.15079000000000001</v>
      </c>
      <c r="K154" s="23">
        <f t="shared" si="10"/>
        <v>0</v>
      </c>
    </row>
    <row r="155" spans="1:11">
      <c r="A155" s="26"/>
      <c r="B155" s="26" t="s">
        <v>457</v>
      </c>
      <c r="C155" s="26" t="s">
        <v>462</v>
      </c>
      <c r="D155" s="388"/>
      <c r="E155" s="381">
        <v>0</v>
      </c>
      <c r="F155" s="391">
        <v>0</v>
      </c>
      <c r="G155" s="23">
        <v>0</v>
      </c>
      <c r="H155" s="33"/>
      <c r="I155" s="213"/>
      <c r="J155" s="57">
        <v>7.9219999999999999E-2</v>
      </c>
      <c r="K155" s="23">
        <f t="shared" si="10"/>
        <v>0</v>
      </c>
    </row>
    <row r="156" spans="1:11">
      <c r="A156" s="26"/>
      <c r="B156" s="115" t="s">
        <v>457</v>
      </c>
      <c r="C156" s="115" t="s">
        <v>463</v>
      </c>
      <c r="D156" s="388"/>
      <c r="E156" s="381">
        <v>0</v>
      </c>
      <c r="F156" s="391">
        <v>0</v>
      </c>
      <c r="G156" s="23">
        <v>0</v>
      </c>
      <c r="H156" s="33"/>
      <c r="I156" s="213"/>
      <c r="J156" s="57">
        <v>2.7789999999999999E-2</v>
      </c>
      <c r="K156" s="23">
        <f t="shared" si="10"/>
        <v>0</v>
      </c>
    </row>
    <row r="157" spans="1:11" ht="28.95" customHeight="1">
      <c r="A157" s="26"/>
      <c r="B157" s="26" t="s">
        <v>464</v>
      </c>
      <c r="C157" s="26" t="s">
        <v>465</v>
      </c>
      <c r="D157" s="388"/>
      <c r="E157" s="381">
        <v>0</v>
      </c>
      <c r="F157" s="391">
        <v>0</v>
      </c>
      <c r="G157" s="23">
        <v>0</v>
      </c>
      <c r="H157" s="21"/>
      <c r="I157" s="27"/>
      <c r="J157" s="48">
        <v>4.6734</v>
      </c>
      <c r="K157" s="23">
        <f t="shared" si="10"/>
        <v>0</v>
      </c>
    </row>
    <row r="158" spans="1:11" ht="28.8">
      <c r="A158" s="26"/>
      <c r="B158" s="26" t="s">
        <v>464</v>
      </c>
      <c r="C158" s="26" t="s">
        <v>466</v>
      </c>
      <c r="D158" s="388"/>
      <c r="E158" s="381">
        <v>0</v>
      </c>
      <c r="F158" s="391">
        <v>0</v>
      </c>
      <c r="G158" s="23">
        <v>0</v>
      </c>
      <c r="H158" s="21"/>
      <c r="I158" s="27"/>
      <c r="J158" s="48">
        <v>1.6681600000000001</v>
      </c>
      <c r="K158" s="23">
        <f t="shared" si="10"/>
        <v>0</v>
      </c>
    </row>
    <row r="159" spans="1:11" ht="28.8">
      <c r="A159" s="26"/>
      <c r="B159" s="26" t="s">
        <v>464</v>
      </c>
      <c r="C159" s="26" t="s">
        <v>467</v>
      </c>
      <c r="D159" s="388"/>
      <c r="E159" s="381">
        <v>0</v>
      </c>
      <c r="F159" s="391">
        <v>0</v>
      </c>
      <c r="G159" s="23">
        <v>0</v>
      </c>
      <c r="H159" s="21"/>
      <c r="I159" s="27"/>
      <c r="J159" s="48">
        <v>1.09904</v>
      </c>
      <c r="K159" s="23">
        <f t="shared" si="10"/>
        <v>0</v>
      </c>
    </row>
    <row r="160" spans="1:11" ht="14.55" customHeight="1">
      <c r="A160" s="26"/>
      <c r="B160" s="26" t="s">
        <v>464</v>
      </c>
      <c r="C160" s="26" t="s">
        <v>468</v>
      </c>
      <c r="D160" s="388"/>
      <c r="E160" s="381">
        <v>0</v>
      </c>
      <c r="F160" s="391">
        <v>0</v>
      </c>
      <c r="G160" s="23">
        <v>0</v>
      </c>
      <c r="H160" s="21"/>
      <c r="I160" s="27"/>
      <c r="J160" s="387">
        <v>1.09904</v>
      </c>
      <c r="K160" s="23">
        <f t="shared" si="10"/>
        <v>0</v>
      </c>
    </row>
    <row r="161" spans="1:11">
      <c r="A161" s="199"/>
      <c r="B161" s="198" t="s">
        <v>469</v>
      </c>
      <c r="C161" s="198" t="s">
        <v>470</v>
      </c>
      <c r="D161" s="389"/>
      <c r="E161" s="381">
        <v>0</v>
      </c>
      <c r="F161" s="392">
        <v>0</v>
      </c>
      <c r="G161" s="393">
        <v>0</v>
      </c>
      <c r="H161" s="200"/>
      <c r="I161" s="200"/>
      <c r="J161" s="201">
        <v>1.321E-2</v>
      </c>
      <c r="K161" s="23">
        <f t="shared" si="10"/>
        <v>0</v>
      </c>
    </row>
    <row r="162" spans="1:11">
      <c r="A162" s="199"/>
      <c r="B162" s="198" t="s">
        <v>469</v>
      </c>
      <c r="C162" s="198" t="s">
        <v>471</v>
      </c>
      <c r="D162" s="389"/>
      <c r="E162" s="381">
        <v>0</v>
      </c>
      <c r="F162" s="392">
        <v>0</v>
      </c>
      <c r="G162" s="393">
        <v>0</v>
      </c>
      <c r="H162" s="200"/>
      <c r="I162" s="200"/>
      <c r="J162" s="48">
        <v>1.6119999999999999E-2</v>
      </c>
      <c r="K162" s="23">
        <f t="shared" si="10"/>
        <v>0</v>
      </c>
    </row>
    <row r="163" spans="1:11" ht="15" thickBot="1">
      <c r="A163" s="491" t="s">
        <v>326</v>
      </c>
      <c r="B163" s="492"/>
      <c r="C163" s="492"/>
      <c r="D163" s="492"/>
      <c r="E163" s="492"/>
      <c r="F163" s="492"/>
      <c r="G163" s="492"/>
      <c r="H163" s="492"/>
      <c r="I163" s="492"/>
      <c r="J163" s="492"/>
      <c r="K163" s="84">
        <f>SUM(K152:K162)</f>
        <v>0</v>
      </c>
    </row>
    <row r="164" spans="1:11">
      <c r="A164" s="5"/>
      <c r="B164" s="6"/>
      <c r="C164" s="7"/>
      <c r="D164" s="5"/>
      <c r="E164" s="5"/>
      <c r="F164" s="5"/>
      <c r="G164" s="5"/>
      <c r="H164" s="5"/>
      <c r="I164" s="5"/>
      <c r="J164" s="5"/>
      <c r="K164" s="5"/>
    </row>
    <row r="165" spans="1:11">
      <c r="A165" s="5"/>
      <c r="B165" s="6"/>
      <c r="C165" s="7"/>
      <c r="D165" s="5"/>
      <c r="E165" s="5"/>
      <c r="F165" s="5"/>
      <c r="G165" s="5"/>
      <c r="H165" s="5"/>
      <c r="I165" s="5"/>
      <c r="J165" s="5"/>
      <c r="K165" s="5"/>
    </row>
    <row r="166" spans="1:11" ht="43.2">
      <c r="A166" s="4" t="s">
        <v>109</v>
      </c>
      <c r="B166" s="4" t="s">
        <v>314</v>
      </c>
      <c r="C166" s="4" t="s">
        <v>332</v>
      </c>
      <c r="D166" s="4" t="s">
        <v>268</v>
      </c>
      <c r="E166" s="2"/>
      <c r="F166" s="2"/>
      <c r="G166" s="4" t="s">
        <v>472</v>
      </c>
      <c r="H166" s="2" t="s">
        <v>456</v>
      </c>
      <c r="I166" s="2"/>
      <c r="J166" s="4" t="s">
        <v>322</v>
      </c>
      <c r="K166" s="4" t="s">
        <v>50</v>
      </c>
    </row>
    <row r="167" spans="1:11">
      <c r="A167" s="1"/>
      <c r="B167" s="225" t="s">
        <v>473</v>
      </c>
      <c r="C167" s="3" t="s">
        <v>270</v>
      </c>
      <c r="D167" s="1"/>
      <c r="E167" s="2"/>
      <c r="F167" s="2"/>
      <c r="G167" s="1"/>
      <c r="H167" s="2"/>
      <c r="I167" s="2"/>
      <c r="J167" s="20" cm="1">
        <f t="array" ref="J167:J205">+'GHG conversion factor'!D120:D158</f>
        <v>11.5</v>
      </c>
      <c r="K167" s="25">
        <f>D167*G167</f>
        <v>0</v>
      </c>
    </row>
    <row r="168" spans="1:11">
      <c r="A168" s="1"/>
      <c r="B168" s="225" t="s">
        <v>473</v>
      </c>
      <c r="C168" s="3" t="s">
        <v>271</v>
      </c>
      <c r="D168" s="1"/>
      <c r="E168" s="2"/>
      <c r="F168" s="2"/>
      <c r="G168" s="1"/>
      <c r="H168" s="2"/>
      <c r="I168" s="2"/>
      <c r="J168" s="20">
        <v>10.4</v>
      </c>
      <c r="K168" s="25">
        <f>D168*G168</f>
        <v>0</v>
      </c>
    </row>
    <row r="169" spans="1:11">
      <c r="A169" s="1"/>
      <c r="B169" s="225" t="s">
        <v>473</v>
      </c>
      <c r="C169" s="230" t="s">
        <v>272</v>
      </c>
      <c r="D169" s="1"/>
      <c r="E169" s="2"/>
      <c r="F169" s="2"/>
      <c r="G169" s="1"/>
      <c r="H169" s="2"/>
      <c r="I169" s="2"/>
      <c r="J169" s="20">
        <v>35</v>
      </c>
      <c r="K169" s="25">
        <f t="shared" ref="K169:K205" si="11">D169*G169</f>
        <v>0</v>
      </c>
    </row>
    <row r="170" spans="1:11">
      <c r="A170" s="1"/>
      <c r="B170" s="225" t="s">
        <v>473</v>
      </c>
      <c r="C170" s="230" t="s">
        <v>273</v>
      </c>
      <c r="D170" s="1"/>
      <c r="E170" s="2"/>
      <c r="F170" s="2"/>
      <c r="G170" s="1"/>
      <c r="H170" s="2"/>
      <c r="I170" s="2"/>
      <c r="J170" s="20">
        <v>12.2</v>
      </c>
      <c r="K170" s="25">
        <f t="shared" si="11"/>
        <v>0</v>
      </c>
    </row>
    <row r="171" spans="1:11">
      <c r="A171" s="61"/>
      <c r="B171" s="225" t="s">
        <v>473</v>
      </c>
      <c r="C171" s="230" t="s">
        <v>274</v>
      </c>
      <c r="D171" s="1"/>
      <c r="E171" s="2"/>
      <c r="F171" s="2"/>
      <c r="G171" s="1"/>
      <c r="H171" s="2"/>
      <c r="I171" s="2"/>
      <c r="J171" s="20">
        <v>8.6999999999999993</v>
      </c>
      <c r="K171" s="25">
        <f t="shared" si="11"/>
        <v>0</v>
      </c>
    </row>
    <row r="172" spans="1:11">
      <c r="A172" s="61"/>
      <c r="B172" s="225" t="s">
        <v>473</v>
      </c>
      <c r="C172" s="230" t="s">
        <v>276</v>
      </c>
      <c r="D172" s="1"/>
      <c r="E172" s="2"/>
      <c r="F172" s="2"/>
      <c r="G172" s="1"/>
      <c r="H172" s="2"/>
      <c r="I172" s="2"/>
      <c r="J172" s="20">
        <v>7.4</v>
      </c>
      <c r="K172" s="25">
        <f t="shared" si="11"/>
        <v>0</v>
      </c>
    </row>
    <row r="173" spans="1:11">
      <c r="A173" s="61"/>
      <c r="B173" s="225" t="s">
        <v>473</v>
      </c>
      <c r="C173" s="230" t="s">
        <v>277</v>
      </c>
      <c r="D173" s="1"/>
      <c r="E173" s="2"/>
      <c r="F173" s="2"/>
      <c r="G173" s="1"/>
      <c r="H173" s="2"/>
      <c r="I173" s="2"/>
      <c r="J173" s="20">
        <v>27.6</v>
      </c>
      <c r="K173" s="25">
        <f t="shared" si="11"/>
        <v>0</v>
      </c>
    </row>
    <row r="174" spans="1:11">
      <c r="A174" s="61"/>
      <c r="B174" s="225" t="s">
        <v>473</v>
      </c>
      <c r="C174" s="230" t="s">
        <v>278</v>
      </c>
      <c r="D174" s="1"/>
      <c r="E174" s="2"/>
      <c r="F174" s="2"/>
      <c r="G174" s="1"/>
      <c r="H174" s="2"/>
      <c r="I174" s="2"/>
      <c r="J174" s="20">
        <v>53.5</v>
      </c>
      <c r="K174" s="25">
        <f t="shared" si="11"/>
        <v>0</v>
      </c>
    </row>
    <row r="175" spans="1:11">
      <c r="A175" s="61"/>
      <c r="B175" s="225" t="s">
        <v>473</v>
      </c>
      <c r="C175" s="230" t="s">
        <v>279</v>
      </c>
      <c r="D175" s="1"/>
      <c r="E175" s="2"/>
      <c r="F175" s="2"/>
      <c r="G175" s="1"/>
      <c r="H175" s="2"/>
      <c r="I175" s="2"/>
      <c r="J175" s="20">
        <v>14.7</v>
      </c>
      <c r="K175" s="25">
        <f t="shared" si="11"/>
        <v>0</v>
      </c>
    </row>
    <row r="176" spans="1:11">
      <c r="A176" s="61"/>
      <c r="B176" s="225" t="s">
        <v>473</v>
      </c>
      <c r="C176" s="230" t="s">
        <v>280</v>
      </c>
      <c r="D176" s="1"/>
      <c r="E176" s="2"/>
      <c r="F176" s="2"/>
      <c r="G176" s="1"/>
      <c r="H176" s="2"/>
      <c r="I176" s="2"/>
      <c r="J176" s="20">
        <v>4.7</v>
      </c>
      <c r="K176" s="25">
        <f t="shared" si="11"/>
        <v>0</v>
      </c>
    </row>
    <row r="177" spans="1:11">
      <c r="A177" s="61"/>
      <c r="B177" s="225" t="s">
        <v>473</v>
      </c>
      <c r="C177" s="230" t="s">
        <v>281</v>
      </c>
      <c r="D177" s="1"/>
      <c r="E177" s="2"/>
      <c r="F177" s="2"/>
      <c r="G177" s="1"/>
      <c r="H177" s="2"/>
      <c r="I177" s="2"/>
      <c r="J177" s="20">
        <v>44.2</v>
      </c>
      <c r="K177" s="25">
        <f t="shared" si="11"/>
        <v>0</v>
      </c>
    </row>
    <row r="178" spans="1:11">
      <c r="A178" s="61"/>
      <c r="B178" s="225" t="s">
        <v>473</v>
      </c>
      <c r="C178" s="230" t="s">
        <v>282</v>
      </c>
      <c r="D178" s="1"/>
      <c r="E178" s="2"/>
      <c r="F178" s="2"/>
      <c r="G178" s="1"/>
      <c r="H178" s="2"/>
      <c r="I178" s="2"/>
      <c r="J178" s="20">
        <v>6.7</v>
      </c>
      <c r="K178" s="25">
        <f t="shared" si="11"/>
        <v>0</v>
      </c>
    </row>
    <row r="179" spans="1:11">
      <c r="A179" s="61"/>
      <c r="B179" s="225" t="s">
        <v>473</v>
      </c>
      <c r="C179" s="230" t="s">
        <v>283</v>
      </c>
      <c r="D179" s="1"/>
      <c r="E179" s="2"/>
      <c r="F179" s="2"/>
      <c r="G179" s="1"/>
      <c r="H179" s="2"/>
      <c r="I179" s="2"/>
      <c r="J179" s="20">
        <v>13.2</v>
      </c>
      <c r="K179" s="25">
        <f t="shared" si="11"/>
        <v>0</v>
      </c>
    </row>
    <row r="180" spans="1:11">
      <c r="A180" s="61"/>
      <c r="B180" s="225" t="s">
        <v>473</v>
      </c>
      <c r="C180" s="230" t="s">
        <v>284</v>
      </c>
      <c r="D180" s="1"/>
      <c r="E180" s="2"/>
      <c r="F180" s="2"/>
      <c r="G180" s="1"/>
      <c r="H180" s="2"/>
      <c r="I180" s="2"/>
      <c r="J180" s="20">
        <v>51.5</v>
      </c>
      <c r="K180" s="25">
        <f t="shared" si="11"/>
        <v>0</v>
      </c>
    </row>
    <row r="181" spans="1:11">
      <c r="A181" s="61"/>
      <c r="B181" s="225" t="s">
        <v>473</v>
      </c>
      <c r="C181" s="230" t="s">
        <v>285</v>
      </c>
      <c r="D181" s="1"/>
      <c r="E181" s="2"/>
      <c r="F181" s="2"/>
      <c r="G181" s="1"/>
      <c r="H181" s="2"/>
      <c r="I181" s="2"/>
      <c r="J181" s="20">
        <v>58.9</v>
      </c>
      <c r="K181" s="25">
        <f t="shared" si="11"/>
        <v>0</v>
      </c>
    </row>
    <row r="182" spans="1:11">
      <c r="A182" s="61"/>
      <c r="B182" s="225" t="s">
        <v>473</v>
      </c>
      <c r="C182" s="230" t="s">
        <v>286</v>
      </c>
      <c r="D182" s="1"/>
      <c r="E182" s="2"/>
      <c r="F182" s="2"/>
      <c r="G182" s="1"/>
      <c r="H182" s="2"/>
      <c r="I182" s="2"/>
      <c r="J182" s="20">
        <v>62.7</v>
      </c>
      <c r="K182" s="25">
        <f t="shared" si="11"/>
        <v>0</v>
      </c>
    </row>
    <row r="183" spans="1:11">
      <c r="A183" s="61"/>
      <c r="B183" s="225" t="s">
        <v>473</v>
      </c>
      <c r="C183" s="230" t="s">
        <v>287</v>
      </c>
      <c r="D183" s="1"/>
      <c r="E183" s="2"/>
      <c r="F183" s="2"/>
      <c r="G183" s="1"/>
      <c r="H183" s="2"/>
      <c r="I183" s="2"/>
      <c r="J183" s="20">
        <v>14.3</v>
      </c>
      <c r="K183" s="25">
        <f t="shared" si="11"/>
        <v>0</v>
      </c>
    </row>
    <row r="184" spans="1:11">
      <c r="A184" s="61"/>
      <c r="B184" s="225" t="s">
        <v>473</v>
      </c>
      <c r="C184" s="230" t="s">
        <v>288</v>
      </c>
      <c r="D184" s="1"/>
      <c r="E184" s="2"/>
      <c r="F184" s="2"/>
      <c r="G184" s="1"/>
      <c r="H184" s="2"/>
      <c r="I184" s="2"/>
      <c r="J184" s="20">
        <v>39</v>
      </c>
      <c r="K184" s="25">
        <f t="shared" si="11"/>
        <v>0</v>
      </c>
    </row>
    <row r="185" spans="1:11">
      <c r="A185" s="61"/>
      <c r="B185" s="225" t="s">
        <v>473</v>
      </c>
      <c r="C185" s="230" t="s">
        <v>289</v>
      </c>
      <c r="D185" s="1"/>
      <c r="E185" s="2"/>
      <c r="F185" s="2"/>
      <c r="G185" s="1"/>
      <c r="H185" s="2"/>
      <c r="I185" s="2"/>
      <c r="J185" s="20">
        <v>68.900000000000006</v>
      </c>
      <c r="K185" s="25">
        <f t="shared" si="11"/>
        <v>0</v>
      </c>
    </row>
    <row r="186" spans="1:11">
      <c r="A186" s="61"/>
      <c r="B186" s="225" t="s">
        <v>473</v>
      </c>
      <c r="C186" s="230" t="s">
        <v>290</v>
      </c>
      <c r="D186" s="1"/>
      <c r="E186" s="2"/>
      <c r="F186" s="2"/>
      <c r="G186" s="1"/>
      <c r="H186" s="2"/>
      <c r="I186" s="2"/>
      <c r="J186" s="20">
        <v>55.8</v>
      </c>
      <c r="K186" s="25">
        <f t="shared" si="11"/>
        <v>0</v>
      </c>
    </row>
    <row r="187" spans="1:11">
      <c r="A187" s="61"/>
      <c r="B187" s="225" t="s">
        <v>473</v>
      </c>
      <c r="C187" s="230" t="s">
        <v>291</v>
      </c>
      <c r="D187" s="1"/>
      <c r="E187" s="2"/>
      <c r="F187" s="2"/>
      <c r="G187" s="1"/>
      <c r="H187" s="2"/>
      <c r="I187" s="2"/>
      <c r="J187" s="20">
        <v>61.5</v>
      </c>
      <c r="K187" s="25">
        <f t="shared" si="11"/>
        <v>0</v>
      </c>
    </row>
    <row r="188" spans="1:11">
      <c r="A188" s="61"/>
      <c r="B188" s="225" t="s">
        <v>473</v>
      </c>
      <c r="C188" s="230" t="s">
        <v>292</v>
      </c>
      <c r="D188" s="1"/>
      <c r="E188" s="2"/>
      <c r="F188" s="2"/>
      <c r="G188" s="1"/>
      <c r="H188" s="2"/>
      <c r="I188" s="2"/>
      <c r="J188" s="20">
        <v>152.19999999999999</v>
      </c>
      <c r="K188" s="25">
        <f t="shared" si="11"/>
        <v>0</v>
      </c>
    </row>
    <row r="189" spans="1:11">
      <c r="A189" s="61"/>
      <c r="B189" s="225" t="s">
        <v>473</v>
      </c>
      <c r="C189" s="230" t="s">
        <v>293</v>
      </c>
      <c r="D189" s="1"/>
      <c r="E189" s="2"/>
      <c r="F189" s="2"/>
      <c r="G189" s="1"/>
      <c r="H189" s="2"/>
      <c r="I189" s="2"/>
      <c r="J189" s="20">
        <v>19.3</v>
      </c>
      <c r="K189" s="25">
        <f t="shared" si="11"/>
        <v>0</v>
      </c>
    </row>
    <row r="190" spans="1:11">
      <c r="A190" s="61"/>
      <c r="B190" s="225" t="s">
        <v>473</v>
      </c>
      <c r="C190" s="230" t="s">
        <v>294</v>
      </c>
      <c r="D190" s="1"/>
      <c r="E190" s="2"/>
      <c r="F190" s="2"/>
      <c r="G190" s="1"/>
      <c r="H190" s="2"/>
      <c r="I190" s="2"/>
      <c r="J190" s="20">
        <v>14.8</v>
      </c>
      <c r="K190" s="25">
        <f t="shared" si="11"/>
        <v>0</v>
      </c>
    </row>
    <row r="191" spans="1:11">
      <c r="A191" s="61"/>
      <c r="B191" s="225" t="s">
        <v>473</v>
      </c>
      <c r="C191" s="230" t="s">
        <v>295</v>
      </c>
      <c r="D191" s="1"/>
      <c r="E191" s="2"/>
      <c r="F191" s="2"/>
      <c r="G191" s="1"/>
      <c r="H191" s="2"/>
      <c r="I191" s="2"/>
      <c r="J191" s="20">
        <v>90.3</v>
      </c>
      <c r="K191" s="25">
        <f t="shared" si="11"/>
        <v>0</v>
      </c>
    </row>
    <row r="192" spans="1:11">
      <c r="A192" s="61"/>
      <c r="B192" s="225" t="s">
        <v>473</v>
      </c>
      <c r="C192" s="230" t="s">
        <v>296</v>
      </c>
      <c r="D192" s="1"/>
      <c r="E192" s="2"/>
      <c r="F192" s="2"/>
      <c r="G192" s="1"/>
      <c r="H192" s="2"/>
      <c r="I192" s="2"/>
      <c r="J192" s="20">
        <v>54.3</v>
      </c>
      <c r="K192" s="25">
        <f t="shared" si="11"/>
        <v>0</v>
      </c>
    </row>
    <row r="193" spans="1:11">
      <c r="A193" s="61"/>
      <c r="B193" s="225" t="s">
        <v>473</v>
      </c>
      <c r="C193" s="230" t="s">
        <v>297</v>
      </c>
      <c r="D193" s="1"/>
      <c r="E193" s="2"/>
      <c r="F193" s="2"/>
      <c r="G193" s="1"/>
      <c r="H193" s="2"/>
      <c r="I193" s="2"/>
      <c r="J193" s="20">
        <v>19</v>
      </c>
      <c r="K193" s="25">
        <f t="shared" si="11"/>
        <v>0</v>
      </c>
    </row>
    <row r="194" spans="1:11">
      <c r="A194" s="61"/>
      <c r="B194" s="225" t="s">
        <v>473</v>
      </c>
      <c r="C194" s="230" t="s">
        <v>298</v>
      </c>
      <c r="D194" s="1"/>
      <c r="E194" s="2"/>
      <c r="F194" s="2"/>
      <c r="G194" s="1"/>
      <c r="H194" s="2"/>
      <c r="I194" s="2"/>
      <c r="J194" s="20">
        <v>86.2</v>
      </c>
      <c r="K194" s="25">
        <f t="shared" si="11"/>
        <v>0</v>
      </c>
    </row>
    <row r="195" spans="1:11">
      <c r="A195" s="61"/>
      <c r="B195" s="225" t="s">
        <v>473</v>
      </c>
      <c r="C195" s="230" t="s">
        <v>299</v>
      </c>
      <c r="D195" s="1"/>
      <c r="E195" s="2"/>
      <c r="F195" s="2"/>
      <c r="G195" s="1"/>
      <c r="H195" s="2"/>
      <c r="I195" s="2"/>
      <c r="J195" s="20">
        <v>24.2</v>
      </c>
      <c r="K195" s="25">
        <f t="shared" si="11"/>
        <v>0</v>
      </c>
    </row>
    <row r="196" spans="1:11">
      <c r="A196" s="61"/>
      <c r="B196" s="225" t="s">
        <v>473</v>
      </c>
      <c r="C196" s="230" t="s">
        <v>300</v>
      </c>
      <c r="D196" s="1"/>
      <c r="E196" s="2"/>
      <c r="F196" s="2"/>
      <c r="G196" s="1"/>
      <c r="H196" s="2"/>
      <c r="I196" s="2"/>
      <c r="J196" s="20">
        <v>106.4</v>
      </c>
      <c r="K196" s="25">
        <f t="shared" si="11"/>
        <v>0</v>
      </c>
    </row>
    <row r="197" spans="1:11">
      <c r="A197" s="61"/>
      <c r="B197" s="225" t="s">
        <v>473</v>
      </c>
      <c r="C197" s="230" t="s">
        <v>301</v>
      </c>
      <c r="D197" s="1"/>
      <c r="E197" s="2"/>
      <c r="F197" s="2"/>
      <c r="G197" s="1"/>
      <c r="H197" s="2"/>
      <c r="I197" s="2"/>
      <c r="J197" s="20">
        <v>24.5</v>
      </c>
      <c r="K197" s="25">
        <f t="shared" si="11"/>
        <v>0</v>
      </c>
    </row>
    <row r="198" spans="1:11">
      <c r="A198" s="61"/>
      <c r="B198" s="225" t="s">
        <v>473</v>
      </c>
      <c r="C198" s="230" t="s">
        <v>302</v>
      </c>
      <c r="D198" s="1"/>
      <c r="E198" s="2"/>
      <c r="F198" s="2"/>
      <c r="G198" s="1"/>
      <c r="H198" s="2"/>
      <c r="I198" s="2"/>
      <c r="J198" s="20">
        <v>51.4</v>
      </c>
      <c r="K198" s="25">
        <f t="shared" si="11"/>
        <v>0</v>
      </c>
    </row>
    <row r="199" spans="1:11">
      <c r="A199" s="61"/>
      <c r="B199" s="225" t="s">
        <v>473</v>
      </c>
      <c r="C199" s="230" t="s">
        <v>303</v>
      </c>
      <c r="D199" s="1"/>
      <c r="E199" s="2"/>
      <c r="F199" s="2"/>
      <c r="G199" s="1"/>
      <c r="H199" s="2"/>
      <c r="I199" s="2"/>
      <c r="J199" s="20">
        <v>7</v>
      </c>
      <c r="K199" s="25">
        <f t="shared" si="11"/>
        <v>0</v>
      </c>
    </row>
    <row r="200" spans="1:11">
      <c r="A200" s="61"/>
      <c r="B200" s="225" t="s">
        <v>473</v>
      </c>
      <c r="C200" s="230" t="s">
        <v>304</v>
      </c>
      <c r="D200" s="1"/>
      <c r="E200" s="2"/>
      <c r="F200" s="2"/>
      <c r="G200" s="1"/>
      <c r="H200" s="2"/>
      <c r="I200" s="2"/>
      <c r="J200" s="20">
        <v>6.6</v>
      </c>
      <c r="K200" s="25">
        <f t="shared" si="11"/>
        <v>0</v>
      </c>
    </row>
    <row r="201" spans="1:11">
      <c r="A201" s="61"/>
      <c r="B201" s="225" t="s">
        <v>473</v>
      </c>
      <c r="C201" s="230" t="s">
        <v>305</v>
      </c>
      <c r="D201" s="1"/>
      <c r="E201" s="2"/>
      <c r="F201" s="2"/>
      <c r="G201" s="1"/>
      <c r="H201" s="2"/>
      <c r="I201" s="2"/>
      <c r="J201" s="20">
        <v>43.4</v>
      </c>
      <c r="K201" s="25">
        <f t="shared" si="11"/>
        <v>0</v>
      </c>
    </row>
    <row r="202" spans="1:11">
      <c r="A202" s="61"/>
      <c r="B202" s="225" t="s">
        <v>473</v>
      </c>
      <c r="C202" s="230" t="s">
        <v>306</v>
      </c>
      <c r="D202" s="1"/>
      <c r="E202" s="2"/>
      <c r="F202" s="2"/>
      <c r="G202" s="1"/>
      <c r="H202" s="2"/>
      <c r="I202" s="2"/>
      <c r="J202" s="20">
        <v>32.1</v>
      </c>
      <c r="K202" s="25">
        <f t="shared" si="11"/>
        <v>0</v>
      </c>
    </row>
    <row r="203" spans="1:11">
      <c r="A203" s="61"/>
      <c r="B203" s="225" t="s">
        <v>473</v>
      </c>
      <c r="C203" s="230" t="s">
        <v>307</v>
      </c>
      <c r="D203" s="1"/>
      <c r="E203" s="2"/>
      <c r="F203" s="2"/>
      <c r="G203" s="1"/>
      <c r="H203" s="2"/>
      <c r="I203" s="2"/>
      <c r="J203" s="20">
        <v>63.8</v>
      </c>
      <c r="K203" s="25">
        <f t="shared" si="11"/>
        <v>0</v>
      </c>
    </row>
    <row r="204" spans="1:11">
      <c r="A204" s="61"/>
      <c r="B204" s="225" t="s">
        <v>473</v>
      </c>
      <c r="C204" s="230" t="s">
        <v>308</v>
      </c>
      <c r="D204" s="1"/>
      <c r="E204" s="2"/>
      <c r="F204" s="2"/>
      <c r="G204" s="1"/>
      <c r="H204" s="2"/>
      <c r="I204" s="2"/>
      <c r="J204" s="20">
        <v>16.100000000000001</v>
      </c>
      <c r="K204" s="25">
        <f t="shared" si="11"/>
        <v>0</v>
      </c>
    </row>
    <row r="205" spans="1:11">
      <c r="A205" s="61"/>
      <c r="B205" s="225" t="s">
        <v>473</v>
      </c>
      <c r="C205" s="230" t="s">
        <v>309</v>
      </c>
      <c r="D205" s="1"/>
      <c r="E205" s="2"/>
      <c r="F205" s="2"/>
      <c r="G205" s="1"/>
      <c r="H205" s="2"/>
      <c r="I205" s="2"/>
      <c r="J205" s="20">
        <v>38.5</v>
      </c>
      <c r="K205" s="25">
        <f t="shared" si="11"/>
        <v>0</v>
      </c>
    </row>
  </sheetData>
  <mergeCells count="6">
    <mergeCell ref="A163:J163"/>
    <mergeCell ref="A73:J73"/>
    <mergeCell ref="A12:J12"/>
    <mergeCell ref="A26:J26"/>
    <mergeCell ref="A112:J112"/>
    <mergeCell ref="A148:J148"/>
  </mergeCells>
  <phoneticPr fontId="5" type="noConversion"/>
  <conditionalFormatting sqref="J78">
    <cfRule type="expression" dxfId="46" priority="23" stopIfTrue="1">
      <formula>J78=""</formula>
    </cfRule>
  </conditionalFormatting>
  <conditionalFormatting sqref="J83">
    <cfRule type="expression" dxfId="45" priority="22" stopIfTrue="1">
      <formula>J83=""</formula>
    </cfRule>
  </conditionalFormatting>
  <conditionalFormatting sqref="J84">
    <cfRule type="expression" dxfId="44" priority="21" stopIfTrue="1">
      <formula>J84=""</formula>
    </cfRule>
  </conditionalFormatting>
  <conditionalFormatting sqref="J85">
    <cfRule type="expression" dxfId="43" priority="20" stopIfTrue="1">
      <formula>J85=""</formula>
    </cfRule>
  </conditionalFormatting>
  <conditionalFormatting sqref="J86">
    <cfRule type="expression" dxfId="42" priority="19" stopIfTrue="1">
      <formula>J86=""</formula>
    </cfRule>
  </conditionalFormatting>
  <conditionalFormatting sqref="J87">
    <cfRule type="expression" dxfId="41" priority="18" stopIfTrue="1">
      <formula>J87=""</formula>
    </cfRule>
  </conditionalFormatting>
  <conditionalFormatting sqref="J88">
    <cfRule type="expression" dxfId="40" priority="17" stopIfTrue="1">
      <formula>J88=""</formula>
    </cfRule>
  </conditionalFormatting>
  <conditionalFormatting sqref="J89">
    <cfRule type="expression" dxfId="39" priority="16" stopIfTrue="1">
      <formula>J89=""</formula>
    </cfRule>
  </conditionalFormatting>
  <conditionalFormatting sqref="J90">
    <cfRule type="expression" dxfId="38" priority="15" stopIfTrue="1">
      <formula>J90=""</formula>
    </cfRule>
  </conditionalFormatting>
  <conditionalFormatting sqref="J91">
    <cfRule type="expression" dxfId="37" priority="14" stopIfTrue="1">
      <formula>J91=""</formula>
    </cfRule>
  </conditionalFormatting>
  <conditionalFormatting sqref="J92">
    <cfRule type="expression" dxfId="36" priority="13" stopIfTrue="1">
      <formula>J92=""</formula>
    </cfRule>
  </conditionalFormatting>
  <conditionalFormatting sqref="J93">
    <cfRule type="expression" dxfId="35" priority="12" stopIfTrue="1">
      <formula>J93=""</formula>
    </cfRule>
  </conditionalFormatting>
  <conditionalFormatting sqref="J94">
    <cfRule type="expression" dxfId="34" priority="11" stopIfTrue="1">
      <formula>J94=""</formula>
    </cfRule>
  </conditionalFormatting>
  <conditionalFormatting sqref="J95">
    <cfRule type="expression" dxfId="33" priority="10" stopIfTrue="1">
      <formula>J95=""</formula>
    </cfRule>
  </conditionalFormatting>
  <conditionalFormatting sqref="J96">
    <cfRule type="expression" dxfId="32" priority="9" stopIfTrue="1">
      <formula>J96=""</formula>
    </cfRule>
  </conditionalFormatting>
  <conditionalFormatting sqref="J97">
    <cfRule type="expression" dxfId="31" priority="8" stopIfTrue="1">
      <formula>J97=""</formula>
    </cfRule>
  </conditionalFormatting>
  <conditionalFormatting sqref="J105">
    <cfRule type="expression" dxfId="30" priority="5" stopIfTrue="1">
      <formula>J105=""</formula>
    </cfRule>
  </conditionalFormatting>
  <conditionalFormatting sqref="J108">
    <cfRule type="expression" dxfId="29" priority="4" stopIfTrue="1">
      <formula>J108=""</formula>
    </cfRule>
  </conditionalFormatting>
  <conditionalFormatting sqref="J109">
    <cfRule type="expression" dxfId="28" priority="3" stopIfTrue="1">
      <formula>J109=""</formula>
    </cfRule>
  </conditionalFormatting>
  <conditionalFormatting sqref="J111">
    <cfRule type="expression" dxfId="27" priority="2" stopIfTrue="1">
      <formula>J111=""</formula>
    </cfRule>
  </conditionalFormatting>
  <conditionalFormatting sqref="J106">
    <cfRule type="expression" dxfId="26" priority="1" stopIfTrue="1">
      <formula>J106=""</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97ACC-6E42-4A7F-8C2C-1414EB9C070E}">
  <sheetPr codeName="Sheet3"/>
  <dimension ref="A1:O158"/>
  <sheetViews>
    <sheetView workbookViewId="0">
      <selection activeCell="D14" sqref="D14"/>
    </sheetView>
  </sheetViews>
  <sheetFormatPr defaultColWidth="8.77734375" defaultRowHeight="14.4"/>
  <cols>
    <col min="1" max="1" width="8.77734375" style="307"/>
    <col min="2" max="2" width="15.6640625" style="307" customWidth="1"/>
    <col min="3" max="3" width="40.6640625" style="307" customWidth="1"/>
    <col min="4" max="4" width="13.6640625" style="422" customWidth="1"/>
    <col min="5" max="5" width="8.77734375" style="307"/>
    <col min="6" max="6" width="17.6640625" style="307" customWidth="1"/>
    <col min="7" max="7" width="13.6640625" style="307" customWidth="1"/>
    <col min="8" max="16384" width="8.77734375" style="307"/>
  </cols>
  <sheetData>
    <row r="1" spans="2:15" ht="43.2" customHeight="1">
      <c r="B1" s="322" t="s">
        <v>314</v>
      </c>
      <c r="C1" s="4" t="s">
        <v>332</v>
      </c>
      <c r="D1" s="395" t="s">
        <v>474</v>
      </c>
      <c r="H1" s="319"/>
      <c r="I1" s="319"/>
      <c r="J1" s="319"/>
      <c r="K1" s="319"/>
      <c r="L1" s="319"/>
      <c r="M1" s="319"/>
      <c r="N1" s="319"/>
      <c r="O1" s="319"/>
    </row>
    <row r="2" spans="2:15">
      <c r="B2" s="115" t="s">
        <v>44</v>
      </c>
      <c r="C2" s="321" t="s">
        <v>475</v>
      </c>
      <c r="D2" s="396">
        <v>0.20705000000000001</v>
      </c>
      <c r="F2" s="318" t="s">
        <v>476</v>
      </c>
      <c r="H2" s="319"/>
      <c r="I2" s="319"/>
      <c r="J2" s="319"/>
      <c r="K2" s="319"/>
      <c r="L2" s="319"/>
      <c r="M2" s="319"/>
      <c r="N2" s="319"/>
      <c r="O2" s="319"/>
    </row>
    <row r="3" spans="2:15">
      <c r="B3" s="26" t="s">
        <v>107</v>
      </c>
      <c r="C3" s="321" t="s">
        <v>328</v>
      </c>
      <c r="D3" s="397">
        <v>0.15311</v>
      </c>
      <c r="F3" s="253" t="s">
        <v>23</v>
      </c>
      <c r="H3" s="319"/>
      <c r="I3" s="319"/>
      <c r="J3" s="319"/>
      <c r="K3" s="319"/>
      <c r="L3" s="319"/>
      <c r="M3" s="319"/>
      <c r="N3" s="319"/>
      <c r="O3" s="319"/>
    </row>
    <row r="4" spans="2:15">
      <c r="D4" s="398"/>
      <c r="F4" s="323" t="s">
        <v>477</v>
      </c>
      <c r="H4" s="319"/>
      <c r="I4" s="319"/>
      <c r="J4" s="319"/>
      <c r="K4" s="319"/>
      <c r="L4" s="319"/>
      <c r="M4" s="319"/>
      <c r="N4" s="319"/>
      <c r="O4" s="319"/>
    </row>
    <row r="5" spans="2:15" ht="43.2">
      <c r="B5" s="4" t="s">
        <v>314</v>
      </c>
      <c r="C5" s="4" t="s">
        <v>332</v>
      </c>
      <c r="D5" s="399" t="s">
        <v>474</v>
      </c>
      <c r="F5" s="495" t="s">
        <v>478</v>
      </c>
      <c r="G5" s="495"/>
      <c r="H5" s="495"/>
      <c r="I5" s="495"/>
      <c r="J5" s="495"/>
      <c r="K5" s="495"/>
      <c r="L5" s="495"/>
      <c r="M5" s="495"/>
      <c r="N5" s="495"/>
    </row>
    <row r="6" spans="2:15">
      <c r="B6" s="308" t="s">
        <v>115</v>
      </c>
      <c r="C6" s="309" t="s">
        <v>333</v>
      </c>
      <c r="D6" s="400">
        <v>3815.7847299999999</v>
      </c>
      <c r="G6" s="164"/>
      <c r="H6" s="320"/>
    </row>
    <row r="7" spans="2:15">
      <c r="B7" s="308" t="s">
        <v>115</v>
      </c>
      <c r="C7" s="309" t="s">
        <v>336</v>
      </c>
      <c r="D7" s="400">
        <v>1630.7866100000001</v>
      </c>
      <c r="G7" s="164"/>
      <c r="H7" s="320"/>
    </row>
    <row r="8" spans="2:15" ht="27.6">
      <c r="B8" s="308" t="s">
        <v>115</v>
      </c>
      <c r="C8" s="309" t="s">
        <v>337</v>
      </c>
      <c r="D8" s="400">
        <v>9106.9185099999995</v>
      </c>
      <c r="G8" s="164"/>
      <c r="H8" s="320"/>
    </row>
    <row r="9" spans="2:15" ht="27.6">
      <c r="B9" s="308" t="s">
        <v>115</v>
      </c>
      <c r="C9" s="309" t="s">
        <v>338</v>
      </c>
      <c r="D9" s="401">
        <v>990.47810000000004</v>
      </c>
      <c r="F9" s="327"/>
    </row>
    <row r="10" spans="2:15">
      <c r="B10" s="308" t="s">
        <v>115</v>
      </c>
      <c r="C10" s="309" t="s">
        <v>339</v>
      </c>
      <c r="D10" s="401">
        <v>3464.56448</v>
      </c>
    </row>
    <row r="11" spans="2:15">
      <c r="B11" s="308" t="s">
        <v>115</v>
      </c>
      <c r="C11" s="309" t="s">
        <v>340</v>
      </c>
      <c r="D11" s="402">
        <v>1620.2760599999999</v>
      </c>
    </row>
    <row r="12" spans="2:15">
      <c r="B12" s="308" t="s">
        <v>115</v>
      </c>
      <c r="C12" s="309" t="s">
        <v>186</v>
      </c>
      <c r="D12" s="403">
        <v>0.98485</v>
      </c>
    </row>
    <row r="13" spans="2:15">
      <c r="B13" s="308" t="s">
        <v>115</v>
      </c>
      <c r="C13" s="309" t="s">
        <v>341</v>
      </c>
      <c r="D13" s="403">
        <v>120.05</v>
      </c>
    </row>
    <row r="14" spans="2:15">
      <c r="B14" s="308" t="s">
        <v>115</v>
      </c>
      <c r="C14" s="309" t="s">
        <v>342</v>
      </c>
      <c r="D14" s="403">
        <v>32.17</v>
      </c>
    </row>
    <row r="15" spans="2:15">
      <c r="B15" s="308" t="s">
        <v>115</v>
      </c>
      <c r="C15" s="309" t="s">
        <v>343</v>
      </c>
      <c r="D15" s="403">
        <v>3335.5718999999999</v>
      </c>
    </row>
    <row r="16" spans="2:15">
      <c r="B16" s="308" t="s">
        <v>115</v>
      </c>
      <c r="C16" s="309" t="s">
        <v>344</v>
      </c>
      <c r="D16" s="403">
        <v>731.21789000000001</v>
      </c>
    </row>
    <row r="17" spans="1:11">
      <c r="B17" s="308" t="s">
        <v>115</v>
      </c>
      <c r="C17" s="309" t="s">
        <v>345</v>
      </c>
      <c r="D17" s="400">
        <v>269.50416000000001</v>
      </c>
    </row>
    <row r="18" spans="1:11">
      <c r="B18" s="308" t="s">
        <v>115</v>
      </c>
      <c r="C18" s="309" t="s">
        <v>346</v>
      </c>
      <c r="D18" s="404">
        <v>38.542879999999997</v>
      </c>
      <c r="F18" s="310" t="s">
        <v>479</v>
      </c>
    </row>
    <row r="19" spans="1:11">
      <c r="B19" s="308" t="s">
        <v>115</v>
      </c>
      <c r="C19" s="309" t="s">
        <v>347</v>
      </c>
      <c r="D19" s="400">
        <v>112.96968372342414</v>
      </c>
      <c r="F19" s="424" t="s">
        <v>480</v>
      </c>
    </row>
    <row r="20" spans="1:11">
      <c r="B20" s="308" t="s">
        <v>115</v>
      </c>
      <c r="C20" s="309" t="s">
        <v>348</v>
      </c>
      <c r="D20" s="400">
        <v>1402.76667</v>
      </c>
      <c r="F20" s="324" t="s">
        <v>481</v>
      </c>
    </row>
    <row r="21" spans="1:11">
      <c r="B21" s="308" t="s">
        <v>115</v>
      </c>
      <c r="C21" s="309" t="s">
        <v>349</v>
      </c>
      <c r="D21" s="400">
        <v>823.18953999999997</v>
      </c>
      <c r="F21" s="496" t="s">
        <v>482</v>
      </c>
      <c r="G21" s="496"/>
      <c r="H21" s="496"/>
      <c r="I21" s="496"/>
      <c r="J21" s="496"/>
      <c r="K21" s="496"/>
    </row>
    <row r="22" spans="1:11">
      <c r="B22" s="311" t="s">
        <v>115</v>
      </c>
      <c r="C22" s="312" t="s">
        <v>483</v>
      </c>
      <c r="D22" s="405">
        <v>22310</v>
      </c>
      <c r="F22" s="496"/>
      <c r="G22" s="496"/>
      <c r="H22" s="496"/>
      <c r="I22" s="496"/>
      <c r="J22" s="496"/>
      <c r="K22" s="496"/>
    </row>
    <row r="23" spans="1:11">
      <c r="B23" s="308" t="s">
        <v>115</v>
      </c>
      <c r="C23" s="309" t="s">
        <v>484</v>
      </c>
      <c r="D23" s="400">
        <v>152.25</v>
      </c>
      <c r="F23" s="313" t="s">
        <v>168</v>
      </c>
      <c r="G23" s="423">
        <f>13.89/2</f>
        <v>6.9450000000000003</v>
      </c>
    </row>
    <row r="24" spans="1:11">
      <c r="B24" s="308" t="s">
        <v>115</v>
      </c>
      <c r="C24" s="309" t="s">
        <v>352</v>
      </c>
      <c r="D24" s="404">
        <v>3701.4035899999999</v>
      </c>
      <c r="F24" s="313" t="s">
        <v>169</v>
      </c>
      <c r="G24" s="423">
        <f>11.53/2</f>
        <v>5.7649999999999997</v>
      </c>
    </row>
    <row r="25" spans="1:11">
      <c r="A25"/>
      <c r="B25" s="311" t="s">
        <v>115</v>
      </c>
      <c r="C25" s="312" t="s">
        <v>353</v>
      </c>
      <c r="D25" s="406">
        <v>3164.7804900000001</v>
      </c>
      <c r="E25"/>
      <c r="F25" s="313" t="s">
        <v>170</v>
      </c>
      <c r="G25" s="423">
        <f>8.3/2</f>
        <v>4.1500000000000004</v>
      </c>
    </row>
    <row r="26" spans="1:11">
      <c r="B26" s="308" t="s">
        <v>115</v>
      </c>
      <c r="C26" s="309" t="s">
        <v>354</v>
      </c>
      <c r="D26" s="407">
        <v>1566.3863799999999</v>
      </c>
      <c r="F26" s="313" t="s">
        <v>171</v>
      </c>
      <c r="G26" s="423">
        <f>7.63/2</f>
        <v>3.8149999999999999</v>
      </c>
    </row>
    <row r="27" spans="1:11">
      <c r="B27" s="308" t="s">
        <v>115</v>
      </c>
      <c r="C27" s="309" t="s">
        <v>355</v>
      </c>
      <c r="D27" s="407">
        <v>2910.4652900000001</v>
      </c>
      <c r="F27" s="313" t="s">
        <v>172</v>
      </c>
      <c r="G27" s="423">
        <f>7.31/2</f>
        <v>3.6549999999999998</v>
      </c>
    </row>
    <row r="28" spans="1:11">
      <c r="B28" s="308" t="s">
        <v>115</v>
      </c>
      <c r="C28" s="309" t="s">
        <v>356</v>
      </c>
      <c r="D28" s="407">
        <v>1094.58257</v>
      </c>
      <c r="F28" s="313" t="s">
        <v>173</v>
      </c>
      <c r="G28" s="423">
        <f>6.4/2</f>
        <v>3.2</v>
      </c>
    </row>
    <row r="29" spans="1:11">
      <c r="B29" s="308" t="s">
        <v>115</v>
      </c>
      <c r="C29" s="309" t="s">
        <v>371</v>
      </c>
      <c r="D29" s="407">
        <v>1193.96586</v>
      </c>
      <c r="F29" s="313" t="s">
        <v>174</v>
      </c>
      <c r="G29" s="423">
        <f>4.5/2</f>
        <v>2.25</v>
      </c>
    </row>
    <row r="30" spans="1:11">
      <c r="B30" s="308" t="s">
        <v>115</v>
      </c>
      <c r="C30" s="309" t="s">
        <v>372</v>
      </c>
      <c r="D30" s="407">
        <v>1092.3548599999999</v>
      </c>
    </row>
    <row r="31" spans="1:11">
      <c r="B31" s="308" t="s">
        <v>115</v>
      </c>
      <c r="C31" s="309" t="s">
        <v>375</v>
      </c>
      <c r="D31" s="407">
        <v>1339.31834</v>
      </c>
    </row>
    <row r="32" spans="1:11">
      <c r="B32" s="308" t="s">
        <v>115</v>
      </c>
      <c r="C32" s="309" t="s">
        <v>376</v>
      </c>
      <c r="D32" s="407">
        <v>1044.31834</v>
      </c>
    </row>
    <row r="33" spans="2:4">
      <c r="D33" s="408"/>
    </row>
    <row r="34" spans="2:4" ht="43.2">
      <c r="B34" s="4" t="s">
        <v>314</v>
      </c>
      <c r="C34" s="4" t="s">
        <v>332</v>
      </c>
      <c r="D34" s="409" t="s">
        <v>474</v>
      </c>
    </row>
    <row r="35" spans="2:4">
      <c r="B35" s="314" t="s">
        <v>183</v>
      </c>
      <c r="C35" s="315" t="s">
        <v>485</v>
      </c>
      <c r="D35" s="410">
        <v>0.18573999999999999</v>
      </c>
    </row>
    <row r="36" spans="2:4">
      <c r="B36" s="308" t="s">
        <v>183</v>
      </c>
      <c r="C36" s="309" t="s">
        <v>382</v>
      </c>
      <c r="D36" s="411">
        <v>0.98485</v>
      </c>
    </row>
    <row r="37" spans="2:4">
      <c r="B37" s="308" t="s">
        <v>183</v>
      </c>
      <c r="C37" s="309" t="s">
        <v>383</v>
      </c>
      <c r="D37" s="412">
        <v>19.51726</v>
      </c>
    </row>
    <row r="38" spans="2:4">
      <c r="B38" s="308" t="s">
        <v>183</v>
      </c>
      <c r="C38" s="309" t="s">
        <v>384</v>
      </c>
      <c r="D38" s="412">
        <v>6.4106100000000001</v>
      </c>
    </row>
    <row r="39" spans="2:4">
      <c r="B39" s="308" t="s">
        <v>183</v>
      </c>
      <c r="C39" s="309" t="s">
        <v>385</v>
      </c>
      <c r="D39" s="412">
        <v>71.95</v>
      </c>
    </row>
    <row r="40" spans="2:4">
      <c r="B40" s="308" t="s">
        <v>183</v>
      </c>
      <c r="C40" s="309" t="s">
        <v>386</v>
      </c>
      <c r="D40" s="413">
        <v>6.4106100000000001</v>
      </c>
    </row>
    <row r="41" spans="2:4">
      <c r="B41" s="308" t="s">
        <v>183</v>
      </c>
      <c r="C41" s="309" t="s">
        <v>387</v>
      </c>
      <c r="D41" s="411">
        <v>6.4106100000000001</v>
      </c>
    </row>
    <row r="42" spans="2:4">
      <c r="B42" s="308" t="s">
        <v>183</v>
      </c>
      <c r="C42" s="309" t="s">
        <v>388</v>
      </c>
      <c r="D42" s="411">
        <v>6.4106100000000001</v>
      </c>
    </row>
    <row r="43" spans="2:4">
      <c r="B43" s="308" t="s">
        <v>183</v>
      </c>
      <c r="C43" s="309" t="s">
        <v>389</v>
      </c>
      <c r="D43" s="411">
        <v>8.8838600000000003</v>
      </c>
    </row>
    <row r="44" spans="2:4">
      <c r="B44" s="308" t="s">
        <v>183</v>
      </c>
      <c r="C44" s="309" t="s">
        <v>390</v>
      </c>
      <c r="D44" s="411">
        <v>925.24423000000002</v>
      </c>
    </row>
    <row r="45" spans="2:4">
      <c r="B45" s="308" t="s">
        <v>183</v>
      </c>
      <c r="C45" s="309" t="s">
        <v>391</v>
      </c>
      <c r="D45" s="411">
        <v>6.4106100000000001</v>
      </c>
    </row>
    <row r="46" spans="2:4">
      <c r="B46" s="308" t="s">
        <v>183</v>
      </c>
      <c r="C46" s="309" t="s">
        <v>392</v>
      </c>
      <c r="D46" s="411">
        <v>6.4106100000000001</v>
      </c>
    </row>
    <row r="47" spans="2:4">
      <c r="B47" s="308" t="s">
        <v>183</v>
      </c>
      <c r="C47" s="309" t="s">
        <v>393</v>
      </c>
      <c r="D47" s="411">
        <v>8.8838600000000003</v>
      </c>
    </row>
    <row r="48" spans="2:4">
      <c r="B48" s="308" t="s">
        <v>183</v>
      </c>
      <c r="C48" s="309" t="s">
        <v>394</v>
      </c>
      <c r="D48" s="411">
        <v>1164.3901499999999</v>
      </c>
    </row>
    <row r="49" spans="2:4">
      <c r="B49" s="308" t="s">
        <v>183</v>
      </c>
      <c r="C49" s="309" t="s">
        <v>395</v>
      </c>
      <c r="D49" s="411">
        <v>6.4106100000000001</v>
      </c>
    </row>
    <row r="50" spans="2:4">
      <c r="B50" s="308" t="s">
        <v>183</v>
      </c>
      <c r="C50" s="309" t="s">
        <v>396</v>
      </c>
      <c r="D50" s="411">
        <v>6.4106100000000001</v>
      </c>
    </row>
    <row r="51" spans="2:4">
      <c r="B51" s="308" t="s">
        <v>183</v>
      </c>
      <c r="C51" s="309" t="s">
        <v>397</v>
      </c>
      <c r="D51" s="411">
        <v>6.4106100000000001</v>
      </c>
    </row>
    <row r="52" spans="2:4">
      <c r="B52" s="308" t="s">
        <v>183</v>
      </c>
      <c r="C52" s="309" t="s">
        <v>398</v>
      </c>
      <c r="D52" s="411">
        <v>8.8838600000000003</v>
      </c>
    </row>
    <row r="53" spans="2:4">
      <c r="B53" s="308" t="s">
        <v>183</v>
      </c>
      <c r="C53" s="309" t="s">
        <v>486</v>
      </c>
      <c r="D53" s="411">
        <v>6.4106100000000001</v>
      </c>
    </row>
    <row r="54" spans="2:4">
      <c r="B54" s="308" t="s">
        <v>183</v>
      </c>
      <c r="C54" s="309" t="s">
        <v>487</v>
      </c>
      <c r="D54" s="411">
        <v>6.4106100000000001</v>
      </c>
    </row>
    <row r="55" spans="2:4">
      <c r="B55" s="308" t="s">
        <v>183</v>
      </c>
      <c r="C55" s="309" t="s">
        <v>488</v>
      </c>
      <c r="D55" s="411">
        <v>496.68302999999997</v>
      </c>
    </row>
    <row r="56" spans="2:4">
      <c r="B56" s="308" t="s">
        <v>183</v>
      </c>
      <c r="C56" s="309" t="s">
        <v>402</v>
      </c>
      <c r="D56" s="411">
        <v>6.4106100000000001</v>
      </c>
    </row>
    <row r="57" spans="2:4">
      <c r="B57" s="308" t="s">
        <v>183</v>
      </c>
      <c r="C57" s="309" t="s">
        <v>403</v>
      </c>
      <c r="D57" s="411">
        <v>497.04415999999998</v>
      </c>
    </row>
    <row r="58" spans="2:4">
      <c r="B58" s="308" t="s">
        <v>183</v>
      </c>
      <c r="C58" s="309" t="s">
        <v>404</v>
      </c>
      <c r="D58" s="411">
        <v>6.4106100000000001</v>
      </c>
    </row>
    <row r="59" spans="2:4">
      <c r="B59" s="308" t="s">
        <v>183</v>
      </c>
      <c r="C59" s="309" t="s">
        <v>405</v>
      </c>
      <c r="D59" s="411">
        <v>8.8838600000000003</v>
      </c>
    </row>
    <row r="60" spans="2:4">
      <c r="B60" s="308" t="s">
        <v>183</v>
      </c>
      <c r="C60" s="309" t="s">
        <v>406</v>
      </c>
      <c r="D60" s="411">
        <v>700.20961</v>
      </c>
    </row>
    <row r="61" spans="2:4">
      <c r="B61" s="308" t="s">
        <v>183</v>
      </c>
      <c r="C61" s="309" t="s">
        <v>407</v>
      </c>
      <c r="D61" s="411">
        <v>6.4106100000000001</v>
      </c>
    </row>
    <row r="62" spans="2:4">
      <c r="B62" s="308" t="s">
        <v>183</v>
      </c>
      <c r="C62" s="309" t="s">
        <v>408</v>
      </c>
      <c r="D62" s="411">
        <v>520.33420000000001</v>
      </c>
    </row>
    <row r="63" spans="2:4" ht="27.6">
      <c r="B63" s="308" t="s">
        <v>183</v>
      </c>
      <c r="C63" s="309" t="s">
        <v>409</v>
      </c>
      <c r="D63" s="411">
        <v>6.4106100000000001</v>
      </c>
    </row>
    <row r="64" spans="2:4">
      <c r="B64" s="308" t="s">
        <v>183</v>
      </c>
      <c r="C64" s="309" t="s">
        <v>410</v>
      </c>
      <c r="D64" s="411">
        <v>8.8838600000000003</v>
      </c>
    </row>
    <row r="65" spans="2:4" ht="27.6">
      <c r="B65" s="308" t="s">
        <v>183</v>
      </c>
      <c r="C65" s="309" t="s">
        <v>411</v>
      </c>
      <c r="D65" s="412">
        <v>6.4106100000000001</v>
      </c>
    </row>
    <row r="66" spans="2:4">
      <c r="B66" s="308" t="s">
        <v>183</v>
      </c>
      <c r="C66" s="309" t="s">
        <v>412</v>
      </c>
      <c r="D66" s="411">
        <v>8.8838600000000003</v>
      </c>
    </row>
    <row r="67" spans="2:4" ht="27.6">
      <c r="B67" s="308" t="s">
        <v>183</v>
      </c>
      <c r="C67" s="309" t="s">
        <v>413</v>
      </c>
      <c r="D67" s="411">
        <v>6.4106100000000001</v>
      </c>
    </row>
    <row r="68" spans="2:4">
      <c r="B68" s="308" t="s">
        <v>183</v>
      </c>
      <c r="C68" s="309" t="s">
        <v>414</v>
      </c>
      <c r="D68" s="412">
        <v>8.8838600000000003</v>
      </c>
    </row>
    <row r="69" spans="2:4">
      <c r="B69" s="308" t="s">
        <v>183</v>
      </c>
      <c r="C69" s="309" t="s">
        <v>415</v>
      </c>
      <c r="D69" s="411">
        <v>1164.3901499999999</v>
      </c>
    </row>
    <row r="70" spans="2:4">
      <c r="B70" s="316"/>
      <c r="C70" s="317"/>
      <c r="D70" s="413"/>
    </row>
    <row r="71" spans="2:4">
      <c r="D71" s="408"/>
    </row>
    <row r="72" spans="2:4" ht="43.2">
      <c r="B72" s="4" t="s">
        <v>314</v>
      </c>
      <c r="C72" s="4" t="s">
        <v>332</v>
      </c>
      <c r="D72" s="409" t="s">
        <v>474</v>
      </c>
    </row>
    <row r="73" spans="2:4">
      <c r="B73" s="26" t="s">
        <v>417</v>
      </c>
      <c r="C73" s="26" t="s">
        <v>418</v>
      </c>
      <c r="D73" s="414">
        <v>0.27256999999999998</v>
      </c>
    </row>
    <row r="74" spans="2:4" ht="28.8">
      <c r="B74" s="26" t="s">
        <v>417</v>
      </c>
      <c r="C74" s="26" t="s">
        <v>421</v>
      </c>
      <c r="D74" s="414">
        <v>0.18592</v>
      </c>
    </row>
    <row r="75" spans="2:4" ht="28.8">
      <c r="B75" s="26" t="s">
        <v>417</v>
      </c>
      <c r="C75" s="26" t="s">
        <v>422</v>
      </c>
      <c r="D75" s="414">
        <v>0.26128000000000001</v>
      </c>
    </row>
    <row r="76" spans="2:4">
      <c r="B76" s="26" t="s">
        <v>423</v>
      </c>
      <c r="C76" s="26" t="s">
        <v>424</v>
      </c>
      <c r="D76" s="415">
        <v>1.8710000000000001E-2</v>
      </c>
    </row>
    <row r="77" spans="2:4">
      <c r="B77" s="26" t="s">
        <v>423</v>
      </c>
      <c r="C77" s="26" t="s">
        <v>425</v>
      </c>
      <c r="D77" s="416">
        <v>0.12933</v>
      </c>
    </row>
    <row r="78" spans="2:4">
      <c r="B78" s="26" t="s">
        <v>426</v>
      </c>
      <c r="C78" s="26" t="s">
        <v>427</v>
      </c>
      <c r="D78" s="411">
        <v>0.13994000000000001</v>
      </c>
    </row>
    <row r="79" spans="2:4">
      <c r="B79" s="26" t="s">
        <v>426</v>
      </c>
      <c r="C79" s="26" t="s">
        <v>429</v>
      </c>
      <c r="D79" s="411">
        <v>0.16807</v>
      </c>
    </row>
    <row r="80" spans="2:4">
      <c r="B80" s="26" t="s">
        <v>426</v>
      </c>
      <c r="C80" s="26" t="s">
        <v>430</v>
      </c>
      <c r="D80" s="411">
        <v>0.20729</v>
      </c>
    </row>
    <row r="81" spans="2:4">
      <c r="B81" s="26" t="s">
        <v>426</v>
      </c>
      <c r="C81" s="26" t="s">
        <v>431</v>
      </c>
      <c r="D81" s="416">
        <v>0.14369999999999999</v>
      </c>
    </row>
    <row r="82" spans="2:4">
      <c r="B82" s="26" t="s">
        <v>426</v>
      </c>
      <c r="C82" s="26" t="s">
        <v>432</v>
      </c>
      <c r="D82" s="416">
        <v>0.17726</v>
      </c>
    </row>
    <row r="83" spans="2:4">
      <c r="B83" s="26" t="s">
        <v>426</v>
      </c>
      <c r="C83" s="26" t="s">
        <v>433</v>
      </c>
      <c r="D83" s="416">
        <v>0.26884999999999998</v>
      </c>
    </row>
    <row r="84" spans="2:4">
      <c r="B84" s="26" t="s">
        <v>426</v>
      </c>
      <c r="C84" s="26" t="s">
        <v>434</v>
      </c>
      <c r="D84" s="417">
        <v>0.11274000000000001</v>
      </c>
    </row>
    <row r="85" spans="2:4">
      <c r="B85" s="26" t="s">
        <v>426</v>
      </c>
      <c r="C85" s="26" t="s">
        <v>435</v>
      </c>
      <c r="D85" s="418">
        <v>0.1149</v>
      </c>
    </row>
    <row r="86" spans="2:4">
      <c r="B86" s="26" t="s">
        <v>426</v>
      </c>
      <c r="C86" s="26" t="s">
        <v>436</v>
      </c>
      <c r="D86" s="418">
        <v>0.15486</v>
      </c>
    </row>
    <row r="87" spans="2:4">
      <c r="B87" s="26" t="s">
        <v>426</v>
      </c>
      <c r="C87" s="26" t="s">
        <v>437</v>
      </c>
      <c r="D87" s="417">
        <v>6.0780000000000001E-2</v>
      </c>
    </row>
    <row r="88" spans="2:4">
      <c r="B88" s="26" t="s">
        <v>426</v>
      </c>
      <c r="C88" s="26" t="s">
        <v>438</v>
      </c>
      <c r="D88" s="417">
        <v>9.3119999999999994E-2</v>
      </c>
    </row>
    <row r="89" spans="2:4">
      <c r="B89" s="26" t="s">
        <v>426</v>
      </c>
      <c r="C89" s="26" t="s">
        <v>439</v>
      </c>
      <c r="D89" s="417">
        <v>0.11923</v>
      </c>
    </row>
    <row r="90" spans="2:4">
      <c r="B90" s="26" t="s">
        <v>426</v>
      </c>
      <c r="C90" s="26" t="s">
        <v>440</v>
      </c>
      <c r="D90" s="417">
        <v>4.2840000000000003E-2</v>
      </c>
    </row>
    <row r="91" spans="2:4">
      <c r="B91" s="26" t="s">
        <v>426</v>
      </c>
      <c r="C91" s="26" t="s">
        <v>441</v>
      </c>
      <c r="D91" s="417">
        <v>4.6249999999999999E-2</v>
      </c>
    </row>
    <row r="92" spans="2:4">
      <c r="B92" s="26" t="s">
        <v>426</v>
      </c>
      <c r="C92" s="26" t="s">
        <v>442</v>
      </c>
      <c r="D92" s="417">
        <v>4.9250000000000002E-2</v>
      </c>
    </row>
    <row r="93" spans="2:4">
      <c r="B93" s="26" t="s">
        <v>426</v>
      </c>
      <c r="C93" s="26" t="s">
        <v>443</v>
      </c>
      <c r="D93" s="417">
        <v>8.319E-2</v>
      </c>
    </row>
    <row r="94" spans="2:4">
      <c r="B94" s="26" t="s">
        <v>426</v>
      </c>
      <c r="C94" s="26" t="s">
        <v>444</v>
      </c>
      <c r="D94" s="417">
        <v>0.10106999999999999</v>
      </c>
    </row>
    <row r="95" spans="2:4">
      <c r="B95" s="26" t="s">
        <v>426</v>
      </c>
      <c r="C95" s="26" t="s">
        <v>445</v>
      </c>
      <c r="D95" s="417">
        <v>0.13252</v>
      </c>
    </row>
    <row r="96" spans="2:4">
      <c r="B96" s="26" t="s">
        <v>426</v>
      </c>
      <c r="C96" s="26" t="s">
        <v>446</v>
      </c>
      <c r="D96" s="417">
        <v>0.20805000000000001</v>
      </c>
    </row>
    <row r="97" spans="2:4">
      <c r="B97" s="26" t="s">
        <v>426</v>
      </c>
      <c r="C97" s="26" t="s">
        <v>447</v>
      </c>
      <c r="D97" s="417">
        <v>0.30603000000000002</v>
      </c>
    </row>
    <row r="98" spans="2:4">
      <c r="B98" s="26" t="s">
        <v>426</v>
      </c>
      <c r="C98" s="26" t="s">
        <v>448</v>
      </c>
      <c r="D98" s="417">
        <v>0.12998999999999999</v>
      </c>
    </row>
    <row r="99" spans="2:4">
      <c r="B99" s="26" t="s">
        <v>426</v>
      </c>
      <c r="C99" s="26" t="s">
        <v>240</v>
      </c>
      <c r="D99" s="417">
        <v>7.4469999999999995E-2</v>
      </c>
    </row>
    <row r="100" spans="2:4">
      <c r="B100" s="26" t="s">
        <v>426</v>
      </c>
      <c r="C100" s="26" t="s">
        <v>449</v>
      </c>
      <c r="D100" s="417">
        <v>2.717E-2</v>
      </c>
    </row>
    <row r="101" spans="2:4">
      <c r="B101" s="26" t="s">
        <v>426</v>
      </c>
      <c r="C101" s="26" t="s">
        <v>450</v>
      </c>
      <c r="D101" s="419">
        <v>3.5459999999999998E-2</v>
      </c>
    </row>
    <row r="102" spans="2:4">
      <c r="B102" s="26" t="s">
        <v>426</v>
      </c>
      <c r="C102" s="26" t="s">
        <v>451</v>
      </c>
      <c r="D102" s="419">
        <v>4.4600000000000004E-3</v>
      </c>
    </row>
    <row r="103" spans="2:4">
      <c r="B103" s="26" t="s">
        <v>426</v>
      </c>
      <c r="C103" s="26" t="s">
        <v>452</v>
      </c>
      <c r="D103" s="419">
        <v>2.86E-2</v>
      </c>
    </row>
    <row r="104" spans="2:4">
      <c r="B104" s="26" t="s">
        <v>426</v>
      </c>
      <c r="C104" s="26" t="s">
        <v>246</v>
      </c>
      <c r="D104" s="419">
        <v>2.7799999999999998E-2</v>
      </c>
    </row>
    <row r="105" spans="2:4">
      <c r="D105" s="408"/>
    </row>
    <row r="106" spans="2:4" ht="43.2">
      <c r="B106" s="4" t="s">
        <v>314</v>
      </c>
      <c r="C106" s="4" t="s">
        <v>332</v>
      </c>
      <c r="D106" s="409" t="s">
        <v>474</v>
      </c>
    </row>
    <row r="107" spans="2:4">
      <c r="B107" s="26" t="s">
        <v>457</v>
      </c>
      <c r="C107" s="26" t="s">
        <v>458</v>
      </c>
      <c r="D107" s="417">
        <v>0.25023000000000001</v>
      </c>
    </row>
    <row r="108" spans="2:4">
      <c r="B108" s="26" t="s">
        <v>457</v>
      </c>
      <c r="C108" s="26" t="s">
        <v>460</v>
      </c>
      <c r="D108" s="418">
        <v>0.22095000000000001</v>
      </c>
    </row>
    <row r="109" spans="2:4">
      <c r="B109" s="26" t="s">
        <v>457</v>
      </c>
      <c r="C109" s="26" t="s">
        <v>461</v>
      </c>
      <c r="D109" s="418">
        <v>0.15079000000000001</v>
      </c>
    </row>
    <row r="110" spans="2:4">
      <c r="B110" s="26" t="s">
        <v>457</v>
      </c>
      <c r="C110" s="26" t="s">
        <v>462</v>
      </c>
      <c r="D110" s="418">
        <v>7.9219999999999999E-2</v>
      </c>
    </row>
    <row r="111" spans="2:4">
      <c r="B111" s="115" t="s">
        <v>457</v>
      </c>
      <c r="C111" s="115" t="s">
        <v>463</v>
      </c>
      <c r="D111" s="419">
        <v>2.7789999999999999E-2</v>
      </c>
    </row>
    <row r="112" spans="2:4">
      <c r="B112" s="26" t="s">
        <v>464</v>
      </c>
      <c r="C112" s="26" t="s">
        <v>465</v>
      </c>
      <c r="D112" s="417">
        <v>4.6734</v>
      </c>
    </row>
    <row r="113" spans="2:4">
      <c r="B113" s="26" t="s">
        <v>464</v>
      </c>
      <c r="C113" s="26" t="s">
        <v>466</v>
      </c>
      <c r="D113" s="417">
        <v>1.6681600000000001</v>
      </c>
    </row>
    <row r="114" spans="2:4">
      <c r="B114" s="26" t="s">
        <v>464</v>
      </c>
      <c r="C114" s="26" t="s">
        <v>467</v>
      </c>
      <c r="D114" s="417">
        <v>1.09904</v>
      </c>
    </row>
    <row r="115" spans="2:4">
      <c r="B115" s="26" t="s">
        <v>464</v>
      </c>
      <c r="C115" s="26" t="s">
        <v>468</v>
      </c>
      <c r="D115" s="417">
        <v>1.09904</v>
      </c>
    </row>
    <row r="116" spans="2:4">
      <c r="B116" s="198" t="s">
        <v>469</v>
      </c>
      <c r="C116" s="198" t="s">
        <v>470</v>
      </c>
      <c r="D116" s="420">
        <v>1.321E-2</v>
      </c>
    </row>
    <row r="117" spans="2:4">
      <c r="B117" s="198" t="s">
        <v>469</v>
      </c>
      <c r="C117" s="198" t="s">
        <v>471</v>
      </c>
      <c r="D117" s="420">
        <v>1.6119999999999999E-2</v>
      </c>
    </row>
    <row r="118" spans="2:4">
      <c r="D118" s="408"/>
    </row>
    <row r="119" spans="2:4" ht="43.2">
      <c r="B119" s="4" t="s">
        <v>314</v>
      </c>
      <c r="C119" s="4" t="s">
        <v>332</v>
      </c>
      <c r="D119" s="409" t="s">
        <v>474</v>
      </c>
    </row>
    <row r="120" spans="2:4">
      <c r="B120" s="225" t="s">
        <v>473</v>
      </c>
      <c r="C120" s="225" t="s">
        <v>270</v>
      </c>
      <c r="D120" s="421">
        <v>11.5</v>
      </c>
    </row>
    <row r="121" spans="2:4">
      <c r="B121" s="225" t="s">
        <v>473</v>
      </c>
      <c r="C121" s="225" t="s">
        <v>271</v>
      </c>
      <c r="D121" s="421">
        <v>10.4</v>
      </c>
    </row>
    <row r="122" spans="2:4">
      <c r="B122" s="225" t="s">
        <v>473</v>
      </c>
      <c r="C122" s="230" t="s">
        <v>272</v>
      </c>
      <c r="D122" s="419">
        <v>35</v>
      </c>
    </row>
    <row r="123" spans="2:4">
      <c r="B123" s="225" t="s">
        <v>473</v>
      </c>
      <c r="C123" s="230" t="s">
        <v>273</v>
      </c>
      <c r="D123" s="419">
        <v>12.2</v>
      </c>
    </row>
    <row r="124" spans="2:4">
      <c r="B124" s="225" t="s">
        <v>473</v>
      </c>
      <c r="C124" s="230" t="s">
        <v>274</v>
      </c>
      <c r="D124" s="419">
        <v>8.6999999999999993</v>
      </c>
    </row>
    <row r="125" spans="2:4">
      <c r="B125" s="225" t="s">
        <v>473</v>
      </c>
      <c r="C125" s="230" t="s">
        <v>276</v>
      </c>
      <c r="D125" s="419">
        <v>7.4</v>
      </c>
    </row>
    <row r="126" spans="2:4">
      <c r="B126" s="225" t="s">
        <v>473</v>
      </c>
      <c r="C126" s="230" t="s">
        <v>277</v>
      </c>
      <c r="D126" s="419">
        <v>27.6</v>
      </c>
    </row>
    <row r="127" spans="2:4">
      <c r="B127" s="225" t="s">
        <v>473</v>
      </c>
      <c r="C127" s="230" t="s">
        <v>278</v>
      </c>
      <c r="D127" s="419">
        <v>53.5</v>
      </c>
    </row>
    <row r="128" spans="2:4">
      <c r="B128" s="225" t="s">
        <v>473</v>
      </c>
      <c r="C128" s="230" t="s">
        <v>279</v>
      </c>
      <c r="D128" s="419">
        <v>14.7</v>
      </c>
    </row>
    <row r="129" spans="2:4">
      <c r="B129" s="225" t="s">
        <v>473</v>
      </c>
      <c r="C129" s="230" t="s">
        <v>280</v>
      </c>
      <c r="D129" s="419">
        <v>4.7</v>
      </c>
    </row>
    <row r="130" spans="2:4">
      <c r="B130" s="225" t="s">
        <v>473</v>
      </c>
      <c r="C130" s="230" t="s">
        <v>281</v>
      </c>
      <c r="D130" s="419">
        <v>44.2</v>
      </c>
    </row>
    <row r="131" spans="2:4">
      <c r="B131" s="225" t="s">
        <v>473</v>
      </c>
      <c r="C131" s="230" t="s">
        <v>282</v>
      </c>
      <c r="D131" s="419">
        <v>6.7</v>
      </c>
    </row>
    <row r="132" spans="2:4">
      <c r="B132" s="225" t="s">
        <v>473</v>
      </c>
      <c r="C132" s="230" t="s">
        <v>283</v>
      </c>
      <c r="D132" s="419">
        <v>13.2</v>
      </c>
    </row>
    <row r="133" spans="2:4">
      <c r="B133" s="225" t="s">
        <v>473</v>
      </c>
      <c r="C133" s="230" t="s">
        <v>284</v>
      </c>
      <c r="D133" s="419">
        <v>51.5</v>
      </c>
    </row>
    <row r="134" spans="2:4">
      <c r="B134" s="225" t="s">
        <v>473</v>
      </c>
      <c r="C134" s="230" t="s">
        <v>285</v>
      </c>
      <c r="D134" s="419">
        <v>58.9</v>
      </c>
    </row>
    <row r="135" spans="2:4">
      <c r="B135" s="225" t="s">
        <v>473</v>
      </c>
      <c r="C135" s="230" t="s">
        <v>286</v>
      </c>
      <c r="D135" s="419">
        <v>62.7</v>
      </c>
    </row>
    <row r="136" spans="2:4">
      <c r="B136" s="225" t="s">
        <v>473</v>
      </c>
      <c r="C136" s="230" t="s">
        <v>287</v>
      </c>
      <c r="D136" s="419">
        <v>14.3</v>
      </c>
    </row>
    <row r="137" spans="2:4">
      <c r="B137" s="225" t="s">
        <v>473</v>
      </c>
      <c r="C137" s="230" t="s">
        <v>288</v>
      </c>
      <c r="D137" s="419">
        <v>39</v>
      </c>
    </row>
    <row r="138" spans="2:4">
      <c r="B138" s="225" t="s">
        <v>473</v>
      </c>
      <c r="C138" s="230" t="s">
        <v>289</v>
      </c>
      <c r="D138" s="419">
        <v>68.900000000000006</v>
      </c>
    </row>
    <row r="139" spans="2:4">
      <c r="B139" s="225" t="s">
        <v>473</v>
      </c>
      <c r="C139" s="230" t="s">
        <v>290</v>
      </c>
      <c r="D139" s="419">
        <v>55.8</v>
      </c>
    </row>
    <row r="140" spans="2:4">
      <c r="B140" s="225" t="s">
        <v>473</v>
      </c>
      <c r="C140" s="230" t="s">
        <v>291</v>
      </c>
      <c r="D140" s="419">
        <v>61.5</v>
      </c>
    </row>
    <row r="141" spans="2:4">
      <c r="B141" s="225" t="s">
        <v>473</v>
      </c>
      <c r="C141" s="230" t="s">
        <v>292</v>
      </c>
      <c r="D141" s="419">
        <v>152.19999999999999</v>
      </c>
    </row>
    <row r="142" spans="2:4">
      <c r="B142" s="225" t="s">
        <v>473</v>
      </c>
      <c r="C142" s="230" t="s">
        <v>293</v>
      </c>
      <c r="D142" s="419">
        <v>19.3</v>
      </c>
    </row>
    <row r="143" spans="2:4">
      <c r="B143" s="225" t="s">
        <v>473</v>
      </c>
      <c r="C143" s="230" t="s">
        <v>294</v>
      </c>
      <c r="D143" s="419">
        <v>14.8</v>
      </c>
    </row>
    <row r="144" spans="2:4">
      <c r="B144" s="225" t="s">
        <v>473</v>
      </c>
      <c r="C144" s="230" t="s">
        <v>295</v>
      </c>
      <c r="D144" s="419">
        <v>90.3</v>
      </c>
    </row>
    <row r="145" spans="2:4">
      <c r="B145" s="225" t="s">
        <v>473</v>
      </c>
      <c r="C145" s="230" t="s">
        <v>296</v>
      </c>
      <c r="D145" s="419">
        <v>54.3</v>
      </c>
    </row>
    <row r="146" spans="2:4">
      <c r="B146" s="225" t="s">
        <v>473</v>
      </c>
      <c r="C146" s="230" t="s">
        <v>297</v>
      </c>
      <c r="D146" s="419">
        <v>19</v>
      </c>
    </row>
    <row r="147" spans="2:4">
      <c r="B147" s="225" t="s">
        <v>473</v>
      </c>
      <c r="C147" s="230" t="s">
        <v>298</v>
      </c>
      <c r="D147" s="419">
        <v>86.2</v>
      </c>
    </row>
    <row r="148" spans="2:4">
      <c r="B148" s="225" t="s">
        <v>473</v>
      </c>
      <c r="C148" s="230" t="s">
        <v>299</v>
      </c>
      <c r="D148" s="419">
        <v>24.2</v>
      </c>
    </row>
    <row r="149" spans="2:4">
      <c r="B149" s="225" t="s">
        <v>473</v>
      </c>
      <c r="C149" s="230" t="s">
        <v>300</v>
      </c>
      <c r="D149" s="419">
        <v>106.4</v>
      </c>
    </row>
    <row r="150" spans="2:4">
      <c r="B150" s="225" t="s">
        <v>473</v>
      </c>
      <c r="C150" s="230" t="s">
        <v>301</v>
      </c>
      <c r="D150" s="419">
        <v>24.5</v>
      </c>
    </row>
    <row r="151" spans="2:4">
      <c r="B151" s="225" t="s">
        <v>473</v>
      </c>
      <c r="C151" s="230" t="s">
        <v>302</v>
      </c>
      <c r="D151" s="419">
        <v>51.4</v>
      </c>
    </row>
    <row r="152" spans="2:4">
      <c r="B152" s="225" t="s">
        <v>473</v>
      </c>
      <c r="C152" s="230" t="s">
        <v>303</v>
      </c>
      <c r="D152" s="419">
        <v>7</v>
      </c>
    </row>
    <row r="153" spans="2:4">
      <c r="B153" s="225" t="s">
        <v>473</v>
      </c>
      <c r="C153" s="230" t="s">
        <v>304</v>
      </c>
      <c r="D153" s="419">
        <v>6.6</v>
      </c>
    </row>
    <row r="154" spans="2:4">
      <c r="B154" s="225" t="s">
        <v>473</v>
      </c>
      <c r="C154" s="230" t="s">
        <v>305</v>
      </c>
      <c r="D154" s="419">
        <v>43.4</v>
      </c>
    </row>
    <row r="155" spans="2:4">
      <c r="B155" s="225" t="s">
        <v>473</v>
      </c>
      <c r="C155" s="230" t="s">
        <v>306</v>
      </c>
      <c r="D155" s="419">
        <v>32.1</v>
      </c>
    </row>
    <row r="156" spans="2:4">
      <c r="B156" s="225" t="s">
        <v>473</v>
      </c>
      <c r="C156" s="230" t="s">
        <v>307</v>
      </c>
      <c r="D156" s="419">
        <v>63.8</v>
      </c>
    </row>
    <row r="157" spans="2:4">
      <c r="B157" s="225" t="s">
        <v>473</v>
      </c>
      <c r="C157" s="230" t="s">
        <v>308</v>
      </c>
      <c r="D157" s="419">
        <v>16.100000000000001</v>
      </c>
    </row>
    <row r="158" spans="2:4">
      <c r="B158" s="225" t="s">
        <v>473</v>
      </c>
      <c r="C158" s="230" t="s">
        <v>309</v>
      </c>
      <c r="D158" s="419">
        <v>38.5</v>
      </c>
    </row>
  </sheetData>
  <sheetProtection algorithmName="SHA-512" hashValue="hPfBsJ+3dPEVfFRF3Tbw27Z7GovRq8LrGx+K/6FbhKEKKmCj0ebijzTXzKFm8Ig9xCgbk3OdRxDSBTE0PtdT7A==" saltValue="1De6OBSSCxTli8+BT4rFpw==" spinCount="100000" sheet="1" objects="1" scenarios="1" selectLockedCells="1"/>
  <mergeCells count="2">
    <mergeCell ref="F5:N5"/>
    <mergeCell ref="F21:K22"/>
  </mergeCells>
  <conditionalFormatting sqref="D70">
    <cfRule type="expression" dxfId="25" priority="26" stopIfTrue="1">
      <formula>D70=""</formula>
    </cfRule>
  </conditionalFormatting>
  <conditionalFormatting sqref="D36">
    <cfRule type="expression" dxfId="24" priority="25" stopIfTrue="1">
      <formula>D36=""</formula>
    </cfRule>
  </conditionalFormatting>
  <conditionalFormatting sqref="D41">
    <cfRule type="expression" dxfId="23" priority="24" stopIfTrue="1">
      <formula>D41=""</formula>
    </cfRule>
  </conditionalFormatting>
  <conditionalFormatting sqref="D42">
    <cfRule type="expression" dxfId="22" priority="23" stopIfTrue="1">
      <formula>D42=""</formula>
    </cfRule>
  </conditionalFormatting>
  <conditionalFormatting sqref="D43">
    <cfRule type="expression" dxfId="21" priority="22" stopIfTrue="1">
      <formula>D43=""</formula>
    </cfRule>
  </conditionalFormatting>
  <conditionalFormatting sqref="D44">
    <cfRule type="expression" dxfId="20" priority="21" stopIfTrue="1">
      <formula>D44=""</formula>
    </cfRule>
  </conditionalFormatting>
  <conditionalFormatting sqref="D45">
    <cfRule type="expression" dxfId="19" priority="20" stopIfTrue="1">
      <formula>D45=""</formula>
    </cfRule>
  </conditionalFormatting>
  <conditionalFormatting sqref="D46">
    <cfRule type="expression" dxfId="18" priority="19" stopIfTrue="1">
      <formula>D46=""</formula>
    </cfRule>
  </conditionalFormatting>
  <conditionalFormatting sqref="D47">
    <cfRule type="expression" dxfId="17" priority="18" stopIfTrue="1">
      <formula>D47=""</formula>
    </cfRule>
  </conditionalFormatting>
  <conditionalFormatting sqref="D48">
    <cfRule type="expression" dxfId="16" priority="17" stopIfTrue="1">
      <formula>D48=""</formula>
    </cfRule>
  </conditionalFormatting>
  <conditionalFormatting sqref="D49">
    <cfRule type="expression" dxfId="15" priority="16" stopIfTrue="1">
      <formula>D49=""</formula>
    </cfRule>
  </conditionalFormatting>
  <conditionalFormatting sqref="D50">
    <cfRule type="expression" dxfId="14" priority="15" stopIfTrue="1">
      <formula>D50=""</formula>
    </cfRule>
  </conditionalFormatting>
  <conditionalFormatting sqref="D51">
    <cfRule type="expression" dxfId="13" priority="14" stopIfTrue="1">
      <formula>D51=""</formula>
    </cfRule>
  </conditionalFormatting>
  <conditionalFormatting sqref="D52">
    <cfRule type="expression" dxfId="12" priority="13" stopIfTrue="1">
      <formula>D52=""</formula>
    </cfRule>
  </conditionalFormatting>
  <conditionalFormatting sqref="D53">
    <cfRule type="expression" dxfId="11" priority="12" stopIfTrue="1">
      <formula>D53=""</formula>
    </cfRule>
  </conditionalFormatting>
  <conditionalFormatting sqref="D54">
    <cfRule type="expression" dxfId="10" priority="11" stopIfTrue="1">
      <formula>D54=""</formula>
    </cfRule>
  </conditionalFormatting>
  <conditionalFormatting sqref="D55">
    <cfRule type="expression" dxfId="9" priority="10" stopIfTrue="1">
      <formula>D55=""</formula>
    </cfRule>
  </conditionalFormatting>
  <conditionalFormatting sqref="D56:D57">
    <cfRule type="expression" dxfId="8" priority="9" stopIfTrue="1">
      <formula>D56=""</formula>
    </cfRule>
  </conditionalFormatting>
  <conditionalFormatting sqref="D58:D60">
    <cfRule type="expression" dxfId="7" priority="8" stopIfTrue="1">
      <formula>D58=""</formula>
    </cfRule>
  </conditionalFormatting>
  <conditionalFormatting sqref="D61">
    <cfRule type="expression" dxfId="6" priority="7" stopIfTrue="1">
      <formula>D61=""</formula>
    </cfRule>
  </conditionalFormatting>
  <conditionalFormatting sqref="D62">
    <cfRule type="expression" dxfId="5" priority="6" stopIfTrue="1">
      <formula>D62=""</formula>
    </cfRule>
  </conditionalFormatting>
  <conditionalFormatting sqref="D63">
    <cfRule type="expression" dxfId="4" priority="5" stopIfTrue="1">
      <formula>D63=""</formula>
    </cfRule>
  </conditionalFormatting>
  <conditionalFormatting sqref="D64">
    <cfRule type="expression" dxfId="3" priority="4" stopIfTrue="1">
      <formula>D64=""</formula>
    </cfRule>
  </conditionalFormatting>
  <conditionalFormatting sqref="D66">
    <cfRule type="expression" dxfId="2" priority="3" stopIfTrue="1">
      <formula>D66=""</formula>
    </cfRule>
  </conditionalFormatting>
  <conditionalFormatting sqref="D67">
    <cfRule type="expression" dxfId="1" priority="2" stopIfTrue="1">
      <formula>D67=""</formula>
    </cfRule>
  </conditionalFormatting>
  <conditionalFormatting sqref="D69">
    <cfRule type="expression" dxfId="0" priority="1" stopIfTrue="1">
      <formula>D69=""</formula>
    </cfRule>
  </conditionalFormatting>
  <hyperlinks>
    <hyperlink ref="F19" r:id="rId1" xr:uid="{B850D390-DFF7-4985-AEBB-29D72AAA7E1B}"/>
    <hyperlink ref="F3" r:id="rId2" display="https://www.gov.uk/government/publications/greenhouse-gas-reporting-conversion-factors-2024" xr:uid="{2B9E1E16-9D7B-414E-88E7-EFDD64460883}"/>
  </hyperlinks>
  <pageMargins left="0.7" right="0.7" top="0.75" bottom="0.75" header="0.3" footer="0.3"/>
  <pageSetup orientation="portrait"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27EB8B877B114B8DC3E42300AECEC0" ma:contentTypeVersion="14" ma:contentTypeDescription="Create a new document." ma:contentTypeScope="" ma:versionID="8187da7c34433c547b313c4202a4e4a3">
  <xsd:schema xmlns:xsd="http://www.w3.org/2001/XMLSchema" xmlns:xs="http://www.w3.org/2001/XMLSchema" xmlns:p="http://schemas.microsoft.com/office/2006/metadata/properties" xmlns:ns2="01aae33e-1fa7-45c8-ae8e-cf5776580af1" xmlns:ns3="92d02d63-ce69-41b5-bbdc-6514d0ebecb6" targetNamespace="http://schemas.microsoft.com/office/2006/metadata/properties" ma:root="true" ma:fieldsID="38634379278c819def84f537cff1d1d8" ns2:_="" ns3:_="">
    <xsd:import namespace="01aae33e-1fa7-45c8-ae8e-cf5776580af1"/>
    <xsd:import namespace="92d02d63-ce69-41b5-bbdc-6514d0ebecb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ae33e-1fa7-45c8-ae8e-cf5776580a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bf2f534-9c3d-494b-83fb-768e807180c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d02d63-ce69-41b5-bbdc-6514d0ebecb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4307866-dca6-4ded-89db-f046e54a0aa1}" ma:internalName="TaxCatchAll" ma:showField="CatchAllData" ma:web="92d02d63-ce69-41b5-bbdc-6514d0ebecb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2d02d63-ce69-41b5-bbdc-6514d0ebecb6" xsi:nil="true"/>
    <lcf76f155ced4ddcb4097134ff3c332f xmlns="01aae33e-1fa7-45c8-ae8e-cf5776580af1">
      <Terms xmlns="http://schemas.microsoft.com/office/infopath/2007/PartnerControls"/>
    </lcf76f155ced4ddcb4097134ff3c332f>
    <SharedWithUsers xmlns="92d02d63-ce69-41b5-bbdc-6514d0ebecb6">
      <UserInfo>
        <DisplayName>Daniel Ashton</DisplayName>
        <AccountId>9</AccountId>
        <AccountType/>
      </UserInfo>
      <UserInfo>
        <DisplayName>Clio Padovani</DisplayName>
        <AccountId>12</AccountId>
        <AccountType/>
      </UserInfo>
      <UserInfo>
        <DisplayName>Michael Kurniawan</DisplayName>
        <AccountId>14</AccountId>
        <AccountType/>
      </UserInfo>
      <UserInfo>
        <DisplayName>Sharon Williams</DisplayName>
        <AccountId>29</AccountId>
        <AccountType/>
      </UserInfo>
      <UserInfo>
        <DisplayName>Reem Alasadi</DisplayName>
        <AccountId>31</AccountId>
        <AccountType/>
      </UserInfo>
      <UserInfo>
        <DisplayName>Charlie Ellis</DisplayName>
        <AccountId>28</AccountId>
        <AccountType/>
      </UserInfo>
      <UserInfo>
        <DisplayName>Claire Mckinley</DisplayName>
        <AccountId>33</AccountId>
        <AccountType/>
      </UserInfo>
      <UserInfo>
        <DisplayName>Erin Ballard</DisplayName>
        <AccountId>34</AccountId>
        <AccountType/>
      </UserInfo>
      <UserInfo>
        <DisplayName>Tilly Rose</DisplayName>
        <AccountId>35</AccountId>
        <AccountType/>
      </UserInfo>
      <UserInfo>
        <DisplayName>Jack Becheley</DisplayName>
        <AccountId>39</AccountId>
        <AccountType/>
      </UserInfo>
      <UserInfo>
        <DisplayName>Jess Curtis</DisplayName>
        <AccountId>40</AccountId>
        <AccountType/>
      </UserInfo>
      <UserInfo>
        <DisplayName>Andrew Brook</DisplayName>
        <AccountId>36</AccountId>
        <AccountType/>
      </UserInfo>
      <UserInfo>
        <DisplayName>Deirdre Campion</DisplayName>
        <AccountId>41</AccountId>
        <AccountType/>
      </UserInfo>
      <UserInfo>
        <DisplayName>Hannah Murrey</DisplayName>
        <AccountId>42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052938-532C-4D0D-9FD2-7FD5CFBB5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ae33e-1fa7-45c8-ae8e-cf5776580af1"/>
    <ds:schemaRef ds:uri="92d02d63-ce69-41b5-bbdc-6514d0ebe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BD92A2-88FC-4C39-8F05-62164C5A8D5F}">
  <ds:schemaRefs>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01aae33e-1fa7-45c8-ae8e-cf5776580af1"/>
    <ds:schemaRef ds:uri="http://schemas.microsoft.com/office/infopath/2007/PartnerControls"/>
    <ds:schemaRef ds:uri="92d02d63-ce69-41b5-bbdc-6514d0ebecb6"/>
    <ds:schemaRef ds:uri="http://www.w3.org/XML/1998/namespace"/>
  </ds:schemaRefs>
</ds:datastoreItem>
</file>

<file path=customXml/itemProps3.xml><?xml version="1.0" encoding="utf-8"?>
<ds:datastoreItem xmlns:ds="http://schemas.openxmlformats.org/officeDocument/2006/customXml" ds:itemID="{16FB94FA-21F6-4AC4-8AF4-BEF9D713BE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WSA-CC-Introduction &amp; guide</vt:lpstr>
      <vt:lpstr>WSA-CC-Energy</vt:lpstr>
      <vt:lpstr>WSA-CC-Water</vt:lpstr>
      <vt:lpstr>WSA-CC-Material</vt:lpstr>
      <vt:lpstr>WSA-CC-Waste</vt:lpstr>
      <vt:lpstr>WSA-CC-Travel</vt:lpstr>
      <vt:lpstr>WSA-CC-Freight</vt:lpstr>
      <vt:lpstr>WSA-CC-Accommodation</vt:lpstr>
      <vt:lpstr>WSA-CC-Summary</vt:lpstr>
      <vt:lpstr>Carbon Calculator-All</vt:lpstr>
      <vt:lpstr>GHG conversion 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dc:creator>
  <cp:keywords/>
  <dc:description/>
  <cp:lastModifiedBy>Michael Kurniawan</cp:lastModifiedBy>
  <cp:revision/>
  <dcterms:created xsi:type="dcterms:W3CDTF">2023-10-05T09:59:52Z</dcterms:created>
  <dcterms:modified xsi:type="dcterms:W3CDTF">2024-09-18T10:48:03Z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0x0101002C27EB8B877B114B8DC3E42300AECEC0</vt:lpwstr>
  </property>
  <property fmtid="{D5CDD505-2E9C-101B-9397-08002B2CF9AE}" pid="3" name="MediaServiceImageTags">
    <vt:lpwstr/>
  </property>
</Properties>
</file>