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5599F127-BD19-4D3C-A3AE-BAF4945AA0AF}" xr6:coauthVersionLast="47" xr6:coauthVersionMax="47" xr10:uidLastSave="{00000000-0000-0000-0000-000000000000}"/>
  <bookViews>
    <workbookView xWindow="-120" yWindow="-120" windowWidth="29040" windowHeight="15720" tabRatio="713" activeTab="9" xr2:uid="{00000000-000D-0000-FFFF-FFFF00000000}"/>
  </bookViews>
  <sheets>
    <sheet name="set up" sheetId="1" r:id="rId1"/>
    <sheet name="VFA summary" sheetId="15" r:id="rId2"/>
    <sheet name="TAN" sheetId="12" r:id="rId3"/>
    <sheet name="pH" sheetId="11" r:id="rId4"/>
    <sheet name="VFA day 1" sheetId="2" r:id="rId5"/>
    <sheet name="VFA day 2" sheetId="7" r:id="rId6"/>
    <sheet name="VFA day 3" sheetId="8" r:id="rId7"/>
    <sheet name="VFA day 4" sheetId="9" r:id="rId8"/>
    <sheet name="VFA day 5" sheetId="10" r:id="rId9"/>
    <sheet name="VFA day 6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0" i="15" l="1"/>
  <c r="O41" i="15"/>
  <c r="O42" i="15"/>
  <c r="O43" i="15"/>
  <c r="H66" i="15" s="1"/>
  <c r="O44" i="15"/>
  <c r="O45" i="15"/>
  <c r="O46" i="15"/>
  <c r="O39" i="15"/>
  <c r="H62" i="15" s="1"/>
  <c r="N40" i="15"/>
  <c r="N41" i="15"/>
  <c r="N42" i="15"/>
  <c r="N43" i="15"/>
  <c r="N44" i="15"/>
  <c r="N45" i="15"/>
  <c r="H68" i="15" s="1"/>
  <c r="N46" i="15"/>
  <c r="H69" i="15" s="1"/>
  <c r="N39" i="15"/>
  <c r="M40" i="15"/>
  <c r="M41" i="15"/>
  <c r="G64" i="15" s="1"/>
  <c r="M42" i="15"/>
  <c r="M43" i="15"/>
  <c r="M44" i="15"/>
  <c r="M45" i="15"/>
  <c r="M46" i="15"/>
  <c r="M39" i="15"/>
  <c r="L40" i="15"/>
  <c r="G63" i="15" s="1"/>
  <c r="L41" i="15"/>
  <c r="L42" i="15"/>
  <c r="L43" i="15"/>
  <c r="L44" i="15"/>
  <c r="L45" i="15"/>
  <c r="G68" i="15" s="1"/>
  <c r="L46" i="15"/>
  <c r="L39" i="15"/>
  <c r="K40" i="15"/>
  <c r="K41" i="15"/>
  <c r="K42" i="15"/>
  <c r="K43" i="15"/>
  <c r="F66" i="15" s="1"/>
  <c r="K44" i="15"/>
  <c r="K45" i="15"/>
  <c r="K46" i="15"/>
  <c r="K39" i="15"/>
  <c r="J40" i="15"/>
  <c r="F63" i="15" s="1"/>
  <c r="J41" i="15"/>
  <c r="J42" i="15"/>
  <c r="J43" i="15"/>
  <c r="J44" i="15"/>
  <c r="J45" i="15"/>
  <c r="J46" i="15"/>
  <c r="J39" i="15"/>
  <c r="I40" i="15"/>
  <c r="I41" i="15"/>
  <c r="I42" i="15"/>
  <c r="I43" i="15"/>
  <c r="E66" i="15" s="1"/>
  <c r="I44" i="15"/>
  <c r="I45" i="15"/>
  <c r="I46" i="15"/>
  <c r="I39" i="15"/>
  <c r="H40" i="15"/>
  <c r="E51" i="15" s="1"/>
  <c r="H41" i="15"/>
  <c r="H42" i="15"/>
  <c r="E53" i="15" s="1"/>
  <c r="H43" i="15"/>
  <c r="H44" i="15"/>
  <c r="E67" i="15" s="1"/>
  <c r="H45" i="15"/>
  <c r="H46" i="15"/>
  <c r="H39" i="15"/>
  <c r="G40" i="15"/>
  <c r="G41" i="15"/>
  <c r="G42" i="15"/>
  <c r="G43" i="15"/>
  <c r="D66" i="15" s="1"/>
  <c r="G44" i="15"/>
  <c r="G45" i="15"/>
  <c r="G46" i="15"/>
  <c r="G39" i="15"/>
  <c r="D62" i="15" s="1"/>
  <c r="F40" i="15"/>
  <c r="D63" i="15" s="1"/>
  <c r="F41" i="15"/>
  <c r="F42" i="15"/>
  <c r="D65" i="15" s="1"/>
  <c r="F43" i="15"/>
  <c r="F44" i="15"/>
  <c r="D55" i="15" s="1"/>
  <c r="F45" i="15"/>
  <c r="F46" i="15"/>
  <c r="D69" i="15" s="1"/>
  <c r="F39" i="15"/>
  <c r="E40" i="15"/>
  <c r="E41" i="15"/>
  <c r="C64" i="15" s="1"/>
  <c r="E42" i="15"/>
  <c r="E43" i="15"/>
  <c r="E44" i="15"/>
  <c r="E45" i="15"/>
  <c r="E46" i="15"/>
  <c r="E39" i="15"/>
  <c r="D40" i="15"/>
  <c r="C51" i="15" s="1"/>
  <c r="D41" i="15"/>
  <c r="D42" i="15"/>
  <c r="C65" i="15" s="1"/>
  <c r="D43" i="15"/>
  <c r="D44" i="15"/>
  <c r="C67" i="15" s="1"/>
  <c r="D45" i="15"/>
  <c r="C68" i="15" s="1"/>
  <c r="D46" i="15"/>
  <c r="C57" i="15" s="1"/>
  <c r="D39" i="15"/>
  <c r="C40" i="15"/>
  <c r="C41" i="15"/>
  <c r="C42" i="15"/>
  <c r="C43" i="15"/>
  <c r="B66" i="15" s="1"/>
  <c r="C44" i="15"/>
  <c r="C45" i="15"/>
  <c r="C46" i="15"/>
  <c r="C39" i="15"/>
  <c r="B40" i="15"/>
  <c r="B51" i="15" s="1"/>
  <c r="B41" i="15"/>
  <c r="B42" i="15"/>
  <c r="B53" i="15" s="1"/>
  <c r="B43" i="15"/>
  <c r="B44" i="15"/>
  <c r="B45" i="15"/>
  <c r="B46" i="15"/>
  <c r="B39" i="15"/>
  <c r="B50" i="15" s="1"/>
  <c r="H16" i="15"/>
  <c r="H15" i="15"/>
  <c r="H14" i="15"/>
  <c r="H13" i="15"/>
  <c r="H25" i="15" s="1"/>
  <c r="H12" i="15"/>
  <c r="H11" i="15"/>
  <c r="H10" i="15"/>
  <c r="H9" i="15"/>
  <c r="H8" i="15"/>
  <c r="H7" i="15"/>
  <c r="H22" i="15" s="1"/>
  <c r="H6" i="15"/>
  <c r="H5" i="15"/>
  <c r="H4" i="15"/>
  <c r="H3" i="15"/>
  <c r="H30" i="15" s="1"/>
  <c r="G16" i="15"/>
  <c r="G15" i="15"/>
  <c r="G14" i="15"/>
  <c r="G25" i="15" s="1"/>
  <c r="G13" i="15"/>
  <c r="G12" i="15"/>
  <c r="G11" i="15"/>
  <c r="G10" i="15"/>
  <c r="G9" i="15"/>
  <c r="G8" i="15"/>
  <c r="G7" i="15"/>
  <c r="G6" i="15"/>
  <c r="G5" i="15"/>
  <c r="G31" i="15" s="1"/>
  <c r="G4" i="15"/>
  <c r="G3" i="15"/>
  <c r="F16" i="15"/>
  <c r="F15" i="15"/>
  <c r="F14" i="15"/>
  <c r="F13" i="15"/>
  <c r="F12" i="15"/>
  <c r="F11" i="15"/>
  <c r="F10" i="15"/>
  <c r="F9" i="15"/>
  <c r="F8" i="15"/>
  <c r="F7" i="15"/>
  <c r="F6" i="15"/>
  <c r="F5" i="15"/>
  <c r="F21" i="15" s="1"/>
  <c r="F4" i="15"/>
  <c r="F3" i="15"/>
  <c r="F20" i="15" s="1"/>
  <c r="D13" i="15"/>
  <c r="E16" i="15"/>
  <c r="E36" i="15" s="1"/>
  <c r="E15" i="15"/>
  <c r="E14" i="15"/>
  <c r="E13" i="15"/>
  <c r="E12" i="15"/>
  <c r="E11" i="15"/>
  <c r="E10" i="15"/>
  <c r="E9" i="15"/>
  <c r="E33" i="15" s="1"/>
  <c r="E8" i="15"/>
  <c r="E7" i="15"/>
  <c r="E6" i="15"/>
  <c r="E5" i="15"/>
  <c r="E4" i="15"/>
  <c r="E3" i="15"/>
  <c r="D16" i="15"/>
  <c r="D26" i="15" s="1"/>
  <c r="D15" i="15"/>
  <c r="D14" i="15"/>
  <c r="D12" i="15"/>
  <c r="D11" i="15"/>
  <c r="D10" i="15"/>
  <c r="D9" i="15"/>
  <c r="D8" i="15"/>
  <c r="D7" i="15"/>
  <c r="D6" i="15"/>
  <c r="D5" i="15"/>
  <c r="D4" i="15"/>
  <c r="D3" i="15"/>
  <c r="D20" i="15" s="1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3" i="15"/>
  <c r="C20" i="15" s="1"/>
  <c r="D64" i="15"/>
  <c r="F55" i="15"/>
  <c r="B54" i="15"/>
  <c r="H52" i="15"/>
  <c r="F52" i="15"/>
  <c r="E69" i="15"/>
  <c r="H67" i="15"/>
  <c r="F67" i="15"/>
  <c r="B67" i="15"/>
  <c r="H54" i="15"/>
  <c r="D54" i="15"/>
  <c r="H53" i="15"/>
  <c r="G53" i="15"/>
  <c r="F65" i="15"/>
  <c r="H64" i="15"/>
  <c r="F64" i="15"/>
  <c r="E52" i="15"/>
  <c r="D52" i="15"/>
  <c r="C52" i="15"/>
  <c r="G51" i="15"/>
  <c r="B63" i="15"/>
  <c r="R36" i="15"/>
  <c r="B36" i="15"/>
  <c r="R35" i="15"/>
  <c r="H35" i="15"/>
  <c r="B35" i="15"/>
  <c r="R34" i="15"/>
  <c r="B34" i="15"/>
  <c r="R33" i="15"/>
  <c r="B33" i="15"/>
  <c r="R32" i="15"/>
  <c r="B32" i="15"/>
  <c r="R31" i="15"/>
  <c r="B31" i="15"/>
  <c r="R30" i="15"/>
  <c r="F30" i="15"/>
  <c r="B30" i="15"/>
  <c r="R26" i="15"/>
  <c r="B26" i="15"/>
  <c r="R25" i="15"/>
  <c r="D25" i="15"/>
  <c r="B25" i="15"/>
  <c r="R24" i="15"/>
  <c r="B24" i="15"/>
  <c r="R23" i="15"/>
  <c r="B23" i="15"/>
  <c r="R22" i="15"/>
  <c r="B22" i="15"/>
  <c r="R21" i="15"/>
  <c r="G21" i="15"/>
  <c r="B21" i="15"/>
  <c r="R20" i="15"/>
  <c r="E20" i="15"/>
  <c r="B20" i="15"/>
  <c r="E19" i="2"/>
  <c r="E18" i="2"/>
  <c r="E17" i="2"/>
  <c r="E16" i="2"/>
  <c r="B58" i="15" l="1"/>
  <c r="K54" i="15" s="1"/>
  <c r="E63" i="15"/>
  <c r="D33" i="15"/>
  <c r="F35" i="15"/>
  <c r="C30" i="15"/>
  <c r="B52" i="15"/>
  <c r="D57" i="15"/>
  <c r="G69" i="15"/>
  <c r="H57" i="15"/>
  <c r="G67" i="15"/>
  <c r="G56" i="15"/>
  <c r="D53" i="15"/>
  <c r="G20" i="15"/>
  <c r="H56" i="15"/>
  <c r="C69" i="15"/>
  <c r="E21" i="15"/>
  <c r="E30" i="15"/>
  <c r="E65" i="15"/>
  <c r="E50" i="15"/>
  <c r="C63" i="15"/>
  <c r="F34" i="15"/>
  <c r="E54" i="15"/>
  <c r="F54" i="15"/>
  <c r="G52" i="15"/>
  <c r="G57" i="15"/>
  <c r="G55" i="15"/>
  <c r="G54" i="15"/>
  <c r="G50" i="15"/>
  <c r="F50" i="15"/>
  <c r="F62" i="15"/>
  <c r="D50" i="15"/>
  <c r="C50" i="15"/>
  <c r="B56" i="15"/>
  <c r="H34" i="15"/>
  <c r="H33" i="15"/>
  <c r="G34" i="15"/>
  <c r="G24" i="15"/>
  <c r="G30" i="15"/>
  <c r="F24" i="15"/>
  <c r="F23" i="15"/>
  <c r="F22" i="15"/>
  <c r="F32" i="15"/>
  <c r="F31" i="15"/>
  <c r="E34" i="15"/>
  <c r="E24" i="15"/>
  <c r="D36" i="15"/>
  <c r="D34" i="15"/>
  <c r="H36" i="15"/>
  <c r="H26" i="15"/>
  <c r="G33" i="15"/>
  <c r="F33" i="15"/>
  <c r="H24" i="15"/>
  <c r="B62" i="15"/>
  <c r="E25" i="15"/>
  <c r="E32" i="15"/>
  <c r="H21" i="15"/>
  <c r="F25" i="15"/>
  <c r="F36" i="15"/>
  <c r="D51" i="15"/>
  <c r="B55" i="15"/>
  <c r="G65" i="15"/>
  <c r="G32" i="15"/>
  <c r="G36" i="15"/>
  <c r="D68" i="15"/>
  <c r="C55" i="15"/>
  <c r="C62" i="15"/>
  <c r="H65" i="15"/>
  <c r="C31" i="15"/>
  <c r="C21" i="15"/>
  <c r="D35" i="15"/>
  <c r="C33" i="15"/>
  <c r="C23" i="15"/>
  <c r="D32" i="15"/>
  <c r="D24" i="15"/>
  <c r="D31" i="15"/>
  <c r="H32" i="15"/>
  <c r="F51" i="15"/>
  <c r="H20" i="15"/>
  <c r="E31" i="15"/>
  <c r="E35" i="15"/>
  <c r="G62" i="15"/>
  <c r="H51" i="15"/>
  <c r="B65" i="15"/>
  <c r="C54" i="15"/>
  <c r="D67" i="15"/>
  <c r="E68" i="15"/>
  <c r="E56" i="15"/>
  <c r="F69" i="15"/>
  <c r="E55" i="15"/>
  <c r="E62" i="15"/>
  <c r="C66" i="15"/>
  <c r="D23" i="15"/>
  <c r="G35" i="15"/>
  <c r="F68" i="15"/>
  <c r="F56" i="15"/>
  <c r="C36" i="15"/>
  <c r="C26" i="15"/>
  <c r="C53" i="15"/>
  <c r="C56" i="15"/>
  <c r="H63" i="15"/>
  <c r="C35" i="15"/>
  <c r="C25" i="15"/>
  <c r="E23" i="15"/>
  <c r="H31" i="15"/>
  <c r="C34" i="15"/>
  <c r="G23" i="15"/>
  <c r="D22" i="15"/>
  <c r="H23" i="15"/>
  <c r="D56" i="15"/>
  <c r="B64" i="15"/>
  <c r="D30" i="15"/>
  <c r="H55" i="15"/>
  <c r="G66" i="15"/>
  <c r="C32" i="15"/>
  <c r="C22" i="15"/>
  <c r="E22" i="15"/>
  <c r="E26" i="15"/>
  <c r="B69" i="15"/>
  <c r="B57" i="15"/>
  <c r="F53" i="15"/>
  <c r="D21" i="15"/>
  <c r="G22" i="15"/>
  <c r="F26" i="15"/>
  <c r="E57" i="15"/>
  <c r="E64" i="15"/>
  <c r="G26" i="15"/>
  <c r="B68" i="15"/>
  <c r="H50" i="15"/>
  <c r="F57" i="15"/>
  <c r="C24" i="15"/>
  <c r="L28" i="1"/>
  <c r="L30" i="1"/>
  <c r="L31" i="1"/>
  <c r="M31" i="1" s="1"/>
  <c r="L34" i="1"/>
  <c r="L35" i="1"/>
  <c r="M35" i="1" s="1"/>
  <c r="L36" i="1"/>
  <c r="L38" i="1"/>
  <c r="L39" i="1"/>
  <c r="L27" i="1"/>
  <c r="M27" i="1" s="1"/>
  <c r="K27" i="1"/>
  <c r="K28" i="1"/>
  <c r="K29" i="1"/>
  <c r="L29" i="1" s="1"/>
  <c r="K30" i="1"/>
  <c r="K31" i="1"/>
  <c r="K32" i="1"/>
  <c r="L32" i="1" s="1"/>
  <c r="K33" i="1"/>
  <c r="L33" i="1" s="1"/>
  <c r="K34" i="1"/>
  <c r="K35" i="1"/>
  <c r="K36" i="1"/>
  <c r="K37" i="1"/>
  <c r="L37" i="1" s="1"/>
  <c r="K38" i="1"/>
  <c r="K39" i="1"/>
  <c r="K40" i="1"/>
  <c r="L40" i="1" s="1"/>
  <c r="D58" i="15" l="1"/>
  <c r="L55" i="15"/>
  <c r="Q55" i="15"/>
  <c r="P54" i="15"/>
  <c r="P55" i="15"/>
  <c r="K50" i="15"/>
  <c r="P56" i="15"/>
  <c r="N56" i="15"/>
  <c r="P57" i="15"/>
  <c r="Q57" i="15"/>
  <c r="G58" i="15"/>
  <c r="H58" i="15"/>
  <c r="M57" i="15"/>
  <c r="F58" i="15"/>
  <c r="O54" i="15" s="1"/>
  <c r="N55" i="15"/>
  <c r="K57" i="15"/>
  <c r="L56" i="15"/>
  <c r="L54" i="15"/>
  <c r="N54" i="15"/>
  <c r="K52" i="15"/>
  <c r="P52" i="15"/>
  <c r="M56" i="15"/>
  <c r="K51" i="15"/>
  <c r="Q51" i="15"/>
  <c r="K55" i="15"/>
  <c r="E58" i="15"/>
  <c r="M53" i="15"/>
  <c r="M51" i="15"/>
  <c r="O56" i="15"/>
  <c r="K56" i="15"/>
  <c r="K53" i="15"/>
  <c r="C58" i="15"/>
  <c r="O50" i="15" l="1"/>
  <c r="N52" i="15"/>
  <c r="N53" i="15"/>
  <c r="N51" i="15"/>
  <c r="O55" i="15"/>
  <c r="O52" i="15"/>
  <c r="N50" i="15"/>
  <c r="O51" i="15"/>
  <c r="O53" i="15"/>
  <c r="Q52" i="15"/>
  <c r="Q53" i="15"/>
  <c r="Q54" i="15"/>
  <c r="L52" i="15"/>
  <c r="L57" i="15"/>
  <c r="L51" i="15"/>
  <c r="Q50" i="15"/>
  <c r="N57" i="15"/>
  <c r="L50" i="15"/>
  <c r="L53" i="15"/>
  <c r="Q56" i="15"/>
  <c r="O57" i="15"/>
  <c r="P51" i="15"/>
  <c r="P53" i="15"/>
  <c r="M52" i="15"/>
  <c r="M54" i="15"/>
  <c r="M55" i="15"/>
  <c r="P50" i="15"/>
  <c r="M50" i="15"/>
  <c r="O23" i="1" l="1"/>
  <c r="N23" i="1"/>
  <c r="O22" i="1"/>
  <c r="N22" i="1"/>
  <c r="O21" i="1"/>
  <c r="N21" i="1"/>
  <c r="G23" i="1"/>
  <c r="F23" i="1"/>
  <c r="G22" i="1"/>
  <c r="F22" i="1"/>
  <c r="G21" i="1"/>
  <c r="F21" i="1"/>
  <c r="F24" i="1" l="1"/>
  <c r="H23" i="1"/>
  <c r="H22" i="1"/>
  <c r="H21" i="1"/>
  <c r="N24" i="1"/>
  <c r="O24" i="1"/>
  <c r="P23" i="1"/>
  <c r="P22" i="1"/>
  <c r="P21" i="1"/>
  <c r="P24" i="1" s="1"/>
  <c r="G24" i="1"/>
  <c r="H31" i="1" l="1"/>
  <c r="I31" i="1" s="1"/>
  <c r="H32" i="1"/>
  <c r="I32" i="1" s="1"/>
  <c r="H34" i="1"/>
  <c r="I34" i="1" s="1"/>
  <c r="H35" i="1"/>
  <c r="I35" i="1" s="1"/>
  <c r="H33" i="1"/>
  <c r="I33" i="1" s="1"/>
  <c r="H36" i="1"/>
  <c r="I36" i="1" s="1"/>
  <c r="H37" i="1"/>
  <c r="I37" i="1" s="1"/>
  <c r="H28" i="1"/>
  <c r="I28" i="1" s="1"/>
  <c r="H30" i="1"/>
  <c r="I30" i="1" s="1"/>
  <c r="H38" i="1"/>
  <c r="I38" i="1" s="1"/>
  <c r="H29" i="1"/>
  <c r="I29" i="1" s="1"/>
  <c r="H39" i="1"/>
  <c r="I39" i="1" s="1"/>
  <c r="H40" i="1"/>
  <c r="I40" i="1" s="1"/>
  <c r="H27" i="1"/>
  <c r="I27" i="1" s="1"/>
  <c r="N29" i="1"/>
  <c r="N35" i="1"/>
  <c r="N36" i="1"/>
  <c r="N37" i="1"/>
  <c r="N39" i="1"/>
  <c r="N27" i="1"/>
  <c r="N28" i="1"/>
  <c r="N30" i="1"/>
  <c r="N31" i="1"/>
  <c r="N33" i="1"/>
  <c r="N32" i="1"/>
  <c r="N34" i="1"/>
  <c r="N40" i="1"/>
  <c r="N38" i="1"/>
  <c r="J27" i="1"/>
  <c r="J39" i="1"/>
  <c r="J40" i="1"/>
  <c r="J28" i="1"/>
  <c r="J36" i="1"/>
  <c r="J29" i="1"/>
  <c r="J30" i="1"/>
  <c r="J32" i="1"/>
  <c r="J31" i="1"/>
  <c r="J33" i="1"/>
  <c r="J34" i="1"/>
  <c r="J35" i="1"/>
  <c r="J37" i="1"/>
  <c r="J38" i="1"/>
  <c r="H24" i="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B35" i="11"/>
  <c r="B34" i="11"/>
  <c r="B33" i="11"/>
  <c r="B32" i="11"/>
  <c r="B31" i="11"/>
  <c r="B30" i="11"/>
  <c r="B29" i="11"/>
  <c r="I59" i="13"/>
  <c r="J59" i="13" s="1"/>
  <c r="D59" i="13"/>
  <c r="E59" i="13" s="1"/>
  <c r="D57" i="13"/>
  <c r="E57" i="13" s="1"/>
  <c r="S47" i="13"/>
  <c r="T47" i="13" s="1"/>
  <c r="I47" i="13"/>
  <c r="J47" i="13" s="1"/>
  <c r="D47" i="13"/>
  <c r="E47" i="13" s="1"/>
  <c r="I46" i="13"/>
  <c r="J46" i="13" s="1"/>
  <c r="I35" i="13"/>
  <c r="J35" i="13" s="1"/>
  <c r="D35" i="13"/>
  <c r="E35" i="13" s="1"/>
  <c r="S23" i="13"/>
  <c r="T23" i="13" s="1"/>
  <c r="N23" i="13"/>
  <c r="O23" i="13" s="1"/>
  <c r="I23" i="13"/>
  <c r="J23" i="13" s="1"/>
  <c r="D23" i="13"/>
  <c r="E23" i="13" s="1"/>
  <c r="K12" i="13"/>
  <c r="J12" i="13"/>
  <c r="I12" i="13"/>
  <c r="K11" i="13"/>
  <c r="J11" i="13"/>
  <c r="I11" i="13"/>
  <c r="K10" i="13"/>
  <c r="J10" i="13"/>
  <c r="I10" i="13"/>
  <c r="K9" i="13"/>
  <c r="J9" i="13"/>
  <c r="I9" i="13"/>
  <c r="K8" i="13"/>
  <c r="J8" i="13"/>
  <c r="I8" i="13"/>
  <c r="K7" i="13"/>
  <c r="J7" i="13"/>
  <c r="I7" i="13"/>
  <c r="K6" i="13"/>
  <c r="J6" i="13"/>
  <c r="I6" i="13"/>
  <c r="K5" i="13"/>
  <c r="J5" i="13"/>
  <c r="I5" i="13"/>
  <c r="I18" i="9"/>
  <c r="D14" i="12"/>
  <c r="E14" i="12" s="1"/>
  <c r="F14" i="12" s="1"/>
  <c r="D13" i="12"/>
  <c r="D12" i="12"/>
  <c r="E12" i="12" s="1"/>
  <c r="F12" i="12" s="1"/>
  <c r="D11" i="12"/>
  <c r="D10" i="12"/>
  <c r="E10" i="12" s="1"/>
  <c r="F10" i="12" s="1"/>
  <c r="D9" i="12"/>
  <c r="D8" i="12"/>
  <c r="E8" i="12" s="1"/>
  <c r="F8" i="12" s="1"/>
  <c r="D7" i="12"/>
  <c r="D6" i="12"/>
  <c r="G6" i="12" s="1"/>
  <c r="D5" i="12"/>
  <c r="G5" i="12" s="1"/>
  <c r="D4" i="12"/>
  <c r="E4" i="12" s="1"/>
  <c r="F4" i="12" s="1"/>
  <c r="V3" i="15" l="1"/>
  <c r="U3" i="15"/>
  <c r="T3" i="15"/>
  <c r="X3" i="15"/>
  <c r="S3" i="15"/>
  <c r="W3" i="15"/>
  <c r="X4" i="15"/>
  <c r="V4" i="15"/>
  <c r="W4" i="15"/>
  <c r="T4" i="15"/>
  <c r="S4" i="15"/>
  <c r="U4" i="15"/>
  <c r="U15" i="15"/>
  <c r="T15" i="15"/>
  <c r="X15" i="15"/>
  <c r="W15" i="15"/>
  <c r="V15" i="15"/>
  <c r="S15" i="15"/>
  <c r="W16" i="15"/>
  <c r="S16" i="15"/>
  <c r="T16" i="15"/>
  <c r="V16" i="15"/>
  <c r="U16" i="15"/>
  <c r="X16" i="15"/>
  <c r="V5" i="15"/>
  <c r="X5" i="15"/>
  <c r="W5" i="15"/>
  <c r="U5" i="15"/>
  <c r="S5" i="15"/>
  <c r="T5" i="15"/>
  <c r="W6" i="15"/>
  <c r="U6" i="15"/>
  <c r="S6" i="15"/>
  <c r="V6" i="15"/>
  <c r="X6" i="15"/>
  <c r="T6" i="15"/>
  <c r="X13" i="15"/>
  <c r="U13" i="15"/>
  <c r="S13" i="15"/>
  <c r="V13" i="15"/>
  <c r="W13" i="15"/>
  <c r="W35" i="15" s="1"/>
  <c r="T12" i="15"/>
  <c r="S12" i="15"/>
  <c r="W12" i="15"/>
  <c r="X12" i="15"/>
  <c r="V12" i="15"/>
  <c r="U12" i="15"/>
  <c r="X9" i="15"/>
  <c r="U9" i="15"/>
  <c r="S9" i="15"/>
  <c r="T9" i="15"/>
  <c r="V9" i="15"/>
  <c r="W9" i="15"/>
  <c r="X14" i="15"/>
  <c r="T14" i="15"/>
  <c r="U14" i="15"/>
  <c r="W14" i="15"/>
  <c r="W25" i="15" s="1"/>
  <c r="S14" i="15"/>
  <c r="V14" i="15"/>
  <c r="T11" i="15"/>
  <c r="S11" i="15"/>
  <c r="V11" i="15"/>
  <c r="W11" i="15"/>
  <c r="U11" i="15"/>
  <c r="X11" i="15"/>
  <c r="U10" i="15"/>
  <c r="S10" i="15"/>
  <c r="X10" i="15"/>
  <c r="V10" i="15"/>
  <c r="W10" i="15"/>
  <c r="T10" i="15"/>
  <c r="X8" i="15"/>
  <c r="S8" i="15"/>
  <c r="U8" i="15"/>
  <c r="V8" i="15"/>
  <c r="W8" i="15"/>
  <c r="T8" i="15"/>
  <c r="W7" i="15"/>
  <c r="T7" i="15"/>
  <c r="S7" i="15"/>
  <c r="X7" i="15"/>
  <c r="U7" i="15"/>
  <c r="V7" i="15"/>
  <c r="E13" i="12"/>
  <c r="F13" i="12" s="1"/>
  <c r="L6" i="12"/>
  <c r="E11" i="12"/>
  <c r="F11" i="12" s="1"/>
  <c r="L5" i="12"/>
  <c r="E9" i="12"/>
  <c r="F9" i="12" s="1"/>
  <c r="L4" i="12"/>
  <c r="E7" i="12"/>
  <c r="F7" i="12" s="1"/>
  <c r="L3" i="12"/>
  <c r="I55" i="13"/>
  <c r="J55" i="13" s="1"/>
  <c r="S35" i="13"/>
  <c r="T35" i="13" s="1"/>
  <c r="D52" i="13"/>
  <c r="E52" i="13" s="1"/>
  <c r="D56" i="13"/>
  <c r="E56" i="13" s="1"/>
  <c r="S42" i="13"/>
  <c r="T42" i="13" s="1"/>
  <c r="S46" i="13"/>
  <c r="T46" i="13" s="1"/>
  <c r="D31" i="13"/>
  <c r="E31" i="13" s="1"/>
  <c r="D46" i="13"/>
  <c r="E46" i="13" s="1"/>
  <c r="D58" i="13"/>
  <c r="E58" i="13" s="1"/>
  <c r="I53" i="13"/>
  <c r="J53" i="13" s="1"/>
  <c r="I57" i="13"/>
  <c r="J57" i="13" s="1"/>
  <c r="D18" i="13"/>
  <c r="E18" i="13" s="1"/>
  <c r="I22" i="13"/>
  <c r="J22" i="13" s="1"/>
  <c r="D34" i="13"/>
  <c r="E34" i="13" s="1"/>
  <c r="D42" i="13"/>
  <c r="E42" i="13" s="1"/>
  <c r="D54" i="13"/>
  <c r="E54" i="13" s="1"/>
  <c r="I58" i="13"/>
  <c r="J58" i="13" s="1"/>
  <c r="S40" i="13"/>
  <c r="T40" i="13" s="1"/>
  <c r="I31" i="13"/>
  <c r="J31" i="13" s="1"/>
  <c r="S44" i="13"/>
  <c r="T44" i="13" s="1"/>
  <c r="I18" i="13"/>
  <c r="J18" i="13" s="1"/>
  <c r="D30" i="13"/>
  <c r="E30" i="13" s="1"/>
  <c r="I34" i="13"/>
  <c r="J34" i="13" s="1"/>
  <c r="I42" i="13"/>
  <c r="J42" i="13" s="1"/>
  <c r="I54" i="13"/>
  <c r="J54" i="13" s="1"/>
  <c r="D22" i="13"/>
  <c r="E22" i="13" s="1"/>
  <c r="D19" i="13"/>
  <c r="E19" i="13" s="1"/>
  <c r="I30" i="13"/>
  <c r="J30" i="13" s="1"/>
  <c r="D43" i="13"/>
  <c r="E43" i="13" s="1"/>
  <c r="D16" i="13"/>
  <c r="E16" i="13" s="1"/>
  <c r="D17" i="13"/>
  <c r="E17" i="13" s="1"/>
  <c r="D20" i="13"/>
  <c r="E20" i="13" s="1"/>
  <c r="D21" i="13"/>
  <c r="E21" i="13" s="1"/>
  <c r="D28" i="13"/>
  <c r="E28" i="13" s="1"/>
  <c r="D29" i="13"/>
  <c r="E29" i="13" s="1"/>
  <c r="D32" i="13"/>
  <c r="E32" i="13" s="1"/>
  <c r="D33" i="13"/>
  <c r="E33" i="13" s="1"/>
  <c r="D40" i="13"/>
  <c r="E40" i="13" s="1"/>
  <c r="D41" i="13"/>
  <c r="E41" i="13" s="1"/>
  <c r="D44" i="13"/>
  <c r="E44" i="13" s="1"/>
  <c r="I28" i="13"/>
  <c r="J28" i="13" s="1"/>
  <c r="I29" i="13"/>
  <c r="J29" i="13" s="1"/>
  <c r="I40" i="13"/>
  <c r="J40" i="13" s="1"/>
  <c r="I41" i="13"/>
  <c r="J41" i="13" s="1"/>
  <c r="I43" i="13"/>
  <c r="J43" i="13" s="1"/>
  <c r="I56" i="13"/>
  <c r="J56" i="13" s="1"/>
  <c r="N16" i="13"/>
  <c r="O16" i="13" s="1"/>
  <c r="N17" i="13"/>
  <c r="O17" i="13" s="1"/>
  <c r="N18" i="13"/>
  <c r="O18" i="13" s="1"/>
  <c r="N19" i="13"/>
  <c r="O19" i="13" s="1"/>
  <c r="N20" i="13"/>
  <c r="O20" i="13" s="1"/>
  <c r="N21" i="13"/>
  <c r="O21" i="13" s="1"/>
  <c r="N22" i="13"/>
  <c r="O22" i="13" s="1"/>
  <c r="N28" i="13"/>
  <c r="O28" i="13" s="1"/>
  <c r="N29" i="13"/>
  <c r="O29" i="13" s="1"/>
  <c r="N30" i="13"/>
  <c r="O30" i="13" s="1"/>
  <c r="N31" i="13"/>
  <c r="O31" i="13" s="1"/>
  <c r="N32" i="13"/>
  <c r="O32" i="13" s="1"/>
  <c r="N33" i="13"/>
  <c r="O33" i="13" s="1"/>
  <c r="N34" i="13"/>
  <c r="O34" i="13" s="1"/>
  <c r="N35" i="13"/>
  <c r="O35" i="13" s="1"/>
  <c r="N40" i="13"/>
  <c r="O40" i="13" s="1"/>
  <c r="N41" i="13"/>
  <c r="O41" i="13" s="1"/>
  <c r="N42" i="13"/>
  <c r="O42" i="13" s="1"/>
  <c r="N43" i="13"/>
  <c r="O43" i="13" s="1"/>
  <c r="N44" i="13"/>
  <c r="O44" i="13" s="1"/>
  <c r="N45" i="13"/>
  <c r="O45" i="13" s="1"/>
  <c r="N46" i="13"/>
  <c r="O46" i="13" s="1"/>
  <c r="N47" i="13"/>
  <c r="O47" i="13" s="1"/>
  <c r="D53" i="13"/>
  <c r="E53" i="13" s="1"/>
  <c r="D55" i="13"/>
  <c r="E55" i="13" s="1"/>
  <c r="D45" i="13"/>
  <c r="E45" i="13" s="1"/>
  <c r="I16" i="13"/>
  <c r="J16" i="13" s="1"/>
  <c r="I17" i="13"/>
  <c r="J17" i="13" s="1"/>
  <c r="I19" i="13"/>
  <c r="J19" i="13" s="1"/>
  <c r="I20" i="13"/>
  <c r="J20" i="13" s="1"/>
  <c r="I21" i="13"/>
  <c r="J21" i="13" s="1"/>
  <c r="I32" i="13"/>
  <c r="J32" i="13" s="1"/>
  <c r="I33" i="13"/>
  <c r="J33" i="13" s="1"/>
  <c r="I44" i="13"/>
  <c r="J44" i="13" s="1"/>
  <c r="I45" i="13"/>
  <c r="J45" i="13" s="1"/>
  <c r="I52" i="13"/>
  <c r="J52" i="13" s="1"/>
  <c r="S16" i="13"/>
  <c r="T16" i="13" s="1"/>
  <c r="S17" i="13"/>
  <c r="T17" i="13" s="1"/>
  <c r="S18" i="13"/>
  <c r="T18" i="13" s="1"/>
  <c r="S19" i="13"/>
  <c r="T19" i="13" s="1"/>
  <c r="S20" i="13"/>
  <c r="T20" i="13" s="1"/>
  <c r="S21" i="13"/>
  <c r="T21" i="13" s="1"/>
  <c r="S22" i="13"/>
  <c r="T22" i="13" s="1"/>
  <c r="S28" i="13"/>
  <c r="T28" i="13" s="1"/>
  <c r="S29" i="13"/>
  <c r="T29" i="13" s="1"/>
  <c r="S30" i="13"/>
  <c r="T30" i="13" s="1"/>
  <c r="S31" i="13"/>
  <c r="T31" i="13" s="1"/>
  <c r="S32" i="13"/>
  <c r="T32" i="13" s="1"/>
  <c r="S33" i="13"/>
  <c r="T33" i="13" s="1"/>
  <c r="S34" i="13"/>
  <c r="T34" i="13" s="1"/>
  <c r="S41" i="13"/>
  <c r="T41" i="13" s="1"/>
  <c r="S43" i="13"/>
  <c r="T43" i="13" s="1"/>
  <c r="S45" i="13"/>
  <c r="T45" i="13" s="1"/>
  <c r="E5" i="12"/>
  <c r="F5" i="12" s="1"/>
  <c r="H5" i="12"/>
  <c r="E6" i="12"/>
  <c r="F6" i="12" s="1"/>
  <c r="X26" i="15" l="1"/>
  <c r="Y26" i="15" s="1"/>
  <c r="X36" i="15"/>
  <c r="S21" i="15"/>
  <c r="S31" i="15"/>
  <c r="U26" i="15"/>
  <c r="U36" i="15"/>
  <c r="T32" i="15"/>
  <c r="T22" i="15"/>
  <c r="S32" i="15"/>
  <c r="S22" i="15"/>
  <c r="V24" i="15"/>
  <c r="V34" i="15"/>
  <c r="X31" i="15"/>
  <c r="X21" i="15"/>
  <c r="Y21" i="15" s="1"/>
  <c r="W34" i="15"/>
  <c r="W24" i="15"/>
  <c r="V31" i="15"/>
  <c r="V21" i="15"/>
  <c r="W30" i="15"/>
  <c r="W20" i="15"/>
  <c r="T36" i="15"/>
  <c r="T26" i="15"/>
  <c r="U21" i="15"/>
  <c r="U31" i="15"/>
  <c r="W31" i="15"/>
  <c r="W21" i="15"/>
  <c r="U25" i="15"/>
  <c r="U35" i="15"/>
  <c r="W33" i="15"/>
  <c r="W23" i="15"/>
  <c r="X35" i="15"/>
  <c r="X25" i="15"/>
  <c r="Y25" i="15" s="1"/>
  <c r="S20" i="15"/>
  <c r="S30" i="15"/>
  <c r="X33" i="15"/>
  <c r="X23" i="15"/>
  <c r="Y23" i="15" s="1"/>
  <c r="W32" i="15"/>
  <c r="W22" i="15"/>
  <c r="Y22" i="15" s="1"/>
  <c r="S24" i="15"/>
  <c r="S34" i="15"/>
  <c r="V33" i="15"/>
  <c r="V23" i="15"/>
  <c r="X20" i="15"/>
  <c r="Y20" i="15" s="1"/>
  <c r="X30" i="15"/>
  <c r="T35" i="15"/>
  <c r="T25" i="15"/>
  <c r="V32" i="15"/>
  <c r="V22" i="15"/>
  <c r="T23" i="15"/>
  <c r="T33" i="15"/>
  <c r="T30" i="15"/>
  <c r="T20" i="15"/>
  <c r="U24" i="15"/>
  <c r="U34" i="15"/>
  <c r="U30" i="15"/>
  <c r="U20" i="15"/>
  <c r="W36" i="15"/>
  <c r="W26" i="15"/>
  <c r="T21" i="15"/>
  <c r="T31" i="15"/>
  <c r="T24" i="15"/>
  <c r="T34" i="15"/>
  <c r="V35" i="15"/>
  <c r="V25" i="15"/>
  <c r="S25" i="15"/>
  <c r="S35" i="15"/>
  <c r="U32" i="15"/>
  <c r="U22" i="15"/>
  <c r="S33" i="15"/>
  <c r="S23" i="15"/>
  <c r="S36" i="15"/>
  <c r="S26" i="15"/>
  <c r="X22" i="15"/>
  <c r="X32" i="15"/>
  <c r="X34" i="15"/>
  <c r="X24" i="15"/>
  <c r="Y24" i="15" s="1"/>
  <c r="U33" i="15"/>
  <c r="U23" i="15"/>
  <c r="V26" i="15"/>
  <c r="V36" i="15"/>
  <c r="V20" i="15"/>
  <c r="V30" i="15"/>
  <c r="L12" i="12"/>
  <c r="L11" i="12"/>
  <c r="L14" i="12"/>
  <c r="I60" i="13"/>
  <c r="J60" i="13"/>
  <c r="N36" i="13"/>
  <c r="S48" i="13"/>
  <c r="I36" i="13"/>
  <c r="D36" i="13"/>
  <c r="T24" i="13"/>
  <c r="O24" i="13"/>
  <c r="J48" i="13"/>
  <c r="E60" i="13"/>
  <c r="S24" i="13"/>
  <c r="D24" i="13"/>
  <c r="T36" i="13"/>
  <c r="O48" i="13"/>
  <c r="O36" i="13"/>
  <c r="E48" i="13"/>
  <c r="E36" i="13"/>
  <c r="E24" i="13"/>
  <c r="T48" i="13"/>
  <c r="N48" i="13"/>
  <c r="J24" i="13"/>
  <c r="J36" i="13"/>
  <c r="D60" i="13"/>
  <c r="S36" i="13"/>
  <c r="D48" i="13"/>
  <c r="I48" i="13"/>
  <c r="N24" i="13"/>
  <c r="I24" i="13"/>
  <c r="L13" i="12"/>
  <c r="O23" i="11" l="1"/>
  <c r="O26" i="11"/>
  <c r="J20" i="11"/>
  <c r="K20" i="11"/>
  <c r="L20" i="11"/>
  <c r="M20" i="11"/>
  <c r="N20" i="11"/>
  <c r="O20" i="11"/>
  <c r="J21" i="11"/>
  <c r="K21" i="11"/>
  <c r="L21" i="11"/>
  <c r="M21" i="11"/>
  <c r="N21" i="11"/>
  <c r="O21" i="11"/>
  <c r="J22" i="11"/>
  <c r="K22" i="11"/>
  <c r="L22" i="11"/>
  <c r="M22" i="11"/>
  <c r="N22" i="11"/>
  <c r="O22" i="11"/>
  <c r="J23" i="11"/>
  <c r="K23" i="11"/>
  <c r="L23" i="11"/>
  <c r="M23" i="11"/>
  <c r="N23" i="11"/>
  <c r="J24" i="11"/>
  <c r="K24" i="11"/>
  <c r="L24" i="11"/>
  <c r="M24" i="11"/>
  <c r="N24" i="11"/>
  <c r="O24" i="11"/>
  <c r="J25" i="11"/>
  <c r="K25" i="11"/>
  <c r="L25" i="11"/>
  <c r="M25" i="11"/>
  <c r="N25" i="11"/>
  <c r="O25" i="11"/>
  <c r="J26" i="11"/>
  <c r="K26" i="11"/>
  <c r="L26" i="11"/>
  <c r="M26" i="11"/>
  <c r="N26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S47" i="8"/>
  <c r="T47" i="8" s="1"/>
  <c r="S45" i="8"/>
  <c r="T45" i="8" s="1"/>
  <c r="S44" i="8"/>
  <c r="T44" i="8" s="1"/>
  <c r="S42" i="8"/>
  <c r="I59" i="10"/>
  <c r="J59" i="10" s="1"/>
  <c r="D59" i="10"/>
  <c r="E59" i="10" s="1"/>
  <c r="D58" i="10"/>
  <c r="E58" i="10" s="1"/>
  <c r="D57" i="10"/>
  <c r="E57" i="10" s="1"/>
  <c r="D56" i="10"/>
  <c r="E56" i="10" s="1"/>
  <c r="I54" i="10"/>
  <c r="J54" i="10" s="1"/>
  <c r="D54" i="10"/>
  <c r="E54" i="10" s="1"/>
  <c r="S47" i="10"/>
  <c r="T47" i="10" s="1"/>
  <c r="N47" i="10"/>
  <c r="O47" i="10" s="1"/>
  <c r="I47" i="10"/>
  <c r="J47" i="10" s="1"/>
  <c r="D47" i="10"/>
  <c r="E47" i="10" s="1"/>
  <c r="I46" i="10"/>
  <c r="J46" i="10" s="1"/>
  <c r="D46" i="10"/>
  <c r="E46" i="10" s="1"/>
  <c r="I35" i="10"/>
  <c r="J35" i="10" s="1"/>
  <c r="D35" i="10"/>
  <c r="E35" i="10" s="1"/>
  <c r="S18" i="10"/>
  <c r="T18" i="10" s="1"/>
  <c r="N18" i="10"/>
  <c r="O18" i="10" s="1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I59" i="9"/>
  <c r="J59" i="9" s="1"/>
  <c r="D59" i="9"/>
  <c r="E59" i="9" s="1"/>
  <c r="D58" i="9"/>
  <c r="E58" i="9" s="1"/>
  <c r="I57" i="9"/>
  <c r="J57" i="9" s="1"/>
  <c r="D57" i="9"/>
  <c r="E57" i="9" s="1"/>
  <c r="I56" i="9"/>
  <c r="J56" i="9" s="1"/>
  <c r="D56" i="9"/>
  <c r="E56" i="9" s="1"/>
  <c r="I54" i="9"/>
  <c r="J54" i="9" s="1"/>
  <c r="D54" i="9"/>
  <c r="E54" i="9" s="1"/>
  <c r="S47" i="9"/>
  <c r="T47" i="9" s="1"/>
  <c r="N47" i="9"/>
  <c r="O47" i="9" s="1"/>
  <c r="I47" i="9"/>
  <c r="J47" i="9" s="1"/>
  <c r="D47" i="9"/>
  <c r="E47" i="9" s="1"/>
  <c r="D46" i="9"/>
  <c r="E46" i="9" s="1"/>
  <c r="S35" i="9"/>
  <c r="T35" i="9" s="1"/>
  <c r="N35" i="9"/>
  <c r="O35" i="9" s="1"/>
  <c r="I35" i="9"/>
  <c r="J35" i="9" s="1"/>
  <c r="N20" i="9"/>
  <c r="O20" i="9" s="1"/>
  <c r="S18" i="9"/>
  <c r="T18" i="9" s="1"/>
  <c r="N18" i="9"/>
  <c r="O18" i="9" s="1"/>
  <c r="J18" i="9"/>
  <c r="K12" i="9"/>
  <c r="J12" i="9"/>
  <c r="I12" i="9"/>
  <c r="K11" i="9"/>
  <c r="J11" i="9"/>
  <c r="I11" i="9"/>
  <c r="K10" i="9"/>
  <c r="J10" i="9"/>
  <c r="I10" i="9"/>
  <c r="K9" i="9"/>
  <c r="J9" i="9"/>
  <c r="I9" i="9"/>
  <c r="K8" i="9"/>
  <c r="J8" i="9"/>
  <c r="I8" i="9"/>
  <c r="K7" i="9"/>
  <c r="J7" i="9"/>
  <c r="I7" i="9"/>
  <c r="K6" i="9"/>
  <c r="J6" i="9"/>
  <c r="I6" i="9"/>
  <c r="K5" i="9"/>
  <c r="J5" i="9"/>
  <c r="I5" i="9"/>
  <c r="I59" i="8"/>
  <c r="J59" i="8" s="1"/>
  <c r="D59" i="8"/>
  <c r="E59" i="8" s="1"/>
  <c r="D57" i="8"/>
  <c r="E57" i="8" s="1"/>
  <c r="I56" i="8"/>
  <c r="J56" i="8" s="1"/>
  <c r="D56" i="8"/>
  <c r="E56" i="8" s="1"/>
  <c r="I54" i="8"/>
  <c r="J54" i="8" s="1"/>
  <c r="D54" i="8"/>
  <c r="E54" i="8" s="1"/>
  <c r="N47" i="8"/>
  <c r="O47" i="8" s="1"/>
  <c r="I47" i="8"/>
  <c r="J47" i="8" s="1"/>
  <c r="D47" i="8"/>
  <c r="E47" i="8" s="1"/>
  <c r="T42" i="8"/>
  <c r="S35" i="8"/>
  <c r="T35" i="8" s="1"/>
  <c r="N35" i="8"/>
  <c r="O35" i="8" s="1"/>
  <c r="I35" i="8"/>
  <c r="J35" i="8" s="1"/>
  <c r="D35" i="8"/>
  <c r="E35" i="8" s="1"/>
  <c r="S23" i="8"/>
  <c r="T23" i="8" s="1"/>
  <c r="N20" i="8"/>
  <c r="O20" i="8" s="1"/>
  <c r="S18" i="8"/>
  <c r="T18" i="8" s="1"/>
  <c r="D18" i="8"/>
  <c r="E18" i="8" s="1"/>
  <c r="K12" i="8"/>
  <c r="J12" i="8"/>
  <c r="I12" i="8"/>
  <c r="K11" i="8"/>
  <c r="J11" i="8"/>
  <c r="I11" i="8"/>
  <c r="K10" i="8"/>
  <c r="J10" i="8"/>
  <c r="I10" i="8"/>
  <c r="K9" i="8"/>
  <c r="J9" i="8"/>
  <c r="I9" i="8"/>
  <c r="K8" i="8"/>
  <c r="J8" i="8"/>
  <c r="I8" i="8"/>
  <c r="K7" i="8"/>
  <c r="J7" i="8"/>
  <c r="I7" i="8"/>
  <c r="K6" i="8"/>
  <c r="J6" i="8"/>
  <c r="I6" i="8"/>
  <c r="K5" i="8"/>
  <c r="J5" i="8"/>
  <c r="I5" i="8"/>
  <c r="D59" i="7"/>
  <c r="E59" i="7" s="1"/>
  <c r="D58" i="7"/>
  <c r="E58" i="7" s="1"/>
  <c r="I56" i="7"/>
  <c r="J56" i="7" s="1"/>
  <c r="D56" i="7"/>
  <c r="E56" i="7" s="1"/>
  <c r="I54" i="7"/>
  <c r="J54" i="7" s="1"/>
  <c r="D54" i="7"/>
  <c r="E54" i="7" s="1"/>
  <c r="S47" i="7"/>
  <c r="T47" i="7" s="1"/>
  <c r="N47" i="7"/>
  <c r="O47" i="7" s="1"/>
  <c r="I47" i="7"/>
  <c r="J47" i="7" s="1"/>
  <c r="D47" i="7"/>
  <c r="E47" i="7" s="1"/>
  <c r="N46" i="7"/>
  <c r="O46" i="7" s="1"/>
  <c r="S45" i="7"/>
  <c r="T45" i="7" s="1"/>
  <c r="N45" i="7"/>
  <c r="O45" i="7" s="1"/>
  <c r="S44" i="7"/>
  <c r="T44" i="7" s="1"/>
  <c r="S42" i="7"/>
  <c r="T42" i="7" s="1"/>
  <c r="D42" i="7"/>
  <c r="E42" i="7" s="1"/>
  <c r="S35" i="7"/>
  <c r="T35" i="7" s="1"/>
  <c r="N35" i="7"/>
  <c r="O35" i="7" s="1"/>
  <c r="I35" i="7"/>
  <c r="J35" i="7" s="1"/>
  <c r="D35" i="7"/>
  <c r="E35" i="7" s="1"/>
  <c r="S32" i="7"/>
  <c r="T32" i="7" s="1"/>
  <c r="I32" i="7"/>
  <c r="J32" i="7" s="1"/>
  <c r="D32" i="7"/>
  <c r="E32" i="7" s="1"/>
  <c r="N30" i="7"/>
  <c r="O30" i="7" s="1"/>
  <c r="I30" i="7"/>
  <c r="J30" i="7" s="1"/>
  <c r="D30" i="7"/>
  <c r="E30" i="7" s="1"/>
  <c r="S23" i="7"/>
  <c r="T23" i="7" s="1"/>
  <c r="N21" i="7"/>
  <c r="O21" i="7" s="1"/>
  <c r="S20" i="7"/>
  <c r="T20" i="7" s="1"/>
  <c r="N20" i="7"/>
  <c r="O20" i="7" s="1"/>
  <c r="S18" i="7"/>
  <c r="T18" i="7" s="1"/>
  <c r="N18" i="7"/>
  <c r="O18" i="7" s="1"/>
  <c r="I18" i="7"/>
  <c r="J18" i="7" s="1"/>
  <c r="D18" i="7"/>
  <c r="E18" i="7" s="1"/>
  <c r="K12" i="7"/>
  <c r="J12" i="7"/>
  <c r="I12" i="7"/>
  <c r="K11" i="7"/>
  <c r="J11" i="7"/>
  <c r="I11" i="7"/>
  <c r="K10" i="7"/>
  <c r="J10" i="7"/>
  <c r="I10" i="7"/>
  <c r="K9" i="7"/>
  <c r="J9" i="7"/>
  <c r="I9" i="7"/>
  <c r="K8" i="7"/>
  <c r="J8" i="7"/>
  <c r="I8" i="7"/>
  <c r="N43" i="7" s="1"/>
  <c r="O43" i="7" s="1"/>
  <c r="K7" i="7"/>
  <c r="J7" i="7"/>
  <c r="I7" i="7"/>
  <c r="K6" i="7"/>
  <c r="J6" i="7"/>
  <c r="N41" i="7" s="1"/>
  <c r="O41" i="7" s="1"/>
  <c r="I6" i="7"/>
  <c r="K5" i="7"/>
  <c r="J5" i="7"/>
  <c r="I5" i="7"/>
  <c r="D59" i="2"/>
  <c r="D58" i="2"/>
  <c r="D57" i="2"/>
  <c r="D56" i="2"/>
  <c r="D55" i="2"/>
  <c r="D54" i="2"/>
  <c r="D53" i="2"/>
  <c r="I59" i="2"/>
  <c r="I58" i="2"/>
  <c r="I57" i="2"/>
  <c r="I56" i="2"/>
  <c r="I55" i="2"/>
  <c r="I54" i="2"/>
  <c r="I53" i="2"/>
  <c r="S47" i="2"/>
  <c r="S46" i="2"/>
  <c r="S45" i="2"/>
  <c r="S44" i="2"/>
  <c r="S42" i="2"/>
  <c r="N47" i="2"/>
  <c r="N46" i="2"/>
  <c r="N45" i="2"/>
  <c r="N44" i="2"/>
  <c r="N42" i="2"/>
  <c r="I47" i="2"/>
  <c r="I46" i="2"/>
  <c r="I45" i="2"/>
  <c r="I44" i="2"/>
  <c r="I42" i="2"/>
  <c r="D47" i="2"/>
  <c r="D46" i="2"/>
  <c r="D45" i="2"/>
  <c r="D44" i="2"/>
  <c r="D42" i="2"/>
  <c r="D35" i="2"/>
  <c r="D34" i="2"/>
  <c r="D33" i="2"/>
  <c r="D32" i="2"/>
  <c r="D30" i="2"/>
  <c r="I35" i="2"/>
  <c r="I34" i="2"/>
  <c r="I33" i="2"/>
  <c r="I32" i="2"/>
  <c r="I30" i="2"/>
  <c r="N35" i="2"/>
  <c r="N34" i="2"/>
  <c r="N33" i="2"/>
  <c r="N32" i="2"/>
  <c r="N30" i="2"/>
  <c r="S35" i="2"/>
  <c r="S34" i="2"/>
  <c r="S33" i="2"/>
  <c r="S32" i="2"/>
  <c r="S30" i="2"/>
  <c r="S23" i="2"/>
  <c r="S22" i="2"/>
  <c r="S21" i="2"/>
  <c r="S20" i="2"/>
  <c r="S18" i="2"/>
  <c r="N23" i="2"/>
  <c r="N22" i="2"/>
  <c r="N21" i="2"/>
  <c r="N20" i="2"/>
  <c r="N18" i="2"/>
  <c r="I23" i="2"/>
  <c r="I22" i="2"/>
  <c r="I21" i="2"/>
  <c r="I20" i="2"/>
  <c r="I18" i="2"/>
  <c r="D23" i="2"/>
  <c r="D22" i="2"/>
  <c r="D21" i="2"/>
  <c r="D20" i="2"/>
  <c r="D18" i="2"/>
  <c r="N16" i="9" l="1"/>
  <c r="O16" i="9" s="1"/>
  <c r="I53" i="9"/>
  <c r="J53" i="9" s="1"/>
  <c r="N44" i="9"/>
  <c r="O44" i="9" s="1"/>
  <c r="S45" i="9"/>
  <c r="T45" i="9" s="1"/>
  <c r="N42" i="9"/>
  <c r="O42" i="9" s="1"/>
  <c r="N34" i="9"/>
  <c r="O34" i="9" s="1"/>
  <c r="N29" i="9"/>
  <c r="O29" i="9" s="1"/>
  <c r="D52" i="9"/>
  <c r="E52" i="9" s="1"/>
  <c r="D44" i="9"/>
  <c r="E44" i="9" s="1"/>
  <c r="N17" i="9"/>
  <c r="O17" i="9" s="1"/>
  <c r="N32" i="9"/>
  <c r="O32" i="9" s="1"/>
  <c r="N45" i="9"/>
  <c r="O45" i="9" s="1"/>
  <c r="I19" i="9"/>
  <c r="J19" i="9" s="1"/>
  <c r="I23" i="9"/>
  <c r="J23" i="9" s="1"/>
  <c r="N21" i="9"/>
  <c r="O21" i="9" s="1"/>
  <c r="N33" i="9"/>
  <c r="O33" i="9" s="1"/>
  <c r="N40" i="9"/>
  <c r="O40" i="9" s="1"/>
  <c r="I59" i="7"/>
  <c r="J59" i="7" s="1"/>
  <c r="N45" i="8"/>
  <c r="O45" i="8" s="1"/>
  <c r="I42" i="9"/>
  <c r="J42" i="9" s="1"/>
  <c r="N28" i="9"/>
  <c r="O28" i="9" s="1"/>
  <c r="N41" i="9"/>
  <c r="O41" i="9" s="1"/>
  <c r="D53" i="9"/>
  <c r="E53" i="9" s="1"/>
  <c r="N41" i="10"/>
  <c r="O41" i="10" s="1"/>
  <c r="N33" i="10"/>
  <c r="O33" i="10" s="1"/>
  <c r="N34" i="10"/>
  <c r="O34" i="10" s="1"/>
  <c r="I52" i="10"/>
  <c r="J52" i="10" s="1"/>
  <c r="I56" i="10"/>
  <c r="J56" i="10" s="1"/>
  <c r="N42" i="10"/>
  <c r="O42" i="10" s="1"/>
  <c r="S29" i="10"/>
  <c r="T29" i="10" s="1"/>
  <c r="S21" i="10"/>
  <c r="T21" i="10" s="1"/>
  <c r="D53" i="10"/>
  <c r="E53" i="10" s="1"/>
  <c r="N21" i="10"/>
  <c r="O21" i="10" s="1"/>
  <c r="S16" i="10"/>
  <c r="T16" i="10" s="1"/>
  <c r="I43" i="10"/>
  <c r="J43" i="10" s="1"/>
  <c r="I23" i="10"/>
  <c r="J23" i="10" s="1"/>
  <c r="N17" i="10"/>
  <c r="O17" i="10" s="1"/>
  <c r="S20" i="10"/>
  <c r="T20" i="10" s="1"/>
  <c r="N29" i="10"/>
  <c r="O29" i="10" s="1"/>
  <c r="N43" i="10"/>
  <c r="O43" i="10" s="1"/>
  <c r="I42" i="10"/>
  <c r="J42" i="10" s="1"/>
  <c r="I58" i="10"/>
  <c r="J58" i="10" s="1"/>
  <c r="N32" i="10"/>
  <c r="O32" i="10" s="1"/>
  <c r="N44" i="10"/>
  <c r="O44" i="10" s="1"/>
  <c r="N20" i="10"/>
  <c r="O20" i="10" s="1"/>
  <c r="S28" i="10"/>
  <c r="T28" i="10" s="1"/>
  <c r="I41" i="10"/>
  <c r="J41" i="10" s="1"/>
  <c r="I45" i="10"/>
  <c r="J45" i="10" s="1"/>
  <c r="N16" i="10"/>
  <c r="N28" i="10"/>
  <c r="O28" i="10" s="1"/>
  <c r="S32" i="10"/>
  <c r="T32" i="10" s="1"/>
  <c r="N40" i="10"/>
  <c r="O40" i="10" s="1"/>
  <c r="N45" i="10"/>
  <c r="O45" i="10" s="1"/>
  <c r="S33" i="10"/>
  <c r="T33" i="10" s="1"/>
  <c r="S34" i="10"/>
  <c r="T34" i="10" s="1"/>
  <c r="S35" i="10"/>
  <c r="T35" i="10" s="1"/>
  <c r="S40" i="10"/>
  <c r="T40" i="10" s="1"/>
  <c r="S41" i="10"/>
  <c r="T41" i="10" s="1"/>
  <c r="S42" i="10"/>
  <c r="T42" i="10" s="1"/>
  <c r="S43" i="10"/>
  <c r="T43" i="10" s="1"/>
  <c r="S44" i="10"/>
  <c r="T44" i="10" s="1"/>
  <c r="S45" i="10"/>
  <c r="T45" i="10" s="1"/>
  <c r="S46" i="10"/>
  <c r="T46" i="10" s="1"/>
  <c r="I53" i="10"/>
  <c r="J53" i="10" s="1"/>
  <c r="I55" i="10"/>
  <c r="J55" i="10" s="1"/>
  <c r="I57" i="10"/>
  <c r="J57" i="10" s="1"/>
  <c r="N46" i="10"/>
  <c r="O46" i="10" s="1"/>
  <c r="D55" i="10"/>
  <c r="E55" i="10" s="1"/>
  <c r="S17" i="10"/>
  <c r="T17" i="10" s="1"/>
  <c r="S19" i="10"/>
  <c r="T19" i="10" s="1"/>
  <c r="S22" i="10"/>
  <c r="T22" i="10" s="1"/>
  <c r="S23" i="10"/>
  <c r="T23" i="10" s="1"/>
  <c r="D16" i="10"/>
  <c r="D17" i="10"/>
  <c r="E17" i="10" s="1"/>
  <c r="D18" i="10"/>
  <c r="E18" i="10" s="1"/>
  <c r="D19" i="10"/>
  <c r="E19" i="10" s="1"/>
  <c r="D20" i="10"/>
  <c r="E20" i="10" s="1"/>
  <c r="D21" i="10"/>
  <c r="E21" i="10" s="1"/>
  <c r="D22" i="10"/>
  <c r="E22" i="10" s="1"/>
  <c r="D23" i="10"/>
  <c r="E23" i="10" s="1"/>
  <c r="D28" i="10"/>
  <c r="D29" i="10"/>
  <c r="E29" i="10" s="1"/>
  <c r="D30" i="10"/>
  <c r="E30" i="10" s="1"/>
  <c r="D31" i="10"/>
  <c r="E31" i="10" s="1"/>
  <c r="D32" i="10"/>
  <c r="E32" i="10" s="1"/>
  <c r="D33" i="10"/>
  <c r="E33" i="10" s="1"/>
  <c r="D34" i="10"/>
  <c r="E34" i="10" s="1"/>
  <c r="D40" i="10"/>
  <c r="E40" i="10" s="1"/>
  <c r="D41" i="10"/>
  <c r="E41" i="10" s="1"/>
  <c r="D42" i="10"/>
  <c r="E42" i="10" s="1"/>
  <c r="D43" i="10"/>
  <c r="E43" i="10" s="1"/>
  <c r="D44" i="10"/>
  <c r="E44" i="10" s="1"/>
  <c r="D45" i="10"/>
  <c r="E45" i="10" s="1"/>
  <c r="D52" i="10"/>
  <c r="E52" i="10" s="1"/>
  <c r="N19" i="10"/>
  <c r="O19" i="10" s="1"/>
  <c r="N22" i="10"/>
  <c r="O22" i="10" s="1"/>
  <c r="N23" i="10"/>
  <c r="O23" i="10" s="1"/>
  <c r="N30" i="10"/>
  <c r="O30" i="10" s="1"/>
  <c r="N31" i="10"/>
  <c r="O31" i="10" s="1"/>
  <c r="N35" i="10"/>
  <c r="O35" i="10" s="1"/>
  <c r="S30" i="10"/>
  <c r="T30" i="10" s="1"/>
  <c r="S31" i="10"/>
  <c r="T31" i="10" s="1"/>
  <c r="I16" i="10"/>
  <c r="J16" i="10" s="1"/>
  <c r="I17" i="10"/>
  <c r="J17" i="10" s="1"/>
  <c r="I18" i="10"/>
  <c r="J18" i="10" s="1"/>
  <c r="I19" i="10"/>
  <c r="J19" i="10" s="1"/>
  <c r="I20" i="10"/>
  <c r="J20" i="10" s="1"/>
  <c r="I21" i="10"/>
  <c r="J21" i="10" s="1"/>
  <c r="I22" i="10"/>
  <c r="J22" i="10" s="1"/>
  <c r="I28" i="10"/>
  <c r="J28" i="10" s="1"/>
  <c r="I29" i="10"/>
  <c r="J29" i="10" s="1"/>
  <c r="I30" i="10"/>
  <c r="J30" i="10" s="1"/>
  <c r="I31" i="10"/>
  <c r="J31" i="10" s="1"/>
  <c r="I32" i="10"/>
  <c r="J32" i="10" s="1"/>
  <c r="I33" i="10"/>
  <c r="J33" i="10" s="1"/>
  <c r="I34" i="10"/>
  <c r="J34" i="10" s="1"/>
  <c r="I40" i="10"/>
  <c r="J40" i="10" s="1"/>
  <c r="I44" i="10"/>
  <c r="J44" i="10" s="1"/>
  <c r="N30" i="9"/>
  <c r="O30" i="9" s="1"/>
  <c r="N46" i="9"/>
  <c r="O46" i="9" s="1"/>
  <c r="D55" i="9"/>
  <c r="E55" i="9" s="1"/>
  <c r="I44" i="7"/>
  <c r="J44" i="7" s="1"/>
  <c r="D42" i="8"/>
  <c r="E42" i="8" s="1"/>
  <c r="N46" i="8"/>
  <c r="O46" i="8" s="1"/>
  <c r="I22" i="9"/>
  <c r="J22" i="9" s="1"/>
  <c r="S16" i="9"/>
  <c r="T16" i="9" s="1"/>
  <c r="S17" i="9"/>
  <c r="T17" i="9" s="1"/>
  <c r="S19" i="9"/>
  <c r="T19" i="9" s="1"/>
  <c r="S20" i="9"/>
  <c r="T20" i="9" s="1"/>
  <c r="S21" i="9"/>
  <c r="T21" i="9" s="1"/>
  <c r="S22" i="9"/>
  <c r="T22" i="9" s="1"/>
  <c r="S23" i="9"/>
  <c r="T23" i="9" s="1"/>
  <c r="S28" i="9"/>
  <c r="T28" i="9" s="1"/>
  <c r="S29" i="9"/>
  <c r="T29" i="9" s="1"/>
  <c r="S30" i="9"/>
  <c r="T30" i="9" s="1"/>
  <c r="S31" i="9"/>
  <c r="T31" i="9" s="1"/>
  <c r="S32" i="9"/>
  <c r="T32" i="9" s="1"/>
  <c r="S33" i="9"/>
  <c r="T33" i="9" s="1"/>
  <c r="S34" i="9"/>
  <c r="T34" i="9" s="1"/>
  <c r="S40" i="9"/>
  <c r="T40" i="9" s="1"/>
  <c r="S41" i="9"/>
  <c r="T41" i="9" s="1"/>
  <c r="S42" i="9"/>
  <c r="T42" i="9" s="1"/>
  <c r="S43" i="9"/>
  <c r="T43" i="9" s="1"/>
  <c r="S44" i="9"/>
  <c r="T44" i="9" s="1"/>
  <c r="S46" i="9"/>
  <c r="T46" i="9" s="1"/>
  <c r="I55" i="9"/>
  <c r="J55" i="9" s="1"/>
  <c r="N23" i="9"/>
  <c r="O23" i="9" s="1"/>
  <c r="N31" i="9"/>
  <c r="O31" i="9" s="1"/>
  <c r="N43" i="9"/>
  <c r="O43" i="9" s="1"/>
  <c r="I17" i="9"/>
  <c r="J17" i="9" s="1"/>
  <c r="I21" i="9"/>
  <c r="J21" i="9" s="1"/>
  <c r="D16" i="9"/>
  <c r="E16" i="9" s="1"/>
  <c r="D17" i="9"/>
  <c r="E17" i="9" s="1"/>
  <c r="D18" i="9"/>
  <c r="E18" i="9" s="1"/>
  <c r="D19" i="9"/>
  <c r="E19" i="9" s="1"/>
  <c r="D20" i="9"/>
  <c r="E20" i="9" s="1"/>
  <c r="D21" i="9"/>
  <c r="E21" i="9" s="1"/>
  <c r="D22" i="9"/>
  <c r="E22" i="9" s="1"/>
  <c r="D23" i="9"/>
  <c r="E23" i="9" s="1"/>
  <c r="D28" i="9"/>
  <c r="E28" i="9" s="1"/>
  <c r="D29" i="9"/>
  <c r="E29" i="9" s="1"/>
  <c r="D30" i="9"/>
  <c r="E30" i="9" s="1"/>
  <c r="D31" i="9"/>
  <c r="E31" i="9" s="1"/>
  <c r="D32" i="9"/>
  <c r="E32" i="9" s="1"/>
  <c r="D33" i="9"/>
  <c r="E33" i="9" s="1"/>
  <c r="D34" i="9"/>
  <c r="E34" i="9" s="1"/>
  <c r="D35" i="9"/>
  <c r="E35" i="9" s="1"/>
  <c r="D40" i="9"/>
  <c r="E40" i="9" s="1"/>
  <c r="D41" i="9"/>
  <c r="E41" i="9" s="1"/>
  <c r="D42" i="9"/>
  <c r="E42" i="9" s="1"/>
  <c r="D43" i="9"/>
  <c r="E43" i="9" s="1"/>
  <c r="D45" i="9"/>
  <c r="E45" i="9" s="1"/>
  <c r="N19" i="9"/>
  <c r="O19" i="9" s="1"/>
  <c r="N22" i="9"/>
  <c r="O22" i="9" s="1"/>
  <c r="I53" i="7"/>
  <c r="J53" i="7" s="1"/>
  <c r="S33" i="7"/>
  <c r="T33" i="7" s="1"/>
  <c r="I16" i="9"/>
  <c r="J16" i="9" s="1"/>
  <c r="I20" i="9"/>
  <c r="J20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40" i="9"/>
  <c r="J40" i="9" s="1"/>
  <c r="I41" i="9"/>
  <c r="J41" i="9" s="1"/>
  <c r="I43" i="9"/>
  <c r="J43" i="9" s="1"/>
  <c r="I44" i="9"/>
  <c r="J44" i="9" s="1"/>
  <c r="I45" i="9"/>
  <c r="J45" i="9" s="1"/>
  <c r="I46" i="9"/>
  <c r="J46" i="9" s="1"/>
  <c r="I52" i="9"/>
  <c r="J52" i="9" s="1"/>
  <c r="I58" i="9"/>
  <c r="J58" i="9" s="1"/>
  <c r="D23" i="8"/>
  <c r="E23" i="8" s="1"/>
  <c r="D53" i="8"/>
  <c r="E53" i="8" s="1"/>
  <c r="I45" i="8"/>
  <c r="J45" i="8" s="1"/>
  <c r="N42" i="7"/>
  <c r="O42" i="7" s="1"/>
  <c r="I46" i="7"/>
  <c r="J46" i="7" s="1"/>
  <c r="S28" i="8"/>
  <c r="T28" i="8" s="1"/>
  <c r="I44" i="8"/>
  <c r="J44" i="8" s="1"/>
  <c r="D33" i="7"/>
  <c r="E33" i="7" s="1"/>
  <c r="D55" i="8"/>
  <c r="E55" i="8" s="1"/>
  <c r="N23" i="8"/>
  <c r="O23" i="8" s="1"/>
  <c r="S22" i="7"/>
  <c r="T22" i="7" s="1"/>
  <c r="I57" i="7"/>
  <c r="J57" i="7" s="1"/>
  <c r="D19" i="7"/>
  <c r="E19" i="7" s="1"/>
  <c r="D34" i="7"/>
  <c r="E34" i="7" s="1"/>
  <c r="N23" i="7"/>
  <c r="O23" i="7" s="1"/>
  <c r="D21" i="7"/>
  <c r="E21" i="7" s="1"/>
  <c r="S30" i="7"/>
  <c r="T30" i="7" s="1"/>
  <c r="I55" i="7"/>
  <c r="J55" i="7" s="1"/>
  <c r="D16" i="8"/>
  <c r="E16" i="8" s="1"/>
  <c r="D17" i="8"/>
  <c r="E17" i="8" s="1"/>
  <c r="D19" i="8"/>
  <c r="E19" i="8" s="1"/>
  <c r="D20" i="8"/>
  <c r="E20" i="8" s="1"/>
  <c r="D21" i="8"/>
  <c r="E21" i="8" s="1"/>
  <c r="D22" i="8"/>
  <c r="E22" i="8" s="1"/>
  <c r="D28" i="8"/>
  <c r="E28" i="8" s="1"/>
  <c r="D29" i="8"/>
  <c r="E29" i="8" s="1"/>
  <c r="D30" i="8"/>
  <c r="E30" i="8" s="1"/>
  <c r="D31" i="8"/>
  <c r="E31" i="8" s="1"/>
  <c r="D32" i="8"/>
  <c r="E32" i="8" s="1"/>
  <c r="D33" i="8"/>
  <c r="E33" i="8" s="1"/>
  <c r="D34" i="8"/>
  <c r="E34" i="8" s="1"/>
  <c r="I41" i="8"/>
  <c r="J41" i="8" s="1"/>
  <c r="I42" i="8"/>
  <c r="J42" i="8" s="1"/>
  <c r="I43" i="8"/>
  <c r="J43" i="8" s="1"/>
  <c r="N44" i="8"/>
  <c r="O44" i="8" s="1"/>
  <c r="I53" i="8"/>
  <c r="J53" i="8" s="1"/>
  <c r="I55" i="8"/>
  <c r="J55" i="8" s="1"/>
  <c r="I57" i="8"/>
  <c r="J57" i="8" s="1"/>
  <c r="D40" i="8"/>
  <c r="E40" i="8" s="1"/>
  <c r="S43" i="8"/>
  <c r="T43" i="8" s="1"/>
  <c r="I16" i="8"/>
  <c r="J16" i="8" s="1"/>
  <c r="I17" i="8"/>
  <c r="J17" i="8" s="1"/>
  <c r="I18" i="8"/>
  <c r="J18" i="8" s="1"/>
  <c r="I19" i="8"/>
  <c r="J19" i="8" s="1"/>
  <c r="I20" i="8"/>
  <c r="J20" i="8" s="1"/>
  <c r="I21" i="8"/>
  <c r="J21" i="8" s="1"/>
  <c r="I22" i="8"/>
  <c r="J22" i="8" s="1"/>
  <c r="I23" i="8"/>
  <c r="J23" i="8" s="1"/>
  <c r="I28" i="8"/>
  <c r="J28" i="8" s="1"/>
  <c r="I29" i="8"/>
  <c r="J29" i="8" s="1"/>
  <c r="I30" i="8"/>
  <c r="J30" i="8" s="1"/>
  <c r="I31" i="8"/>
  <c r="J31" i="8" s="1"/>
  <c r="I32" i="8"/>
  <c r="J32" i="8" s="1"/>
  <c r="I33" i="8"/>
  <c r="J33" i="8" s="1"/>
  <c r="I34" i="8"/>
  <c r="J34" i="8" s="1"/>
  <c r="I40" i="8"/>
  <c r="J40" i="8" s="1"/>
  <c r="N41" i="8"/>
  <c r="O41" i="8" s="1"/>
  <c r="N42" i="8"/>
  <c r="O42" i="8" s="1"/>
  <c r="N43" i="8"/>
  <c r="O43" i="8" s="1"/>
  <c r="D45" i="8"/>
  <c r="E45" i="8" s="1"/>
  <c r="D46" i="8"/>
  <c r="E46" i="8" s="1"/>
  <c r="D52" i="8"/>
  <c r="E52" i="8" s="1"/>
  <c r="D58" i="8"/>
  <c r="E58" i="8" s="1"/>
  <c r="S40" i="8"/>
  <c r="T40" i="8" s="1"/>
  <c r="I58" i="7"/>
  <c r="J58" i="7" s="1"/>
  <c r="I45" i="7"/>
  <c r="J45" i="7" s="1"/>
  <c r="S21" i="7"/>
  <c r="T21" i="7" s="1"/>
  <c r="S34" i="7"/>
  <c r="T34" i="7" s="1"/>
  <c r="N16" i="8"/>
  <c r="O16" i="8" s="1"/>
  <c r="N17" i="8"/>
  <c r="O17" i="8" s="1"/>
  <c r="N18" i="8"/>
  <c r="O18" i="8" s="1"/>
  <c r="N19" i="8"/>
  <c r="O19" i="8" s="1"/>
  <c r="N21" i="8"/>
  <c r="O21" i="8" s="1"/>
  <c r="N22" i="8"/>
  <c r="O22" i="8" s="1"/>
  <c r="N28" i="8"/>
  <c r="O28" i="8" s="1"/>
  <c r="N29" i="8"/>
  <c r="O29" i="8" s="1"/>
  <c r="N30" i="8"/>
  <c r="O30" i="8" s="1"/>
  <c r="N31" i="8"/>
  <c r="O31" i="8" s="1"/>
  <c r="N32" i="8"/>
  <c r="O32" i="8" s="1"/>
  <c r="N33" i="8"/>
  <c r="O33" i="8" s="1"/>
  <c r="N34" i="8"/>
  <c r="O34" i="8" s="1"/>
  <c r="N40" i="8"/>
  <c r="O40" i="8" s="1"/>
  <c r="D44" i="8"/>
  <c r="E44" i="8" s="1"/>
  <c r="I46" i="8"/>
  <c r="J46" i="8" s="1"/>
  <c r="I52" i="8"/>
  <c r="J52" i="8" s="1"/>
  <c r="I58" i="8"/>
  <c r="J58" i="8" s="1"/>
  <c r="S41" i="8"/>
  <c r="T41" i="8" s="1"/>
  <c r="S46" i="8"/>
  <c r="T46" i="8" s="1"/>
  <c r="S16" i="8"/>
  <c r="T16" i="8" s="1"/>
  <c r="S17" i="8"/>
  <c r="T17" i="8" s="1"/>
  <c r="S19" i="8"/>
  <c r="T19" i="8" s="1"/>
  <c r="S20" i="8"/>
  <c r="T20" i="8" s="1"/>
  <c r="S21" i="8"/>
  <c r="T21" i="8" s="1"/>
  <c r="S22" i="8"/>
  <c r="T22" i="8" s="1"/>
  <c r="S29" i="8"/>
  <c r="T29" i="8" s="1"/>
  <c r="S30" i="8"/>
  <c r="T30" i="8" s="1"/>
  <c r="S31" i="8"/>
  <c r="T31" i="8" s="1"/>
  <c r="S32" i="8"/>
  <c r="T32" i="8" s="1"/>
  <c r="S33" i="8"/>
  <c r="T33" i="8" s="1"/>
  <c r="S34" i="8"/>
  <c r="T34" i="8" s="1"/>
  <c r="D41" i="8"/>
  <c r="E41" i="8" s="1"/>
  <c r="D43" i="8"/>
  <c r="E43" i="8" s="1"/>
  <c r="N44" i="7"/>
  <c r="O44" i="7" s="1"/>
  <c r="N19" i="7"/>
  <c r="O19" i="7" s="1"/>
  <c r="D43" i="7"/>
  <c r="E43" i="7" s="1"/>
  <c r="S46" i="7"/>
  <c r="T46" i="7" s="1"/>
  <c r="I20" i="7"/>
  <c r="J20" i="7" s="1"/>
  <c r="I21" i="7"/>
  <c r="J21" i="7" s="1"/>
  <c r="I22" i="7"/>
  <c r="J22" i="7" s="1"/>
  <c r="I23" i="7"/>
  <c r="J23" i="7" s="1"/>
  <c r="I33" i="7"/>
  <c r="J33" i="7" s="1"/>
  <c r="I34" i="7"/>
  <c r="J34" i="7" s="1"/>
  <c r="I42" i="7"/>
  <c r="J42" i="7" s="1"/>
  <c r="D44" i="7"/>
  <c r="E44" i="7" s="1"/>
  <c r="D45" i="7"/>
  <c r="E45" i="7" s="1"/>
  <c r="D46" i="7"/>
  <c r="E46" i="7" s="1"/>
  <c r="D53" i="7"/>
  <c r="E53" i="7" s="1"/>
  <c r="D55" i="7"/>
  <c r="E55" i="7" s="1"/>
  <c r="D57" i="7"/>
  <c r="E57" i="7" s="1"/>
  <c r="D20" i="7"/>
  <c r="E20" i="7" s="1"/>
  <c r="D22" i="7"/>
  <c r="E22" i="7" s="1"/>
  <c r="D23" i="7"/>
  <c r="E23" i="7" s="1"/>
  <c r="D40" i="7"/>
  <c r="E40" i="7" s="1"/>
  <c r="N22" i="7"/>
  <c r="O22" i="7" s="1"/>
  <c r="N32" i="7"/>
  <c r="O32" i="7" s="1"/>
  <c r="N33" i="7"/>
  <c r="O33" i="7" s="1"/>
  <c r="N34" i="7"/>
  <c r="O34" i="7" s="1"/>
  <c r="S43" i="7"/>
  <c r="T43" i="7" s="1"/>
  <c r="D31" i="7"/>
  <c r="E31" i="7" s="1"/>
  <c r="I52" i="7"/>
  <c r="J52" i="7" s="1"/>
  <c r="N31" i="7"/>
  <c r="O31" i="7" s="1"/>
  <c r="D16" i="7"/>
  <c r="N17" i="7"/>
  <c r="O17" i="7" s="1"/>
  <c r="D28" i="7"/>
  <c r="N29" i="7"/>
  <c r="O29" i="7" s="1"/>
  <c r="D41" i="7"/>
  <c r="E41" i="7" s="1"/>
  <c r="D52" i="7"/>
  <c r="N16" i="7"/>
  <c r="D29" i="7"/>
  <c r="E29" i="7" s="1"/>
  <c r="N40" i="7"/>
  <c r="I16" i="7"/>
  <c r="S16" i="7"/>
  <c r="I17" i="7"/>
  <c r="J17" i="7" s="1"/>
  <c r="S17" i="7"/>
  <c r="T17" i="7" s="1"/>
  <c r="I19" i="7"/>
  <c r="J19" i="7" s="1"/>
  <c r="S19" i="7"/>
  <c r="T19" i="7" s="1"/>
  <c r="I28" i="7"/>
  <c r="S28" i="7"/>
  <c r="I29" i="7"/>
  <c r="J29" i="7" s="1"/>
  <c r="S29" i="7"/>
  <c r="T29" i="7" s="1"/>
  <c r="I31" i="7"/>
  <c r="J31" i="7" s="1"/>
  <c r="S31" i="7"/>
  <c r="T31" i="7" s="1"/>
  <c r="I40" i="7"/>
  <c r="S40" i="7"/>
  <c r="I41" i="7"/>
  <c r="J41" i="7" s="1"/>
  <c r="S41" i="7"/>
  <c r="T41" i="7" s="1"/>
  <c r="I43" i="7"/>
  <c r="J43" i="7" s="1"/>
  <c r="D17" i="7"/>
  <c r="E17" i="7" s="1"/>
  <c r="N28" i="7"/>
  <c r="N36" i="9" l="1"/>
  <c r="O24" i="9"/>
  <c r="E60" i="9"/>
  <c r="O36" i="9"/>
  <c r="D60" i="9"/>
  <c r="J60" i="9"/>
  <c r="T48" i="9"/>
  <c r="T36" i="9"/>
  <c r="T24" i="9"/>
  <c r="E60" i="8"/>
  <c r="J24" i="8"/>
  <c r="J48" i="9"/>
  <c r="J24" i="9"/>
  <c r="E48" i="9"/>
  <c r="E24" i="9"/>
  <c r="O48" i="9"/>
  <c r="I48" i="9"/>
  <c r="I24" i="9"/>
  <c r="J60" i="10"/>
  <c r="E60" i="10"/>
  <c r="J24" i="10"/>
  <c r="D48" i="10"/>
  <c r="J36" i="10"/>
  <c r="O36" i="10"/>
  <c r="T36" i="10"/>
  <c r="T24" i="10"/>
  <c r="J48" i="10"/>
  <c r="D36" i="10"/>
  <c r="D24" i="10"/>
  <c r="T48" i="10"/>
  <c r="N24" i="10"/>
  <c r="N48" i="10"/>
  <c r="E48" i="10"/>
  <c r="O48" i="10"/>
  <c r="I60" i="10"/>
  <c r="S36" i="10"/>
  <c r="S24" i="10"/>
  <c r="D60" i="10"/>
  <c r="N36" i="10"/>
  <c r="I36" i="10"/>
  <c r="O16" i="10"/>
  <c r="O24" i="10" s="1"/>
  <c r="E16" i="10"/>
  <c r="E24" i="10" s="1"/>
  <c r="S48" i="10"/>
  <c r="E28" i="10"/>
  <c r="E36" i="10" s="1"/>
  <c r="I48" i="10"/>
  <c r="I24" i="10"/>
  <c r="E24" i="8"/>
  <c r="S36" i="9"/>
  <c r="D36" i="9"/>
  <c r="E36" i="9"/>
  <c r="I36" i="9"/>
  <c r="N48" i="9"/>
  <c r="J36" i="9"/>
  <c r="I60" i="9"/>
  <c r="N24" i="9"/>
  <c r="S48" i="9"/>
  <c r="S24" i="9"/>
  <c r="D48" i="9"/>
  <c r="D24" i="9"/>
  <c r="I24" i="8"/>
  <c r="T36" i="8"/>
  <c r="T24" i="8"/>
  <c r="E36" i="8"/>
  <c r="I48" i="8"/>
  <c r="T48" i="8"/>
  <c r="J36" i="8"/>
  <c r="J60" i="8"/>
  <c r="I60" i="8"/>
  <c r="I36" i="8"/>
  <c r="O24" i="8"/>
  <c r="J60" i="7"/>
  <c r="S48" i="8"/>
  <c r="S24" i="8"/>
  <c r="D36" i="8"/>
  <c r="D48" i="8"/>
  <c r="N36" i="8"/>
  <c r="O36" i="8"/>
  <c r="O48" i="8"/>
  <c r="J48" i="8"/>
  <c r="N24" i="8"/>
  <c r="D24" i="8"/>
  <c r="S36" i="8"/>
  <c r="D60" i="8"/>
  <c r="N48" i="8"/>
  <c r="E48" i="8"/>
  <c r="D48" i="7"/>
  <c r="I60" i="7"/>
  <c r="T40" i="7"/>
  <c r="T48" i="7" s="1"/>
  <c r="S48" i="7"/>
  <c r="T16" i="7"/>
  <c r="T24" i="7" s="1"/>
  <c r="S24" i="7"/>
  <c r="N24" i="7"/>
  <c r="O16" i="7"/>
  <c r="O24" i="7" s="1"/>
  <c r="E28" i="7"/>
  <c r="E36" i="7" s="1"/>
  <c r="D36" i="7"/>
  <c r="E48" i="7"/>
  <c r="J40" i="7"/>
  <c r="J48" i="7" s="1"/>
  <c r="I48" i="7"/>
  <c r="J16" i="7"/>
  <c r="J24" i="7" s="1"/>
  <c r="I24" i="7"/>
  <c r="E52" i="7"/>
  <c r="E60" i="7" s="1"/>
  <c r="D60" i="7"/>
  <c r="O28" i="7"/>
  <c r="O36" i="7" s="1"/>
  <c r="N36" i="7"/>
  <c r="J28" i="7"/>
  <c r="J36" i="7" s="1"/>
  <c r="I36" i="7"/>
  <c r="T28" i="7"/>
  <c r="T36" i="7" s="1"/>
  <c r="S36" i="7"/>
  <c r="O40" i="7"/>
  <c r="O48" i="7" s="1"/>
  <c r="N48" i="7"/>
  <c r="D24" i="7"/>
  <c r="E16" i="7"/>
  <c r="E24" i="7" s="1"/>
  <c r="J59" i="2" l="1"/>
  <c r="J58" i="2"/>
  <c r="J57" i="2"/>
  <c r="J56" i="2"/>
  <c r="J55" i="2"/>
  <c r="J54" i="2"/>
  <c r="J53" i="2"/>
  <c r="E59" i="2"/>
  <c r="E58" i="2"/>
  <c r="E57" i="2"/>
  <c r="E56" i="2"/>
  <c r="E55" i="2"/>
  <c r="E54" i="2"/>
  <c r="E53" i="2"/>
  <c r="T47" i="2"/>
  <c r="T46" i="2"/>
  <c r="T45" i="2"/>
  <c r="T44" i="2"/>
  <c r="T42" i="2"/>
  <c r="O47" i="2"/>
  <c r="O46" i="2"/>
  <c r="O45" i="2"/>
  <c r="O44" i="2"/>
  <c r="O42" i="2"/>
  <c r="J47" i="2"/>
  <c r="J46" i="2"/>
  <c r="J45" i="2"/>
  <c r="J44" i="2"/>
  <c r="J42" i="2"/>
  <c r="E47" i="2"/>
  <c r="E46" i="2"/>
  <c r="E45" i="2"/>
  <c r="E44" i="2"/>
  <c r="E42" i="2"/>
  <c r="T35" i="2"/>
  <c r="T34" i="2"/>
  <c r="T33" i="2"/>
  <c r="T32" i="2"/>
  <c r="T30" i="2"/>
  <c r="O35" i="2"/>
  <c r="O34" i="2"/>
  <c r="O33" i="2"/>
  <c r="O32" i="2"/>
  <c r="O30" i="2"/>
  <c r="J35" i="2"/>
  <c r="J34" i="2"/>
  <c r="J33" i="2"/>
  <c r="J32" i="2"/>
  <c r="J30" i="2"/>
  <c r="E35" i="2"/>
  <c r="E34" i="2"/>
  <c r="E33" i="2"/>
  <c r="E32" i="2"/>
  <c r="E30" i="2"/>
  <c r="T23" i="2"/>
  <c r="T22" i="2"/>
  <c r="T21" i="2"/>
  <c r="T20" i="2"/>
  <c r="T18" i="2"/>
  <c r="O23" i="2"/>
  <c r="O22" i="2"/>
  <c r="O21" i="2"/>
  <c r="O20" i="2"/>
  <c r="O18" i="2"/>
  <c r="J23" i="2"/>
  <c r="J22" i="2"/>
  <c r="J21" i="2"/>
  <c r="J20" i="2"/>
  <c r="J18" i="2"/>
  <c r="E23" i="2"/>
  <c r="E22" i="2"/>
  <c r="E21" i="2"/>
  <c r="E20" i="2"/>
  <c r="K8" i="2"/>
  <c r="J6" i="2"/>
  <c r="I5" i="2"/>
  <c r="K6" i="2"/>
  <c r="K7" i="2"/>
  <c r="K9" i="2"/>
  <c r="K10" i="2"/>
  <c r="K11" i="2"/>
  <c r="K12" i="2"/>
  <c r="K5" i="2"/>
  <c r="J7" i="2" l="1"/>
  <c r="J8" i="2"/>
  <c r="J9" i="2"/>
  <c r="J10" i="2"/>
  <c r="J11" i="2"/>
  <c r="J12" i="2"/>
  <c r="J5" i="2"/>
  <c r="I6" i="2"/>
  <c r="D41" i="2" s="1"/>
  <c r="I7" i="2"/>
  <c r="I8" i="2"/>
  <c r="I9" i="2"/>
  <c r="I10" i="2"/>
  <c r="I11" i="2"/>
  <c r="I12" i="2"/>
  <c r="S43" i="2" l="1"/>
  <c r="T43" i="2" s="1"/>
  <c r="N43" i="2"/>
  <c r="I43" i="2"/>
  <c r="J43" i="2" s="1"/>
  <c r="D43" i="2"/>
  <c r="E43" i="2" s="1"/>
  <c r="D31" i="2"/>
  <c r="E31" i="2" s="1"/>
  <c r="I31" i="2"/>
  <c r="N31" i="2"/>
  <c r="O31" i="2" s="1"/>
  <c r="S31" i="2"/>
  <c r="T31" i="2" s="1"/>
  <c r="S19" i="2"/>
  <c r="T19" i="2" s="1"/>
  <c r="N19" i="2"/>
  <c r="I19" i="2"/>
  <c r="J19" i="2" s="1"/>
  <c r="S17" i="2"/>
  <c r="T17" i="2" s="1"/>
  <c r="D29" i="2"/>
  <c r="E29" i="2" s="1"/>
  <c r="S29" i="2"/>
  <c r="T29" i="2" s="1"/>
  <c r="I17" i="2"/>
  <c r="J17" i="2" s="1"/>
  <c r="N29" i="2"/>
  <c r="O29" i="2" s="1"/>
  <c r="I41" i="2"/>
  <c r="J41" i="2" s="1"/>
  <c r="D52" i="2"/>
  <c r="I52" i="2"/>
  <c r="J52" i="2" s="1"/>
  <c r="J60" i="2" s="1"/>
  <c r="S40" i="2"/>
  <c r="T40" i="2" s="1"/>
  <c r="N40" i="2"/>
  <c r="I40" i="2"/>
  <c r="D40" i="2"/>
  <c r="E40" i="2" s="1"/>
  <c r="D28" i="2"/>
  <c r="E28" i="2" s="1"/>
  <c r="I28" i="2"/>
  <c r="J28" i="2" s="1"/>
  <c r="N28" i="2"/>
  <c r="O28" i="2" s="1"/>
  <c r="S28" i="2"/>
  <c r="T28" i="2" s="1"/>
  <c r="S16" i="2"/>
  <c r="T16" i="2" s="1"/>
  <c r="N16" i="2"/>
  <c r="O16" i="2" s="1"/>
  <c r="I16" i="2"/>
  <c r="J16" i="2" s="1"/>
  <c r="N17" i="2"/>
  <c r="O17" i="2" s="1"/>
  <c r="I29" i="2"/>
  <c r="J29" i="2" s="1"/>
  <c r="N41" i="2"/>
  <c r="O41" i="2" s="1"/>
  <c r="S41" i="2"/>
  <c r="T41" i="2" s="1"/>
  <c r="D17" i="2"/>
  <c r="D16" i="2"/>
  <c r="D19" i="2"/>
  <c r="E52" i="2"/>
  <c r="E60" i="2" s="1"/>
  <c r="J40" i="2"/>
  <c r="O43" i="2"/>
  <c r="J31" i="2"/>
  <c r="O19" i="2"/>
  <c r="E41" i="2"/>
  <c r="D60" i="2"/>
  <c r="N48" i="2" l="1"/>
  <c r="O40" i="2"/>
  <c r="I60" i="2"/>
  <c r="S24" i="2"/>
  <c r="S36" i="2"/>
  <c r="I24" i="2"/>
  <c r="J36" i="2"/>
  <c r="O36" i="2"/>
  <c r="N24" i="2"/>
  <c r="S48" i="2"/>
  <c r="E36" i="2"/>
  <c r="D36" i="2"/>
  <c r="D48" i="2"/>
  <c r="J24" i="2"/>
  <c r="T48" i="2"/>
  <c r="E48" i="2"/>
  <c r="T36" i="2"/>
  <c r="I48" i="2"/>
  <c r="O24" i="2"/>
  <c r="J48" i="2"/>
  <c r="I36" i="2"/>
  <c r="N36" i="2"/>
  <c r="T24" i="2"/>
  <c r="D24" i="2"/>
  <c r="E24" i="2"/>
  <c r="O48" i="2"/>
  <c r="B13" i="1"/>
  <c r="B9" i="1" s="1"/>
  <c r="B11" i="1" l="1"/>
  <c r="L7" i="1" l="1"/>
  <c r="M7" i="1" s="1"/>
  <c r="L8" i="1"/>
  <c r="M8" i="1" s="1"/>
  <c r="L6" i="1"/>
  <c r="M6" i="1" s="1"/>
  <c r="I6" i="1"/>
  <c r="N6" i="1" s="1"/>
  <c r="O6" i="1" s="1"/>
  <c r="I8" i="1"/>
  <c r="N8" i="1" s="1"/>
  <c r="Q8" i="1" s="1"/>
  <c r="I7" i="1"/>
  <c r="N7" i="1" s="1"/>
  <c r="Q7" i="1" s="1"/>
  <c r="T6" i="1" l="1"/>
  <c r="P6" i="1"/>
  <c r="Q6" i="1"/>
  <c r="R6" i="1"/>
  <c r="O7" i="1"/>
  <c r="K8" i="1"/>
  <c r="K6" i="1"/>
  <c r="K7" i="1"/>
  <c r="J6" i="1"/>
  <c r="J8" i="1"/>
  <c r="M9" i="1"/>
  <c r="J7" i="1"/>
  <c r="S6" i="1" l="1"/>
  <c r="U6" i="1"/>
  <c r="L18" i="12" s="1"/>
  <c r="R7" i="1"/>
  <c r="T7" i="1"/>
  <c r="P7" i="1"/>
  <c r="O8" i="1"/>
  <c r="J9" i="1"/>
  <c r="S7" i="1" l="1"/>
  <c r="U7" i="1"/>
  <c r="L19" i="12" s="1"/>
  <c r="R8" i="1"/>
  <c r="T8" i="1"/>
  <c r="P8" i="1"/>
  <c r="S8" i="1" l="1"/>
  <c r="U8" i="1"/>
  <c r="L20" i="12" s="1"/>
  <c r="P9" i="1"/>
</calcChain>
</file>

<file path=xl/sharedStrings.xml><?xml version="1.0" encoding="utf-8"?>
<sst xmlns="http://schemas.openxmlformats.org/spreadsheetml/2006/main" count="1816" uniqueCount="145">
  <si>
    <t>S/I ratio (gTS/gTS)</t>
  </si>
  <si>
    <t>TS digestate</t>
  </si>
  <si>
    <t>VS digestate</t>
  </si>
  <si>
    <t>VS ORS</t>
  </si>
  <si>
    <t>TS ORS</t>
  </si>
  <si>
    <t>T (°C)</t>
  </si>
  <si>
    <t>Replicas</t>
  </si>
  <si>
    <t>TS</t>
  </si>
  <si>
    <t>V reactor (mL)</t>
  </si>
  <si>
    <t>ORS (g)</t>
  </si>
  <si>
    <t>Total ORS (g)</t>
  </si>
  <si>
    <t>H2O (mL)</t>
  </si>
  <si>
    <t>Inoc (g)</t>
  </si>
  <si>
    <t xml:space="preserve">Total </t>
  </si>
  <si>
    <t>TOTAL</t>
  </si>
  <si>
    <t>A</t>
  </si>
  <si>
    <t>B</t>
  </si>
  <si>
    <t>C</t>
  </si>
  <si>
    <t>C/N ORS</t>
  </si>
  <si>
    <t>Urea MW (g/mol)</t>
  </si>
  <si>
    <t>Urea (g)</t>
  </si>
  <si>
    <t>C/N ratio</t>
  </si>
  <si>
    <t>Urea N content (g/mol)</t>
  </si>
  <si>
    <t>N extra(g)</t>
  </si>
  <si>
    <t>total urea (g)</t>
  </si>
  <si>
    <t>Total Inoc (g)</t>
  </si>
  <si>
    <t>C% ORS</t>
  </si>
  <si>
    <t>N% ORS</t>
  </si>
  <si>
    <t>max NH4 g/L</t>
  </si>
  <si>
    <t xml:space="preserve">50 ppm </t>
  </si>
  <si>
    <t xml:space="preserve">500 ppm </t>
  </si>
  <si>
    <t>Compound</t>
  </si>
  <si>
    <t>AcH</t>
  </si>
  <si>
    <t>PrH</t>
  </si>
  <si>
    <t>i-BuH</t>
  </si>
  <si>
    <t>BuH</t>
  </si>
  <si>
    <t>i-VaH</t>
  </si>
  <si>
    <t>VaH</t>
  </si>
  <si>
    <t>HexH</t>
  </si>
  <si>
    <t>HepH</t>
  </si>
  <si>
    <t xml:space="preserve">RT </t>
  </si>
  <si>
    <t>area</t>
  </si>
  <si>
    <t>actual ppm</t>
  </si>
  <si>
    <t xml:space="preserve">250 ppm </t>
  </si>
  <si>
    <t>STANDARDS</t>
  </si>
  <si>
    <t xml:space="preserve">Sample </t>
  </si>
  <si>
    <t>A1</t>
  </si>
  <si>
    <t xml:space="preserve">area </t>
  </si>
  <si>
    <t>ppm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</si>
  <si>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</si>
  <si>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</si>
  <si>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</si>
  <si>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</si>
  <si>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</si>
  <si>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</si>
  <si>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</si>
  <si>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</si>
  <si>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</si>
  <si>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</si>
  <si>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</si>
  <si>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O1</t>
  </si>
  <si>
    <t>O2</t>
  </si>
  <si>
    <t>TOTAL=</t>
  </si>
  <si>
    <t>R2</t>
  </si>
  <si>
    <t>Reactor/time (days)</t>
  </si>
  <si>
    <t>g COD/L</t>
  </si>
  <si>
    <t xml:space="preserve">AVERAGE </t>
  </si>
  <si>
    <t>Control</t>
  </si>
  <si>
    <t>dil factor</t>
  </si>
  <si>
    <t>-</t>
  </si>
  <si>
    <t>Reactor/time (day)</t>
  </si>
  <si>
    <t>AVERAGE</t>
  </si>
  <si>
    <t>H2SO4 Factor</t>
  </si>
  <si>
    <t>Titration</t>
  </si>
  <si>
    <t>std factor</t>
  </si>
  <si>
    <t>sample</t>
  </si>
  <si>
    <t>V (mL)</t>
  </si>
  <si>
    <t>mL H2SO4</t>
  </si>
  <si>
    <t>mg N/L</t>
  </si>
  <si>
    <t>mg NH4/L</t>
  </si>
  <si>
    <t>g NH4/L</t>
  </si>
  <si>
    <t>% loss</t>
  </si>
  <si>
    <t>blank</t>
  </si>
  <si>
    <t>std</t>
  </si>
  <si>
    <t>Time  (days)</t>
  </si>
  <si>
    <t>Reactor</t>
  </si>
  <si>
    <t>plus losses from analysis:</t>
  </si>
  <si>
    <t>A1.7</t>
  </si>
  <si>
    <t>A2.7</t>
  </si>
  <si>
    <t>B1.7</t>
  </si>
  <si>
    <t>B2.7</t>
  </si>
  <si>
    <t>C1.7</t>
  </si>
  <si>
    <t>C2.7</t>
  </si>
  <si>
    <t>O1.7</t>
  </si>
  <si>
    <t>O2.7</t>
  </si>
  <si>
    <t>C1-2</t>
  </si>
  <si>
    <t>A1-2</t>
  </si>
  <si>
    <t>B1-2</t>
  </si>
  <si>
    <t>VFA g COD/L on day 6</t>
  </si>
  <si>
    <t>UREA (g/L)</t>
  </si>
  <si>
    <t>Acetic</t>
  </si>
  <si>
    <t>Propionic</t>
  </si>
  <si>
    <t>Iso-butyric</t>
  </si>
  <si>
    <t>Butyric</t>
  </si>
  <si>
    <t>Iso-valeric</t>
  </si>
  <si>
    <t>Valeric</t>
  </si>
  <si>
    <t>urea (M)</t>
  </si>
  <si>
    <t>Ammonium MW g/mol</t>
  </si>
  <si>
    <t>Design values</t>
  </si>
  <si>
    <t>ORS(g)</t>
  </si>
  <si>
    <t>water (g)</t>
  </si>
  <si>
    <t>Inoc</t>
  </si>
  <si>
    <t xml:space="preserve">total </t>
  </si>
  <si>
    <t>Crucible (g)</t>
  </si>
  <si>
    <t>sample (g)</t>
  </si>
  <si>
    <t>dry (g)</t>
  </si>
  <si>
    <t>burnt (g)</t>
  </si>
  <si>
    <t>TS (%)</t>
  </si>
  <si>
    <t>VS (%)</t>
  </si>
  <si>
    <t>VS/TS</t>
  </si>
  <si>
    <t>ORS</t>
  </si>
  <si>
    <t>VS (g)</t>
  </si>
  <si>
    <t>VS%</t>
  </si>
  <si>
    <t>mg Urea/ gTS</t>
  </si>
  <si>
    <t>urea (g)</t>
  </si>
  <si>
    <t>Urea mg/g TS</t>
  </si>
  <si>
    <t>mg TAN/L</t>
  </si>
  <si>
    <t>mg N /L</t>
  </si>
  <si>
    <t>TS%</t>
  </si>
  <si>
    <t>TAN g/L</t>
  </si>
  <si>
    <t>TAN</t>
  </si>
  <si>
    <t>Expected TAN g/L</t>
  </si>
  <si>
    <t>VFA g/L</t>
  </si>
  <si>
    <t>VFA yield g VFA / g VS</t>
  </si>
  <si>
    <t>pH equivalent of A</t>
  </si>
  <si>
    <t>pH equivalent of B</t>
  </si>
  <si>
    <t>pH equivalent of C</t>
  </si>
  <si>
    <t>% increase vs control</t>
  </si>
  <si>
    <t>VFA g /L on day 6</t>
  </si>
  <si>
    <t>%</t>
  </si>
  <si>
    <t>Difference from average</t>
  </si>
  <si>
    <t>TAN release yield</t>
  </si>
  <si>
    <t>day 7</t>
  </si>
  <si>
    <t>Condition</t>
  </si>
  <si>
    <t>Measured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</si>
</sst>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3" applyNumberFormat="0" applyAlignment="0" applyProtection="0"/>
    <xf numFmtId="0" fontId="7" fillId="0" borderId="4" applyNumberFormat="0" applyFill="0" applyAlignment="0" applyProtection="0"/>
  </cellStyleXfs>
  <cellXfs count="70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9" fontId="0" fillId="0" borderId="1" xfId="0" applyNumberFormat="1" applyBorder="1"/>
    <xf numFmtId="2" fontId="1" fillId="0" borderId="1" xfId="0" applyNumberFormat="1" applyFont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0" fontId="1" fillId="0" borderId="2" xfId="0" applyFont="1" applyBorder="1"/>
    <xf numFmtId="9" fontId="0" fillId="0" borderId="1" xfId="1" applyNumberFormat="1" applyFont="1" applyBorder="1"/>
    <xf numFmtId="164" fontId="0" fillId="0" borderId="1" xfId="0" applyNumberFormat="1" applyBorder="1"/>
    <xf numFmtId="0" fontId="4" fillId="3" borderId="3" xfId="3"/>
    <xf numFmtId="0" fontId="3" fillId="2" borderId="0" xfId="2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2" fontId="1" fillId="0" borderId="0" xfId="0" applyNumberFormat="1" applyFont="1"/>
    <xf numFmtId="2" fontId="0" fillId="0" borderId="0" xfId="0" applyNumberFormat="1"/>
    <xf numFmtId="10" fontId="0" fillId="0" borderId="0" xfId="1" applyNumberFormat="1" applyFont="1"/>
    <xf numFmtId="9" fontId="0" fillId="0" borderId="0" xfId="1" applyFont="1"/>
    <xf numFmtId="10" fontId="0" fillId="0" borderId="1" xfId="1" applyNumberFormat="1" applyFont="1" applyBorder="1"/>
    <xf numFmtId="0" fontId="0" fillId="0" borderId="0" xfId="0" applyBorder="1"/>
    <xf numFmtId="10" fontId="0" fillId="0" borderId="0" xfId="1" applyNumberFormat="1" applyFont="1" applyBorder="1"/>
    <xf numFmtId="10" fontId="0" fillId="0" borderId="1" xfId="0" applyNumberFormat="1" applyBorder="1"/>
    <xf numFmtId="165" fontId="0" fillId="0" borderId="0" xfId="0" applyNumberFormat="1"/>
    <xf numFmtId="9" fontId="0" fillId="0" borderId="0" xfId="1" applyNumberFormat="1" applyFont="1"/>
    <xf numFmtId="2" fontId="0" fillId="0" borderId="0" xfId="0" applyNumberFormat="1" applyFont="1"/>
    <xf numFmtId="165" fontId="0" fillId="0" borderId="1" xfId="0" applyNumberFormat="1" applyBorder="1"/>
    <xf numFmtId="0" fontId="1" fillId="6" borderId="1" xfId="0" applyFont="1" applyFill="1" applyBorder="1"/>
    <xf numFmtId="0" fontId="0" fillId="6" borderId="1" xfId="0" applyFill="1" applyBorder="1"/>
    <xf numFmtId="165" fontId="0" fillId="6" borderId="1" xfId="0" applyNumberFormat="1" applyFill="1" applyBorder="1"/>
    <xf numFmtId="0" fontId="1" fillId="7" borderId="1" xfId="0" applyFont="1" applyFill="1" applyBorder="1"/>
    <xf numFmtId="0" fontId="0" fillId="7" borderId="1" xfId="0" applyFill="1" applyBorder="1"/>
    <xf numFmtId="9" fontId="0" fillId="7" borderId="1" xfId="1" applyNumberFormat="1" applyFont="1" applyFill="1" applyBorder="1"/>
    <xf numFmtId="0" fontId="7" fillId="0" borderId="4" xfId="4" applyAlignment="1">
      <alignment horizontal="center"/>
    </xf>
    <xf numFmtId="10" fontId="0" fillId="0" borderId="0" xfId="1" applyNumberFormat="1" applyFont="1" applyAlignment="1">
      <alignment horizontal="center" vertical="center"/>
    </xf>
    <xf numFmtId="0" fontId="0" fillId="0" borderId="8" xfId="0" applyBorder="1"/>
    <xf numFmtId="10" fontId="0" fillId="0" borderId="9" xfId="1" applyNumberFormat="1" applyFont="1" applyBorder="1"/>
    <xf numFmtId="0" fontId="0" fillId="0" borderId="10" xfId="0" applyBorder="1"/>
    <xf numFmtId="0" fontId="0" fillId="0" borderId="11" xfId="0" applyBorder="1"/>
    <xf numFmtId="10" fontId="0" fillId="0" borderId="11" xfId="1" applyNumberFormat="1" applyFont="1" applyBorder="1"/>
    <xf numFmtId="10" fontId="0" fillId="0" borderId="12" xfId="1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2" fontId="0" fillId="0" borderId="0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1" fillId="0" borderId="10" xfId="0" applyFont="1" applyBorder="1"/>
    <xf numFmtId="2" fontId="0" fillId="0" borderId="11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2" fontId="0" fillId="0" borderId="0" xfId="0" applyNumberFormat="1" applyBorder="1"/>
    <xf numFmtId="2" fontId="0" fillId="0" borderId="9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4" borderId="0" xfId="0" applyNumberFormat="1" applyFill="1" applyBorder="1"/>
    <xf numFmtId="2" fontId="0" fillId="4" borderId="9" xfId="0" applyNumberForma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0" fontId="0" fillId="0" borderId="9" xfId="0" applyBorder="1"/>
    <xf numFmtId="0" fontId="0" fillId="0" borderId="12" xfId="0" applyBorder="1"/>
    <xf numFmtId="2" fontId="0" fillId="0" borderId="0" xfId="0" applyNumberFormat="1" applyFont="1" applyBorder="1"/>
    <xf numFmtId="2" fontId="0" fillId="0" borderId="11" xfId="0" applyNumberFormat="1" applyFont="1" applyBorder="1"/>
    <xf numFmtId="0" fontId="1" fillId="7" borderId="13" xfId="0" applyFont="1" applyFill="1" applyBorder="1"/>
    <xf numFmtId="9" fontId="0" fillId="7" borderId="14" xfId="1" applyFont="1" applyFill="1" applyBorder="1"/>
    <xf numFmtId="9" fontId="0" fillId="7" borderId="15" xfId="1" applyFont="1" applyFill="1" applyBorder="1"/>
    <xf numFmtId="2" fontId="1" fillId="0" borderId="6" xfId="0" applyNumberFormat="1" applyFont="1" applyBorder="1"/>
    <xf numFmtId="2" fontId="1" fillId="0" borderId="7" xfId="0" applyNumberFormat="1" applyFont="1" applyBorder="1"/>
  </cellXfs>
  <cellStyles count="5">
    <cellStyle name="Heading 1" xfId="4" builtinId="16"/>
    <cellStyle name="Input" xfId="3" builtinId="20"/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'VFA summary'!$A$20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summary'!$B$20:$I$20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1.5039018798574602</c:v>
                </c:pt>
                <c:pt idx="2">
                  <c:v>4.1032687645218235</c:v>
                </c:pt>
                <c:pt idx="3">
                  <c:v>5.3287276894360298</c:v>
                </c:pt>
                <c:pt idx="4">
                  <c:v>4.8997504301104424</c:v>
                </c:pt>
                <c:pt idx="5">
                  <c:v>4.7035878813939149</c:v>
                </c:pt>
                <c:pt idx="6">
                  <c:v>5.6300278603334792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5B-45E7-A047-6D80B62E3DFF}"/>
            </c:ext>
          </c:extLst>
        </c:ser>
        <c:ser>
          <c:idx val="1"/>
          <c:order val="1"/>
          <c:tx>
            <c:strRef>
              <c:f>'VFA summary'!$A$21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summary'!$B$21:$I$21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0.86431299625695079</c:v>
                </c:pt>
                <c:pt idx="2">
                  <c:v>1.7261413053612165</c:v>
                </c:pt>
                <c:pt idx="3">
                  <c:v>3.703047302462489</c:v>
                </c:pt>
                <c:pt idx="4">
                  <c:v>4.8919582394489556</c:v>
                </c:pt>
                <c:pt idx="5">
                  <c:v>4.5352212501585472</c:v>
                </c:pt>
                <c:pt idx="6">
                  <c:v>4.8950656409388991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5B-45E7-A047-6D80B62E3DFF}"/>
            </c:ext>
          </c:extLst>
        </c:ser>
        <c:ser>
          <c:idx val="2"/>
          <c:order val="2"/>
          <c:tx>
            <c:strRef>
              <c:f>'VFA summary'!$A$22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summary'!$B$22:$I$22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2.0526603344181504</c:v>
                </c:pt>
                <c:pt idx="2">
                  <c:v>5.4222595528356985</c:v>
                </c:pt>
                <c:pt idx="3">
                  <c:v>6.895512121649225</c:v>
                </c:pt>
                <c:pt idx="4">
                  <c:v>7.2408490339108234</c:v>
                </c:pt>
                <c:pt idx="5">
                  <c:v>8.421817485206752</c:v>
                </c:pt>
                <c:pt idx="6">
                  <c:v>7.844809630026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5B-45E7-A047-6D80B62E3DFF}"/>
            </c:ext>
          </c:extLst>
        </c:ser>
        <c:ser>
          <c:idx val="3"/>
          <c:order val="3"/>
          <c:tx>
            <c:strRef>
              <c:f>'VFA summary'!$A$23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summary'!$B$23:$I$23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0.9484597631471674</c:v>
                </c:pt>
                <c:pt idx="2">
                  <c:v>2.6775033371926042</c:v>
                </c:pt>
                <c:pt idx="3">
                  <c:v>5.8538940319948978</c:v>
                </c:pt>
                <c:pt idx="4">
                  <c:v>5.8020787242797116</c:v>
                </c:pt>
                <c:pt idx="5">
                  <c:v>6.5382306767604623</c:v>
                </c:pt>
                <c:pt idx="6">
                  <c:v>7.0354662081384136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A5B-45E7-A047-6D80B62E3DFF}"/>
            </c:ext>
          </c:extLst>
        </c:ser>
        <c:ser>
          <c:idx val="4"/>
          <c:order val="4"/>
          <c:tx>
            <c:strRef>
              <c:f>'VFA summary'!$A$24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summary'!$B$24:$I$24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4.91990274373814</c:v>
                </c:pt>
                <c:pt idx="2">
                  <c:v>6.4354208523980017</c:v>
                </c:pt>
                <c:pt idx="3">
                  <c:v>7.2590090868745776</c:v>
                </c:pt>
                <c:pt idx="4">
                  <c:v>7.710100279925836</c:v>
                </c:pt>
                <c:pt idx="5">
                  <c:v>7.967980573985102</c:v>
                </c:pt>
                <c:pt idx="6">
                  <c:v>9.1414129764329921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5B-45E7-A047-6D80B62E3DFF}"/>
            </c:ext>
          </c:extLst>
        </c:ser>
        <c:ser>
          <c:idx val="5"/>
          <c:order val="5"/>
          <c:tx>
            <c:strRef>
              <c:f>'VFA summary'!$A$25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summary'!$B$25:$I$25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0.97419123382175155</c:v>
                </c:pt>
                <c:pt idx="2">
                  <c:v>1.8906954853431763</c:v>
                </c:pt>
                <c:pt idx="3">
                  <c:v>4.6842288884000807</c:v>
                </c:pt>
                <c:pt idx="4">
                  <c:v>6.2265721792590458</c:v>
                </c:pt>
                <c:pt idx="5">
                  <c:v>6.314340768760438</c:v>
                </c:pt>
                <c:pt idx="6">
                  <c:v>7.92048926302824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5B-45E7-A047-6D80B62E3DFF}"/>
            </c:ext>
          </c:extLst>
        </c:ser>
        <c:ser>
          <c:idx val="6"/>
          <c:order val="6"/>
          <c:tx>
            <c:strRef>
              <c:f>'VFA summary'!$A$26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'VFA summary'!$B$19:$I$19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'VFA summary'!$B$26:$I$26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0.68054929938705655</c:v>
                </c:pt>
                <c:pt idx="2">
                  <c:v>1.6053657964561392</c:v>
                </c:pt>
                <c:pt idx="3">
                  <c:v>2.7201935122569587</c:v>
                </c:pt>
                <c:pt idx="4">
                  <c:v>3.7521802442527958</c:v>
                </c:pt>
                <c:pt idx="5">
                  <c:v>3.7884724149517219</c:v>
                </c:pt>
                <c:pt idx="6">
                  <c:v>4.608273073186413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5B-45E7-A047-6D80B62E3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155896"/>
        <c:axId val="733966128"/>
      </c:scatterChart>
      <c:valAx>
        <c:axId val="728155896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Fermentation time</a:t>
                </a:r>
                <a:r>
                  <a:rPr lang="en-GB" baseline="0"/>
                  <a:t> (days)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966128"/>
        <c:crosses val="autoZero"/>
        <c:crossBetween val="midCat"/>
      </c:valAx>
      <c:valAx>
        <c:axId val="73396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VFA (g 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155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'VFA summary'!$A$50</c:f>
              <c:strCache>
                <c:ptCount val="1"/>
                <c:pt idx="0">
                  <c:v>AcH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summary'!$B$62:$H$62</c:f>
                <c:numCache>
                  <c:formatCode>General</c:formatCode>
                  <c:ptCount val="7"/>
                  <c:pt idx="0">
                    <c:v>0.12729201534493406</c:v>
                  </c:pt>
                  <c:pt idx="1">
                    <c:v>0.34143729646541443</c:v>
                  </c:pt>
                  <c:pt idx="2">
                    <c:v>0.2309265435936072</c:v>
                  </c:pt>
                  <c:pt idx="3">
                    <c:v>0.1689586621684529</c:v>
                  </c:pt>
                  <c:pt idx="4">
                    <c:v>7.0726881837956945E-2</c:v>
                  </c:pt>
                  <c:pt idx="5">
                    <c:v>0.22490984704836436</c:v>
                  </c:pt>
                  <c:pt idx="6">
                    <c:v>5.19809837582208E-3</c:v>
                  </c:pt>
                </c:numCache>
              </c:numRef>
            </c:plus>
            <c:minus>
              <c:numRef>
                <c:f>'VFA summary'!$B$62:$H$62</c:f>
                <c:numCache>
                  <c:formatCode>General</c:formatCode>
                  <c:ptCount val="7"/>
                  <c:pt idx="0">
                    <c:v>0.12729201534493406</c:v>
                  </c:pt>
                  <c:pt idx="1">
                    <c:v>0.34143729646541443</c:v>
                  </c:pt>
                  <c:pt idx="2">
                    <c:v>0.2309265435936072</c:v>
                  </c:pt>
                  <c:pt idx="3">
                    <c:v>0.1689586621684529</c:v>
                  </c:pt>
                  <c:pt idx="4">
                    <c:v>7.0726881837956945E-2</c:v>
                  </c:pt>
                  <c:pt idx="5">
                    <c:v>0.22490984704836436</c:v>
                  </c:pt>
                  <c:pt idx="6">
                    <c:v>5.19809837582208E-3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summary'!$B$50:$H$50</c:f>
              <c:numCache>
                <c:formatCode>0.00</c:formatCode>
                <c:ptCount val="7"/>
                <c:pt idx="0">
                  <c:v>2.1033422035458078</c:v>
                </c:pt>
                <c:pt idx="1">
                  <c:v>2.1227429801610809</c:v>
                </c:pt>
                <c:pt idx="2">
                  <c:v>3.6304370886003072</c:v>
                </c:pt>
                <c:pt idx="3">
                  <c:v>3.7088587932308195</c:v>
                </c:pt>
                <c:pt idx="4">
                  <c:v>5.4158815559240097</c:v>
                </c:pt>
                <c:pt idx="5">
                  <c:v>3.9598819218837074</c:v>
                </c:pt>
                <c:pt idx="6">
                  <c:v>1.7774173423909172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63-46EE-B658-4996271E0A85}"/>
            </c:ext>
          </c:extLst>
        </c:ser>
        <c:ser>
          <c:idx val="1"/>
          <c:order val="1"/>
          <c:tx>
            <c:strRef>
              <c:f>'VFA summary'!$A$51</c:f>
              <c:strCache>
                <c:ptCount val="1"/>
                <c:pt idx="0">
                  <c:v>PrH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summary'!$B$63:$H$63</c:f>
                <c:numCache>
                  <c:formatCode>General</c:formatCode>
                  <c:ptCount val="7"/>
                  <c:pt idx="0">
                    <c:v>0.44273985513060882</c:v>
                  </c:pt>
                  <c:pt idx="1">
                    <c:v>4.866809153177859E-2</c:v>
                  </c:pt>
                  <c:pt idx="2">
                    <c:v>0.20153418582088989</c:v>
                  </c:pt>
                  <c:pt idx="3">
                    <c:v>7.6954037158342481E-2</c:v>
                  </c:pt>
                  <c:pt idx="4">
                    <c:v>0.15004512397055914</c:v>
                  </c:pt>
                  <c:pt idx="5">
                    <c:v>0.15294233673015323</c:v>
                  </c:pt>
                  <c:pt idx="6">
                    <c:v>4.2263726484254777E-2</c:v>
                  </c:pt>
                </c:numCache>
              </c:numRef>
            </c:plus>
            <c:minus>
              <c:numRef>
                <c:f>'VFA summary'!$B$63:$H$63</c:f>
                <c:numCache>
                  <c:formatCode>General</c:formatCode>
                  <c:ptCount val="7"/>
                  <c:pt idx="0">
                    <c:v>0.44273985513060882</c:v>
                  </c:pt>
                  <c:pt idx="1">
                    <c:v>4.866809153177859E-2</c:v>
                  </c:pt>
                  <c:pt idx="2">
                    <c:v>0.20153418582088989</c:v>
                  </c:pt>
                  <c:pt idx="3">
                    <c:v>7.6954037158342481E-2</c:v>
                  </c:pt>
                  <c:pt idx="4">
                    <c:v>0.15004512397055914</c:v>
                  </c:pt>
                  <c:pt idx="5">
                    <c:v>0.15294233673015323</c:v>
                  </c:pt>
                  <c:pt idx="6">
                    <c:v>4.2263726484254777E-2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summary'!$B$51:$H$51</c:f>
              <c:numCache>
                <c:formatCode>0.00</c:formatCode>
                <c:ptCount val="7"/>
                <c:pt idx="0">
                  <c:v>1.9764395246883404</c:v>
                </c:pt>
                <c:pt idx="1">
                  <c:v>0.63990953322294253</c:v>
                </c:pt>
                <c:pt idx="2">
                  <c:v>2.8587424665728096</c:v>
                </c:pt>
                <c:pt idx="3">
                  <c:v>2.0508267329982708</c:v>
                </c:pt>
                <c:pt idx="4">
                  <c:v>2.5449794075381678</c:v>
                </c:pt>
                <c:pt idx="5">
                  <c:v>2.6072948960164553</c:v>
                </c:pt>
                <c:pt idx="6">
                  <c:v>0.42251691966532678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63-46EE-B658-4996271E0A85}"/>
            </c:ext>
          </c:extLst>
        </c:ser>
        <c:ser>
          <c:idx val="2"/>
          <c:order val="2"/>
          <c:tx>
            <c:strRef>
              <c:f>'VFA summary'!$A$52</c:f>
              <c:strCache>
                <c:ptCount val="1"/>
                <c:pt idx="0">
                  <c:v>i-BuH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summary'!$B$64:$H$64</c:f>
                <c:numCache>
                  <c:formatCode>General</c:formatCode>
                  <c:ptCount val="7"/>
                  <c:pt idx="0">
                    <c:v>2.7081267379380405E-3</c:v>
                  </c:pt>
                  <c:pt idx="1">
                    <c:v>1.3103839054538907E-3</c:v>
                  </c:pt>
                  <c:pt idx="2">
                    <c:v>9.3692449239953096E-3</c:v>
                  </c:pt>
                  <c:pt idx="3">
                    <c:v>9.5439627780558242E-3</c:v>
                  </c:pt>
                  <c:pt idx="4">
                    <c:v>2.839165128483423E-4</c:v>
                  </c:pt>
                  <c:pt idx="5">
                    <c:v>3.8656325210889783E-3</c:v>
                  </c:pt>
                  <c:pt idx="6">
                    <c:v>2.75180620145317E-3</c:v>
                  </c:pt>
                </c:numCache>
              </c:numRef>
            </c:plus>
            <c:minus>
              <c:numRef>
                <c:f>'VFA summary'!$B$64:$H$64</c:f>
                <c:numCache>
                  <c:formatCode>General</c:formatCode>
                  <c:ptCount val="7"/>
                  <c:pt idx="0">
                    <c:v>2.7081267379380405E-3</c:v>
                  </c:pt>
                  <c:pt idx="1">
                    <c:v>1.3103839054538907E-3</c:v>
                  </c:pt>
                  <c:pt idx="2">
                    <c:v>9.3692449239953096E-3</c:v>
                  </c:pt>
                  <c:pt idx="3">
                    <c:v>9.5439627780558242E-3</c:v>
                  </c:pt>
                  <c:pt idx="4">
                    <c:v>2.839165128483423E-4</c:v>
                  </c:pt>
                  <c:pt idx="5">
                    <c:v>3.8656325210889783E-3</c:v>
                  </c:pt>
                  <c:pt idx="6">
                    <c:v>2.75180620145317E-3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summary'!$B$52:$H$52</c:f>
              <c:numCache>
                <c:formatCode>0.00</c:formatCode>
                <c:ptCount val="7"/>
                <c:pt idx="0">
                  <c:v>2.3803403650824353E-2</c:v>
                </c:pt>
                <c:pt idx="1">
                  <c:v>2.0440084960159369E-2</c:v>
                </c:pt>
                <c:pt idx="2">
                  <c:v>0.10008958667999832</c:v>
                </c:pt>
                <c:pt idx="3">
                  <c:v>9.6202114427151791E-2</c:v>
                </c:pt>
                <c:pt idx="4">
                  <c:v>0.14298281985185565</c:v>
                </c:pt>
                <c:pt idx="5">
                  <c:v>8.5675363720005532E-2</c:v>
                </c:pt>
                <c:pt idx="6">
                  <c:v>1.4849113630222774E-2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63-46EE-B658-4996271E0A85}"/>
            </c:ext>
          </c:extLst>
        </c:ser>
        <c:ser>
          <c:idx val="3"/>
          <c:order val="3"/>
          <c:tx>
            <c:strRef>
              <c:f>'VFA summary'!$A$53</c:f>
              <c:strCache>
                <c:ptCount val="1"/>
                <c:pt idx="0">
                  <c:v>BuH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summary'!$B$65:$H$65</c:f>
                <c:numCache>
                  <c:formatCode>General</c:formatCode>
                  <c:ptCount val="7"/>
                  <c:pt idx="0">
                    <c:v>0.65709899376668091</c:v>
                  </c:pt>
                  <c:pt idx="1">
                    <c:v>0.56041342968175067</c:v>
                  </c:pt>
                  <c:pt idx="2">
                    <c:v>5.5392565677048367E-2</c:v>
                  </c:pt>
                  <c:pt idx="3">
                    <c:v>2.3919965171327773E-2</c:v>
                  </c:pt>
                  <c:pt idx="4">
                    <c:v>4.6735628570525045E-3</c:v>
                  </c:pt>
                  <c:pt idx="5">
                    <c:v>0.2170347375726572</c:v>
                  </c:pt>
                  <c:pt idx="6">
                    <c:v>0.25189912209277854</c:v>
                  </c:pt>
                </c:numCache>
              </c:numRef>
            </c:plus>
            <c:minus>
              <c:numRef>
                <c:f>'VFA summary'!$B$65:$H$65</c:f>
                <c:numCache>
                  <c:formatCode>General</c:formatCode>
                  <c:ptCount val="7"/>
                  <c:pt idx="0">
                    <c:v>0.65709899376668091</c:v>
                  </c:pt>
                  <c:pt idx="1">
                    <c:v>0.56041342968175067</c:v>
                  </c:pt>
                  <c:pt idx="2">
                    <c:v>5.5392565677048367E-2</c:v>
                  </c:pt>
                  <c:pt idx="3">
                    <c:v>2.3919965171327773E-2</c:v>
                  </c:pt>
                  <c:pt idx="4">
                    <c:v>4.6735628570525045E-3</c:v>
                  </c:pt>
                  <c:pt idx="5">
                    <c:v>0.2170347375726572</c:v>
                  </c:pt>
                  <c:pt idx="6">
                    <c:v>0.25189912209277854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summary'!$B$53:$H$53</c:f>
              <c:numCache>
                <c:formatCode>0.00</c:formatCode>
                <c:ptCount val="7"/>
                <c:pt idx="0">
                  <c:v>1.3958415512542079</c:v>
                </c:pt>
                <c:pt idx="1">
                  <c:v>1.7551931797101898</c:v>
                </c:pt>
                <c:pt idx="2">
                  <c:v>1.010933224643205</c:v>
                </c:pt>
                <c:pt idx="3">
                  <c:v>0.47120573351439959</c:v>
                </c:pt>
                <c:pt idx="4">
                  <c:v>0.70287246956778682</c:v>
                </c:pt>
                <c:pt idx="5">
                  <c:v>0.87776626272896241</c:v>
                </c:pt>
                <c:pt idx="6">
                  <c:v>2.3279116862813956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63-46EE-B658-4996271E0A85}"/>
            </c:ext>
          </c:extLst>
        </c:ser>
        <c:ser>
          <c:idx val="4"/>
          <c:order val="4"/>
          <c:tx>
            <c:strRef>
              <c:f>'VFA summary'!$A$54</c:f>
              <c:strCache>
                <c:ptCount val="1"/>
                <c:pt idx="0">
                  <c:v>i-VaH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summary'!$B$66:$H$66</c:f>
                <c:numCache>
                  <c:formatCode>General</c:formatCode>
                  <c:ptCount val="7"/>
                  <c:pt idx="0">
                    <c:v>1.1369634986491649E-3</c:v>
                  </c:pt>
                  <c:pt idx="1">
                    <c:v>3.7898783288305149E-4</c:v>
                  </c:pt>
                  <c:pt idx="2">
                    <c:v>1.6144881680818138E-2</c:v>
                  </c:pt>
                  <c:pt idx="3">
                    <c:v>2.2985612064357158E-2</c:v>
                  </c:pt>
                  <c:pt idx="4">
                    <c:v>2.6150160468930983E-3</c:v>
                  </c:pt>
                  <c:pt idx="5">
                    <c:v>7.2576169997104895E-3</c:v>
                  </c:pt>
                  <c:pt idx="6">
                    <c:v>4.0172710285603774E-3</c:v>
                  </c:pt>
                </c:numCache>
              </c:numRef>
            </c:plus>
            <c:minus>
              <c:numRef>
                <c:f>'VFA summary'!$B$66:$H$66</c:f>
                <c:numCache>
                  <c:formatCode>General</c:formatCode>
                  <c:ptCount val="7"/>
                  <c:pt idx="0">
                    <c:v>1.1369634986491649E-3</c:v>
                  </c:pt>
                  <c:pt idx="1">
                    <c:v>3.7898783288305149E-4</c:v>
                  </c:pt>
                  <c:pt idx="2">
                    <c:v>1.6144881680818138E-2</c:v>
                  </c:pt>
                  <c:pt idx="3">
                    <c:v>2.2985612064357158E-2</c:v>
                  </c:pt>
                  <c:pt idx="4">
                    <c:v>2.6150160468930983E-3</c:v>
                  </c:pt>
                  <c:pt idx="5">
                    <c:v>7.2576169997104895E-3</c:v>
                  </c:pt>
                  <c:pt idx="6">
                    <c:v>4.0172710285603774E-3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summary'!$B$54:$H$54</c:f>
              <c:numCache>
                <c:formatCode>0.00</c:formatCode>
                <c:ptCount val="7"/>
                <c:pt idx="0">
                  <c:v>5.4951871806576569E-2</c:v>
                </c:pt>
                <c:pt idx="1">
                  <c:v>4.0626131723597109E-2</c:v>
                </c:pt>
                <c:pt idx="2">
                  <c:v>0.18286026540460748</c:v>
                </c:pt>
                <c:pt idx="3">
                  <c:v>0.19098955441994903</c:v>
                </c:pt>
                <c:pt idx="4">
                  <c:v>0.29776937633474965</c:v>
                </c:pt>
                <c:pt idx="5">
                  <c:v>0.16135270588849415</c:v>
                </c:pt>
                <c:pt idx="6">
                  <c:v>3.0393460235754635E-2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63-46EE-B658-4996271E0A85}"/>
            </c:ext>
          </c:extLst>
        </c:ser>
        <c:ser>
          <c:idx val="5"/>
          <c:order val="5"/>
          <c:tx>
            <c:strRef>
              <c:f>'VFA summary'!$A$55</c:f>
              <c:strCache>
                <c:ptCount val="1"/>
                <c:pt idx="0">
                  <c:v>VaH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'VFA summary'!$B$67:$H$67</c:f>
                <c:numCache>
                  <c:formatCode>General</c:formatCode>
                  <c:ptCount val="7"/>
                  <c:pt idx="0">
                    <c:v>1.9444283398863671E-3</c:v>
                  </c:pt>
                  <c:pt idx="1">
                    <c:v>0.22712350113241453</c:v>
                  </c:pt>
                  <c:pt idx="2">
                    <c:v>5.1018945431880736E-3</c:v>
                  </c:pt>
                  <c:pt idx="3">
                    <c:v>3.4625095483664492E-2</c:v>
                  </c:pt>
                  <c:pt idx="4">
                    <c:v>1.9444283398863654E-3</c:v>
                  </c:pt>
                  <c:pt idx="5">
                    <c:v>2.6044636479212041E-3</c:v>
                  </c:pt>
                  <c:pt idx="6">
                    <c:v>1.0511721477581672E-2</c:v>
                  </c:pt>
                </c:numCache>
              </c:numRef>
            </c:plus>
            <c:minus>
              <c:numRef>
                <c:f>'VFA summary'!$B$67:$H$67</c:f>
                <c:numCache>
                  <c:formatCode>General</c:formatCode>
                  <c:ptCount val="7"/>
                  <c:pt idx="0">
                    <c:v>1.9444283398863671E-3</c:v>
                  </c:pt>
                  <c:pt idx="1">
                    <c:v>0.22712350113241453</c:v>
                  </c:pt>
                  <c:pt idx="2">
                    <c:v>5.1018945431880736E-3</c:v>
                  </c:pt>
                  <c:pt idx="3">
                    <c:v>3.4625095483664492E-2</c:v>
                  </c:pt>
                  <c:pt idx="4">
                    <c:v>1.9444283398863654E-3</c:v>
                  </c:pt>
                  <c:pt idx="5">
                    <c:v>2.6044636479212041E-3</c:v>
                  </c:pt>
                  <c:pt idx="6">
                    <c:v>1.0511721477581672E-2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</c:strRef>
          </c:cat>
          <c:val>
            <c:numRef>
              <c:f>'VFA summary'!$B$55:$H$55</c:f>
              <c:numCache>
                <c:formatCode>0.00</c:formatCode>
                <c:ptCount val="7"/>
                <c:pt idx="0">
                  <c:v>4.9975802548150212E-2</c:v>
                </c:pt>
                <c:pt idx="1">
                  <c:v>0.26316720704339736</c:v>
                </c:pt>
                <c:pt idx="2">
                  <c:v>4.4784714044416897E-2</c:v>
                </c:pt>
                <c:pt idx="3">
                  <c:v>0.43839766193058771</c:v>
                </c:pt>
                <c:pt idx="4">
                  <c:v>2.9996355386015097E-2</c:v>
                </c:pt>
                <c:pt idx="5">
                  <c:v>0.18367754940547404</c:v>
                </c:pt>
                <c:pt idx="6">
                  <c:v>1.0511721477581672E-2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063-46EE-B658-4996271E0A85}"/>
            </c:ext>
          </c:extLst>
        </c:ser>
        <c:ser>
          <c:idx val="6"/>
          <c:order val="6"/>
          <c:tx>
            <c:strRef>
              <c:f>'VFA summary'!$A$56</c:f>
              <c:strCache>
                <c:ptCount val="1"/>
                <c:pt idx="0">
                  <c:v>HexH</c:v>
                </c:pt>
              </c:strCache>
              <c:extLst xmlns:c15="http://schemas.microsoft.com/office/drawing/2012/chart"/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  <c:extLst xmlns:c15="http://schemas.microsoft.com/office/drawing/2012/chart"/>
            </c:strRef>
          </c:cat>
          <c:val>
            <c:numRef>
              <c:f>'VFA summary'!$B$56:$H$56</c:f>
              <c:numCache>
                <c:formatCode>0.00</c:formatCode>
                <c:ptCount val="7"/>
                <c:pt idx="0">
                  <c:v>2.5673502839572589E-2</c:v>
                </c:pt>
                <c:pt idx="1">
                  <c:v>5.2986524117531533E-2</c:v>
                </c:pt>
                <c:pt idx="2">
                  <c:v>1.6962284080655358E-2</c:v>
                </c:pt>
                <c:pt idx="3">
                  <c:v>4.5901399526945517E-2</c:v>
                </c:pt>
                <c:pt idx="4">
                  <c:v>6.9309918304075371E-3</c:v>
                </c:pt>
                <c:pt idx="5">
                  <c:v>3.5010142432463365E-2</c:v>
                </c:pt>
                <c:pt idx="6">
                  <c:v>2.4672829505214919E-2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1063-46EE-B658-4996271E0A85}"/>
            </c:ext>
          </c:extLst>
        </c:ser>
        <c:ser>
          <c:idx val="7"/>
          <c:order val="7"/>
          <c:tx>
            <c:strRef>
              <c:f>'VFA summary'!$A$57</c:f>
              <c:strCache>
                <c:ptCount val="1"/>
                <c:pt idx="0">
                  <c:v>HepH</c:v>
                </c:pt>
              </c:strCache>
              <c:extLst xmlns:c15="http://schemas.microsoft.com/office/drawing/2012/chart"/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'VFA summary'!$A$20:$A$26</c:f>
              <c:strCache>
                <c:ptCount val="7"/>
                <c:pt idx="0">
                  <c:v>A</c:v>
                </c:pt>
                <c:pt idx="1">
                  <c:v>pH equivalent of A</c:v>
                </c:pt>
                <c:pt idx="2">
                  <c:v>B</c:v>
                </c:pt>
                <c:pt idx="3">
                  <c:v>pH equivalent of B</c:v>
                </c:pt>
                <c:pt idx="4">
                  <c:v>C</c:v>
                </c:pt>
                <c:pt idx="5">
                  <c:v>pH equivalent of C</c:v>
                </c:pt>
                <c:pt idx="6">
                  <c:v>Control</c:v>
                </c:pt>
              </c:strCache>
              <c:extLst xmlns:c15="http://schemas.microsoft.com/office/drawing/2012/chart"/>
            </c:strRef>
          </c:cat>
          <c:val>
            <c:numRef>
              <c:f>'VFA summary'!$B$57:$H$57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3.3084218090290954E-2</c:v>
                </c:pt>
                <c:pt idx="4">
                  <c:v>0</c:v>
                </c:pt>
                <c:pt idx="5">
                  <c:v>9.8304209526772438E-3</c:v>
                </c:pt>
                <c:pt idx="6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1063-46EE-B658-4996271E0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11573624"/>
        <c:axId val="511574280"/>
        <c:extLst/>
      </c:barChart>
      <c:catAx>
        <c:axId val="511573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574280"/>
        <c:crosses val="autoZero"/>
        <c:auto val="1"/>
        <c:lblAlgn val="ctr"/>
        <c:lblOffset val="100"/>
        <c:noMultiLvlLbl val="0"/>
      </c:catAx>
      <c:valAx>
        <c:axId val="51157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VFA concentration - day 6 (g VFA/L)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573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pH!$A$20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pH!$B$20:$O$20</c:f>
              <c:numCache>
                <c:formatCode>General</c:formatCode>
                <c:ptCount val="14"/>
                <c:pt idx="0">
                  <c:v>7.0549999999999997</c:v>
                </c:pt>
                <c:pt idx="1">
                  <c:v>5.2349999999999994</c:v>
                </c:pt>
                <c:pt idx="2">
                  <c:v>#N/A</c:v>
                </c:pt>
                <c:pt idx="3">
                  <c:v>5.2200000000000006</c:v>
                </c:pt>
                <c:pt idx="4">
                  <c:v>#N/A</c:v>
                </c:pt>
                <c:pt idx="5">
                  <c:v>5.5250000000000004</c:v>
                </c:pt>
                <c:pt idx="6">
                  <c:v>#N/A</c:v>
                </c:pt>
                <c:pt idx="7">
                  <c:v>5.5950000000000006</c:v>
                </c:pt>
                <c:pt idx="8">
                  <c:v>#N/A</c:v>
                </c:pt>
                <c:pt idx="9">
                  <c:v>5.72</c:v>
                </c:pt>
                <c:pt idx="10">
                  <c:v>#N/A</c:v>
                </c:pt>
                <c:pt idx="11">
                  <c:v>5.7650000000000006</c:v>
                </c:pt>
                <c:pt idx="12">
                  <c:v>#N/A</c:v>
                </c:pt>
                <c:pt idx="13">
                  <c:v>6.09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72-4FC3-B51E-AF1B35394451}"/>
            </c:ext>
          </c:extLst>
        </c:ser>
        <c:ser>
          <c:idx val="1"/>
          <c:order val="1"/>
          <c:tx>
            <c:strRef>
              <c:f>pH!$A$21</c:f>
              <c:strCache>
                <c:ptCount val="1"/>
                <c:pt idx="0">
                  <c:v>pH equivalent of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pH!$B$21:$O$21</c:f>
              <c:numCache>
                <c:formatCode>General</c:formatCode>
                <c:ptCount val="14"/>
                <c:pt idx="0">
                  <c:v>6.8550000000000004</c:v>
                </c:pt>
                <c:pt idx="1">
                  <c:v>4.9850000000000003</c:v>
                </c:pt>
                <c:pt idx="2">
                  <c:v>5.3000000000000007</c:v>
                </c:pt>
                <c:pt idx="3">
                  <c:v>4.9000000000000004</c:v>
                </c:pt>
                <c:pt idx="4">
                  <c:v>5.2449999999999992</c:v>
                </c:pt>
                <c:pt idx="5">
                  <c:v>5.67</c:v>
                </c:pt>
                <c:pt idx="6">
                  <c:v>5.6549999999999994</c:v>
                </c:pt>
                <c:pt idx="7">
                  <c:v>5.7249999999999996</c:v>
                </c:pt>
                <c:pt idx="8">
                  <c:v>#N/A</c:v>
                </c:pt>
                <c:pt idx="9">
                  <c:v>5.9749999999999996</c:v>
                </c:pt>
                <c:pt idx="10">
                  <c:v>#N/A</c:v>
                </c:pt>
                <c:pt idx="11">
                  <c:v>5.99</c:v>
                </c:pt>
                <c:pt idx="12">
                  <c:v>#N/A</c:v>
                </c:pt>
                <c:pt idx="13">
                  <c:v>6.02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972-4FC3-B51E-AF1B35394451}"/>
            </c:ext>
          </c:extLst>
        </c:ser>
        <c:ser>
          <c:idx val="2"/>
          <c:order val="2"/>
          <c:tx>
            <c:strRef>
              <c:f>pH!$A$22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pH!$B$22:$O$22</c:f>
              <c:numCache>
                <c:formatCode>General</c:formatCode>
                <c:ptCount val="14"/>
                <c:pt idx="0">
                  <c:v>6.9350000000000005</c:v>
                </c:pt>
                <c:pt idx="1">
                  <c:v>5.6199999999999992</c:v>
                </c:pt>
                <c:pt idx="2">
                  <c:v>#N/A</c:v>
                </c:pt>
                <c:pt idx="3">
                  <c:v>6.9250000000000007</c:v>
                </c:pt>
                <c:pt idx="4">
                  <c:v>#N/A</c:v>
                </c:pt>
                <c:pt idx="5">
                  <c:v>7.0500000000000007</c:v>
                </c:pt>
                <c:pt idx="6">
                  <c:v>#N/A</c:v>
                </c:pt>
                <c:pt idx="7">
                  <c:v>7.2149999999999999</c:v>
                </c:pt>
                <c:pt idx="8">
                  <c:v>#N/A</c:v>
                </c:pt>
                <c:pt idx="9">
                  <c:v>7.35</c:v>
                </c:pt>
                <c:pt idx="10">
                  <c:v>#N/A</c:v>
                </c:pt>
                <c:pt idx="11">
                  <c:v>7.4399999999999995</c:v>
                </c:pt>
                <c:pt idx="12">
                  <c:v>#N/A</c:v>
                </c:pt>
                <c:pt idx="13">
                  <c:v>7.5549999999999997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972-4FC3-B51E-AF1B35394451}"/>
            </c:ext>
          </c:extLst>
        </c:ser>
        <c:ser>
          <c:idx val="3"/>
          <c:order val="3"/>
          <c:tx>
            <c:strRef>
              <c:f>pH!$A$23</c:f>
              <c:strCache>
                <c:ptCount val="1"/>
                <c:pt idx="0">
                  <c:v>pH equivalent of 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pH!$B$23:$O$23</c:f>
              <c:numCache>
                <c:formatCode>General</c:formatCode>
                <c:ptCount val="14"/>
                <c:pt idx="0">
                  <c:v>6.87</c:v>
                </c:pt>
                <c:pt idx="1">
                  <c:v>5.0549999999999997</c:v>
                </c:pt>
                <c:pt idx="2">
                  <c:v>5.665</c:v>
                </c:pt>
                <c:pt idx="3">
                  <c:v>5.0549999999999997</c:v>
                </c:pt>
                <c:pt idx="4">
                  <c:v>7.0350000000000001</c:v>
                </c:pt>
                <c:pt idx="5">
                  <c:v>5.9550000000000001</c:v>
                </c:pt>
                <c:pt idx="6">
                  <c:v>7.08</c:v>
                </c:pt>
                <c:pt idx="7">
                  <c:v>6.6349999999999998</c:v>
                </c:pt>
                <c:pt idx="8">
                  <c:v>7.41</c:v>
                </c:pt>
                <c:pt idx="9">
                  <c:v>6.82</c:v>
                </c:pt>
                <c:pt idx="10">
                  <c:v>7.4399999999999995</c:v>
                </c:pt>
                <c:pt idx="11">
                  <c:v>6.94</c:v>
                </c:pt>
                <c:pt idx="12">
                  <c:v>7.5649999999999995</c:v>
                </c:pt>
                <c:pt idx="13">
                  <c:v>6.8550000000000004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972-4FC3-B51E-AF1B35394451}"/>
            </c:ext>
          </c:extLst>
        </c:ser>
        <c:ser>
          <c:idx val="4"/>
          <c:order val="4"/>
          <c:tx>
            <c:strRef>
              <c:f>pH!$A$24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pH!$B$24:$O$24</c:f>
              <c:numCache>
                <c:formatCode>General</c:formatCode>
                <c:ptCount val="14"/>
                <c:pt idx="0">
                  <c:v>6.8599999999999994</c:v>
                </c:pt>
                <c:pt idx="1">
                  <c:v>6.1950000000000003</c:v>
                </c:pt>
                <c:pt idx="2">
                  <c:v>#N/A</c:v>
                </c:pt>
                <c:pt idx="3">
                  <c:v>7.63</c:v>
                </c:pt>
                <c:pt idx="4">
                  <c:v>#N/A</c:v>
                </c:pt>
                <c:pt idx="5">
                  <c:v>8.25</c:v>
                </c:pt>
                <c:pt idx="6">
                  <c:v>#N/A</c:v>
                </c:pt>
                <c:pt idx="7">
                  <c:v>8.3699999999999992</c:v>
                </c:pt>
                <c:pt idx="8">
                  <c:v>#N/A</c:v>
                </c:pt>
                <c:pt idx="9">
                  <c:v>8.36</c:v>
                </c:pt>
                <c:pt idx="10">
                  <c:v>#N/A</c:v>
                </c:pt>
                <c:pt idx="11">
                  <c:v>8.1900000000000013</c:v>
                </c:pt>
                <c:pt idx="12">
                  <c:v>#N/A</c:v>
                </c:pt>
                <c:pt idx="13">
                  <c:v>8.1950000000000003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2-4FC3-B51E-AF1B35394451}"/>
            </c:ext>
          </c:extLst>
        </c:ser>
        <c:ser>
          <c:idx val="5"/>
          <c:order val="5"/>
          <c:tx>
            <c:strRef>
              <c:f>pH!$A$25</c:f>
              <c:strCache>
                <c:ptCount val="1"/>
                <c:pt idx="0">
                  <c:v>pH equivalent of 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pH!$B$25:$O$25</c:f>
              <c:numCache>
                <c:formatCode>General</c:formatCode>
                <c:ptCount val="14"/>
                <c:pt idx="0">
                  <c:v>6.7750000000000004</c:v>
                </c:pt>
                <c:pt idx="1">
                  <c:v>5.05</c:v>
                </c:pt>
                <c:pt idx="2">
                  <c:v>6.1449999999999996</c:v>
                </c:pt>
                <c:pt idx="3">
                  <c:v>5.23</c:v>
                </c:pt>
                <c:pt idx="4">
                  <c:v>7.81</c:v>
                </c:pt>
                <c:pt idx="5">
                  <c:v>6.3849999999999998</c:v>
                </c:pt>
                <c:pt idx="6">
                  <c:v>8.2100000000000009</c:v>
                </c:pt>
                <c:pt idx="7">
                  <c:v>6.76</c:v>
                </c:pt>
                <c:pt idx="8">
                  <c:v>8.39</c:v>
                </c:pt>
                <c:pt idx="9">
                  <c:v>6.9350000000000005</c:v>
                </c:pt>
                <c:pt idx="10">
                  <c:v>8.3500000000000014</c:v>
                </c:pt>
                <c:pt idx="11">
                  <c:v>7.2</c:v>
                </c:pt>
                <c:pt idx="12">
                  <c:v>8.254999999999999</c:v>
                </c:pt>
                <c:pt idx="13">
                  <c:v>6.93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972-4FC3-B51E-AF1B35394451}"/>
            </c:ext>
          </c:extLst>
        </c:ser>
        <c:ser>
          <c:idx val="6"/>
          <c:order val="6"/>
          <c:tx>
            <c:strRef>
              <c:f>pH!$A$26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pH!$B$19:$O$19</c:f>
              <c:numCache>
                <c:formatCode>0.00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1.0001</c:v>
                </c:pt>
                <c:pt idx="3">
                  <c:v>2</c:v>
                </c:pt>
                <c:pt idx="4">
                  <c:v>2.0001000000000002</c:v>
                </c:pt>
                <c:pt idx="5">
                  <c:v>3</c:v>
                </c:pt>
                <c:pt idx="6">
                  <c:v>3.0001000000000002</c:v>
                </c:pt>
                <c:pt idx="7">
                  <c:v>4</c:v>
                </c:pt>
                <c:pt idx="8">
                  <c:v>4.0000999999999998</c:v>
                </c:pt>
                <c:pt idx="9">
                  <c:v>5</c:v>
                </c:pt>
                <c:pt idx="10">
                  <c:v>5.0000999999999998</c:v>
                </c:pt>
                <c:pt idx="11">
                  <c:v>6</c:v>
                </c:pt>
                <c:pt idx="12">
                  <c:v>6.0000999999999998</c:v>
                </c:pt>
                <c:pt idx="13">
                  <c:v>7</c:v>
                </c:pt>
              </c:numCache>
            </c:numRef>
          </c:xVal>
          <c:yVal>
            <c:numRef>
              <c:f>pH!$B$26:$O$26</c:f>
              <c:numCache>
                <c:formatCode>General</c:formatCode>
                <c:ptCount val="14"/>
                <c:pt idx="0">
                  <c:v>6.8049999999999997</c:v>
                </c:pt>
                <c:pt idx="1">
                  <c:v>5.1449999999999996</c:v>
                </c:pt>
                <c:pt idx="2">
                  <c:v>#N/A</c:v>
                </c:pt>
                <c:pt idx="3">
                  <c:v>4.9399999999999995</c:v>
                </c:pt>
                <c:pt idx="4">
                  <c:v>#N/A</c:v>
                </c:pt>
                <c:pt idx="5">
                  <c:v>5.1750000000000007</c:v>
                </c:pt>
                <c:pt idx="6">
                  <c:v>#N/A</c:v>
                </c:pt>
                <c:pt idx="7">
                  <c:v>5.4749999999999996</c:v>
                </c:pt>
                <c:pt idx="8">
                  <c:v>#N/A</c:v>
                </c:pt>
                <c:pt idx="9">
                  <c:v>5.6850000000000005</c:v>
                </c:pt>
                <c:pt idx="10">
                  <c:v>#N/A</c:v>
                </c:pt>
                <c:pt idx="11">
                  <c:v>5.8450000000000006</c:v>
                </c:pt>
                <c:pt idx="12">
                  <c:v>#N/A</c:v>
                </c:pt>
                <c:pt idx="13">
                  <c:v>5.9450000000000003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972-4FC3-B51E-AF1B35394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976144"/>
        <c:axId val="599974176"/>
        <c:extLst/>
      </c:scatterChart>
      <c:valAx>
        <c:axId val="599976144"/>
        <c:scaling>
          <c:orientation val="minMax"/>
          <c:max val="8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Fermentation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time (days)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4176"/>
        <c:crosses val="autoZero"/>
        <c:crossBetween val="midCat"/>
        <c:majorUnit val="1"/>
        <c:minorUnit val="0.5"/>
      </c:valAx>
      <c:valAx>
        <c:axId val="599974176"/>
        <c:scaling>
          <c:orientation val="minMax"/>
          <c:max val="10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7614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1'!$C$5:$E$5</c:f>
              <c:numCache>
                <c:formatCode>General</c:formatCode>
                <c:ptCount val="3"/>
                <c:pt idx="0">
                  <c:v>1197</c:v>
                </c:pt>
                <c:pt idx="1">
                  <c:v>6123</c:v>
                </c:pt>
                <c:pt idx="2">
                  <c:v>12191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77-4568-862A-CB20CA800097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1'!$C$6:$E$6</c:f>
              <c:numCache>
                <c:formatCode>General</c:formatCode>
                <c:ptCount val="3"/>
                <c:pt idx="0">
                  <c:v>2004</c:v>
                </c:pt>
                <c:pt idx="1">
                  <c:v>9642</c:v>
                </c:pt>
                <c:pt idx="2">
                  <c:v>19482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77-4568-862A-CB20CA800097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1'!$C$7:$E$7</c:f>
              <c:numCache>
                <c:formatCode>General</c:formatCode>
                <c:ptCount val="3"/>
                <c:pt idx="0">
                  <c:v>2219</c:v>
                </c:pt>
                <c:pt idx="1">
                  <c:v>10967</c:v>
                </c:pt>
                <c:pt idx="2">
                  <c:v>21989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77-4568-862A-CB20CA800097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1'!$C$8:$E$8</c:f>
              <c:numCache>
                <c:formatCode>General</c:formatCode>
                <c:ptCount val="3"/>
                <c:pt idx="0">
                  <c:v>2205</c:v>
                </c:pt>
                <c:pt idx="1">
                  <c:v>11192</c:v>
                </c:pt>
                <c:pt idx="2">
                  <c:v>22764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77-4568-862A-CB20CA800097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1'!$C$9:$E$9</c:f>
              <c:numCache>
                <c:formatCode>General</c:formatCode>
                <c:ptCount val="3"/>
                <c:pt idx="0">
                  <c:v>2360</c:v>
                </c:pt>
                <c:pt idx="1">
                  <c:v>12086</c:v>
                </c:pt>
                <c:pt idx="2">
                  <c:v>24637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77-4568-862A-CB20CA800097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1'!$C$10:$E$10</c:f>
              <c:numCache>
                <c:formatCode>General</c:formatCode>
                <c:ptCount val="3"/>
                <c:pt idx="0">
                  <c:v>2424</c:v>
                </c:pt>
                <c:pt idx="1">
                  <c:v>12242</c:v>
                </c:pt>
                <c:pt idx="2">
                  <c:v>25167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77-4568-862A-CB20CA800097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1'!$C$11:$E$11</c:f>
              <c:numCache>
                <c:formatCode>General</c:formatCode>
                <c:ptCount val="3"/>
                <c:pt idx="0">
                  <c:v>2478</c:v>
                </c:pt>
                <c:pt idx="1">
                  <c:v>12635</c:v>
                </c:pt>
                <c:pt idx="2">
                  <c:v>26404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D77-4568-862A-CB20CA800097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1'!$F$12:$H$12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1'!$C$12:$E$12</c:f>
              <c:numCache>
                <c:formatCode>General</c:formatCode>
                <c:ptCount val="3"/>
                <c:pt idx="0">
                  <c:v>2630</c:v>
                </c:pt>
                <c:pt idx="1">
                  <c:v>13531</c:v>
                </c:pt>
                <c:pt idx="2">
                  <c:v>28622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D77-4568-862A-CB20CA800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2'!$C$5:$E$5</c:f>
              <c:numCache>
                <c:formatCode>General</c:formatCode>
                <c:ptCount val="3"/>
                <c:pt idx="0">
                  <c:v>1301</c:v>
                </c:pt>
                <c:pt idx="1">
                  <c:v>6296</c:v>
                </c:pt>
                <c:pt idx="2">
                  <c:v>12438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F4-4AB6-AF75-ECF72E45EE53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2'!$C$6:$E$6</c:f>
              <c:numCache>
                <c:formatCode>General</c:formatCode>
                <c:ptCount val="3"/>
                <c:pt idx="0">
                  <c:v>2100</c:v>
                </c:pt>
                <c:pt idx="1">
                  <c:v>9724</c:v>
                </c:pt>
                <c:pt idx="2">
                  <c:v>19331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F4-4AB6-AF75-ECF72E45EE53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2'!$C$7:$E$7</c:f>
              <c:numCache>
                <c:formatCode>General</c:formatCode>
                <c:ptCount val="3"/>
                <c:pt idx="0">
                  <c:v>2207</c:v>
                </c:pt>
                <c:pt idx="1">
                  <c:v>11104</c:v>
                </c:pt>
                <c:pt idx="2">
                  <c:v>21875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F4-4AB6-AF75-ECF72E45EE53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2'!$C$8:$E$8</c:f>
              <c:numCache>
                <c:formatCode>General</c:formatCode>
                <c:ptCount val="3"/>
                <c:pt idx="0">
                  <c:v>2300</c:v>
                </c:pt>
                <c:pt idx="1">
                  <c:v>11385</c:v>
                </c:pt>
                <c:pt idx="2">
                  <c:v>23010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F4-4AB6-AF75-ECF72E45EE53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2'!$C$9:$E$9</c:f>
              <c:numCache>
                <c:formatCode>General</c:formatCode>
                <c:ptCount val="3"/>
                <c:pt idx="0">
                  <c:v>2598</c:v>
                </c:pt>
                <c:pt idx="1">
                  <c:v>12361</c:v>
                </c:pt>
                <c:pt idx="2">
                  <c:v>24645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F4-4AB6-AF75-ECF72E45EE53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2'!$C$10:$E$10</c:f>
              <c:numCache>
                <c:formatCode>General</c:formatCode>
                <c:ptCount val="3"/>
                <c:pt idx="0">
                  <c:v>2473</c:v>
                </c:pt>
                <c:pt idx="1">
                  <c:v>12266</c:v>
                </c:pt>
                <c:pt idx="2">
                  <c:v>25002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F4-4AB6-AF75-ECF72E45EE53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2'!$C$11:$E$11</c:f>
              <c:numCache>
                <c:formatCode>General</c:formatCode>
                <c:ptCount val="3"/>
                <c:pt idx="0">
                  <c:v>2546</c:v>
                </c:pt>
                <c:pt idx="1">
                  <c:v>12472</c:v>
                </c:pt>
                <c:pt idx="2">
                  <c:v>25852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F4-4AB6-AF75-ECF72E45EE53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2'!$F$12:$H$12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2'!$C$12:$E$12</c:f>
              <c:numCache>
                <c:formatCode>General</c:formatCode>
                <c:ptCount val="3"/>
                <c:pt idx="0">
                  <c:v>2804</c:v>
                </c:pt>
                <c:pt idx="1">
                  <c:v>13101</c:v>
                </c:pt>
                <c:pt idx="2">
                  <c:v>27631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F4-4AB6-AF75-ECF72E45E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3'!$C$5:$E$5</c:f>
              <c:numCache>
                <c:formatCode>General</c:formatCode>
                <c:ptCount val="3"/>
                <c:pt idx="0">
                  <c:v>1509</c:v>
                </c:pt>
                <c:pt idx="1">
                  <c:v>6328</c:v>
                </c:pt>
                <c:pt idx="2">
                  <c:v>12326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BA-4540-916C-D7EF2E2A24E0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3'!$C$6:$E$6</c:f>
              <c:numCache>
                <c:formatCode>General</c:formatCode>
                <c:ptCount val="3"/>
                <c:pt idx="0">
                  <c:v>2093</c:v>
                </c:pt>
                <c:pt idx="1">
                  <c:v>9782</c:v>
                </c:pt>
                <c:pt idx="2">
                  <c:v>19570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BA-4540-916C-D7EF2E2A24E0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3'!$C$7:$E$7</c:f>
              <c:numCache>
                <c:formatCode>General</c:formatCode>
                <c:ptCount val="3"/>
                <c:pt idx="0">
                  <c:v>2268</c:v>
                </c:pt>
                <c:pt idx="1">
                  <c:v>11124</c:v>
                </c:pt>
                <c:pt idx="2">
                  <c:v>21970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BA-4540-916C-D7EF2E2A24E0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3'!$C$8:$E$8</c:f>
              <c:numCache>
                <c:formatCode>General</c:formatCode>
                <c:ptCount val="3"/>
                <c:pt idx="0">
                  <c:v>2480</c:v>
                </c:pt>
                <c:pt idx="1">
                  <c:v>11505</c:v>
                </c:pt>
                <c:pt idx="2">
                  <c:v>22956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BA-4540-916C-D7EF2E2A24E0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3'!$C$9:$E$9</c:f>
              <c:numCache>
                <c:formatCode>General</c:formatCode>
                <c:ptCount val="3"/>
                <c:pt idx="0">
                  <c:v>2444</c:v>
                </c:pt>
                <c:pt idx="1">
                  <c:v>12267</c:v>
                </c:pt>
                <c:pt idx="2">
                  <c:v>24331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BA-4540-916C-D7EF2E2A24E0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3'!$C$10:$E$10</c:f>
              <c:numCache>
                <c:formatCode>General</c:formatCode>
                <c:ptCount val="3"/>
                <c:pt idx="0">
                  <c:v>2463</c:v>
                </c:pt>
                <c:pt idx="1">
                  <c:v>12280</c:v>
                </c:pt>
                <c:pt idx="2">
                  <c:v>24763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BA-4540-916C-D7EF2E2A24E0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3'!$C$11:$E$11</c:f>
              <c:numCache>
                <c:formatCode>General</c:formatCode>
                <c:ptCount val="3"/>
                <c:pt idx="0">
                  <c:v>2552</c:v>
                </c:pt>
                <c:pt idx="1">
                  <c:v>12499</c:v>
                </c:pt>
                <c:pt idx="2">
                  <c:v>25572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BA-4540-916C-D7EF2E2A24E0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3'!$F$12:$H$12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3'!$C$12:$E$12</c:f>
              <c:numCache>
                <c:formatCode>General</c:formatCode>
                <c:ptCount val="3"/>
                <c:pt idx="0">
                  <c:v>2602</c:v>
                </c:pt>
                <c:pt idx="1">
                  <c:v>13027</c:v>
                </c:pt>
                <c:pt idx="2">
                  <c:v>27271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BA-4540-916C-D7EF2E2A2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4'!$C$5:$E$5</c:f>
              <c:numCache>
                <c:formatCode>General</c:formatCode>
                <c:ptCount val="3"/>
                <c:pt idx="0">
                  <c:v>1198</c:v>
                </c:pt>
                <c:pt idx="1">
                  <c:v>5916</c:v>
                </c:pt>
                <c:pt idx="2">
                  <c:v>11898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74-4300-AB0C-AB03C85499F1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4'!$C$6:$E$6</c:f>
              <c:numCache>
                <c:formatCode>General</c:formatCode>
                <c:ptCount val="3"/>
                <c:pt idx="0">
                  <c:v>1965</c:v>
                </c:pt>
                <c:pt idx="1">
                  <c:v>9085</c:v>
                </c:pt>
                <c:pt idx="2">
                  <c:v>18373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74-4300-AB0C-AB03C85499F1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4'!$C$7:$E$7</c:f>
              <c:numCache>
                <c:formatCode>General</c:formatCode>
                <c:ptCount val="3"/>
                <c:pt idx="0">
                  <c:v>2080</c:v>
                </c:pt>
                <c:pt idx="1">
                  <c:v>10211</c:v>
                </c:pt>
                <c:pt idx="2">
                  <c:v>20494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74-4300-AB0C-AB03C85499F1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4'!$C$8:$E$8</c:f>
              <c:numCache>
                <c:formatCode>General</c:formatCode>
                <c:ptCount val="3"/>
                <c:pt idx="0">
                  <c:v>2139</c:v>
                </c:pt>
                <c:pt idx="1">
                  <c:v>10479</c:v>
                </c:pt>
                <c:pt idx="2">
                  <c:v>21584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74-4300-AB0C-AB03C85499F1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4'!$C$9:$E$9</c:f>
              <c:numCache>
                <c:formatCode>General</c:formatCode>
                <c:ptCount val="3"/>
                <c:pt idx="0">
                  <c:v>2309</c:v>
                </c:pt>
                <c:pt idx="1">
                  <c:v>11085</c:v>
                </c:pt>
                <c:pt idx="2">
                  <c:v>22838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74-4300-AB0C-AB03C85499F1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4'!$C$10:$E$10</c:f>
              <c:numCache>
                <c:formatCode>General</c:formatCode>
                <c:ptCount val="3"/>
                <c:pt idx="0">
                  <c:v>2350</c:v>
                </c:pt>
                <c:pt idx="1">
                  <c:v>11087</c:v>
                </c:pt>
                <c:pt idx="2">
                  <c:v>22993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74-4300-AB0C-AB03C85499F1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4'!$C$11:$E$11</c:f>
              <c:numCache>
                <c:formatCode>General</c:formatCode>
                <c:ptCount val="3"/>
                <c:pt idx="0">
                  <c:v>2404</c:v>
                </c:pt>
                <c:pt idx="1">
                  <c:v>10685</c:v>
                </c:pt>
                <c:pt idx="2">
                  <c:v>23123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74-4300-AB0C-AB03C85499F1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4'!$F$12:$H$12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4'!$C$12:$E$12</c:f>
              <c:numCache>
                <c:formatCode>General</c:formatCode>
                <c:ptCount val="3"/>
                <c:pt idx="0">
                  <c:v>2550</c:v>
                </c:pt>
                <c:pt idx="1">
                  <c:v>10613</c:v>
                </c:pt>
                <c:pt idx="2">
                  <c:v>23495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974-4300-AB0C-AB03C8549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5'!$C$5:$E$5</c:f>
              <c:numCache>
                <c:formatCode>General</c:formatCode>
                <c:ptCount val="3"/>
                <c:pt idx="0">
                  <c:v>1298</c:v>
                </c:pt>
                <c:pt idx="1">
                  <c:v>6340</c:v>
                </c:pt>
                <c:pt idx="2">
                  <c:v>12796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88-4457-BCD9-D891EF27D090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5'!$C$6:$E$6</c:f>
              <c:numCache>
                <c:formatCode>General</c:formatCode>
                <c:ptCount val="3"/>
                <c:pt idx="0">
                  <c:v>1925</c:v>
                </c:pt>
                <c:pt idx="1">
                  <c:v>9578</c:v>
                </c:pt>
                <c:pt idx="2">
                  <c:v>19327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88-4457-BCD9-D891EF27D090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5'!$C$7:$E$7</c:f>
              <c:numCache>
                <c:formatCode>General</c:formatCode>
                <c:ptCount val="3"/>
                <c:pt idx="0">
                  <c:v>2135</c:v>
                </c:pt>
                <c:pt idx="1">
                  <c:v>10690</c:v>
                </c:pt>
                <c:pt idx="2">
                  <c:v>21785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88-4457-BCD9-D891EF27D090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5'!$C$8:$E$8</c:f>
              <c:numCache>
                <c:formatCode>General</c:formatCode>
                <c:ptCount val="3"/>
                <c:pt idx="0">
                  <c:v>2305</c:v>
                </c:pt>
                <c:pt idx="1">
                  <c:v>11415</c:v>
                </c:pt>
                <c:pt idx="2">
                  <c:v>23512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88-4457-BCD9-D891EF27D090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5'!$C$9:$E$9</c:f>
              <c:numCache>
                <c:formatCode>General</c:formatCode>
                <c:ptCount val="3"/>
                <c:pt idx="0">
                  <c:v>2436</c:v>
                </c:pt>
                <c:pt idx="1">
                  <c:v>12150</c:v>
                </c:pt>
                <c:pt idx="2">
                  <c:v>24406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88-4457-BCD9-D891EF27D090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5'!$C$10:$E$10</c:f>
              <c:numCache>
                <c:formatCode>General</c:formatCode>
                <c:ptCount val="3"/>
                <c:pt idx="0">
                  <c:v>2433</c:v>
                </c:pt>
                <c:pt idx="1">
                  <c:v>12679</c:v>
                </c:pt>
                <c:pt idx="2">
                  <c:v>25622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88-4457-BCD9-D891EF27D090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5'!$C$11:$E$11</c:f>
              <c:numCache>
                <c:formatCode>General</c:formatCode>
                <c:ptCount val="3"/>
                <c:pt idx="0">
                  <c:v>2535</c:v>
                </c:pt>
                <c:pt idx="1">
                  <c:v>13177</c:v>
                </c:pt>
                <c:pt idx="2">
                  <c:v>26194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788-4457-BCD9-D891EF27D090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5'!$F$12:$H$12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5'!$C$12:$E$12</c:f>
              <c:numCache>
                <c:formatCode>General</c:formatCode>
                <c:ptCount val="3"/>
                <c:pt idx="0">
                  <c:v>2759</c:v>
                </c:pt>
                <c:pt idx="1">
                  <c:v>14625</c:v>
                </c:pt>
                <c:pt idx="2">
                  <c:v>28479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788-4457-BCD9-D891EF27D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6'!$F$5:$H$5</c:f>
              <c:numCache>
                <c:formatCode>General</c:formatCode>
                <c:ptCount val="3"/>
                <c:pt idx="0">
                  <c:v>53</c:v>
                </c:pt>
                <c:pt idx="1">
                  <c:v>263</c:v>
                </c:pt>
                <c:pt idx="2">
                  <c:v>525</c:v>
                </c:pt>
              </c:numCache>
            </c:numRef>
          </c:xVal>
          <c:yVal>
            <c:numRef>
              <c:f>'VFA day 6'!$C$5:$E$5</c:f>
              <c:numCache>
                <c:formatCode>General</c:formatCode>
                <c:ptCount val="3"/>
                <c:pt idx="0">
                  <c:v>1306</c:v>
                </c:pt>
                <c:pt idx="1">
                  <c:v>6438</c:v>
                </c:pt>
                <c:pt idx="2">
                  <c:v>12838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04-44D7-8B16-DA130C61C313}"/>
            </c:ext>
          </c:extLst>
        </c:ser>
        <c:ser>
          <c:idx val="1"/>
          <c:order val="1"/>
          <c:tx>
            <c:v>PrH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6'!$F$6:$H$6</c:f>
              <c:numCache>
                <c:formatCode>General</c:formatCode>
                <c:ptCount val="3"/>
                <c:pt idx="0">
                  <c:v>49</c:v>
                </c:pt>
                <c:pt idx="1">
                  <c:v>247</c:v>
                </c:pt>
                <c:pt idx="2">
                  <c:v>495</c:v>
                </c:pt>
              </c:numCache>
            </c:numRef>
          </c:xVal>
          <c:yVal>
            <c:numRef>
              <c:f>'VFA day 6'!$C$6:$E$6</c:f>
              <c:numCache>
                <c:formatCode>General</c:formatCode>
                <c:ptCount val="3"/>
                <c:pt idx="0">
                  <c:v>2003</c:v>
                </c:pt>
                <c:pt idx="1">
                  <c:v>9679</c:v>
                </c:pt>
                <c:pt idx="2">
                  <c:v>19544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04-44D7-8B16-DA130C61C313}"/>
            </c:ext>
          </c:extLst>
        </c:ser>
        <c:ser>
          <c:idx val="2"/>
          <c:order val="2"/>
          <c:tx>
            <c:v>iBuH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6'!$F$7:$H$7</c:f>
              <c:numCache>
                <c:formatCode>General</c:formatCode>
                <c:ptCount val="3"/>
                <c:pt idx="0">
                  <c:v>47</c:v>
                </c:pt>
                <c:pt idx="1">
                  <c:v>235</c:v>
                </c:pt>
                <c:pt idx="2">
                  <c:v>469</c:v>
                </c:pt>
              </c:numCache>
            </c:numRef>
          </c:xVal>
          <c:yVal>
            <c:numRef>
              <c:f>'VFA day 6'!$C$7:$E$7</c:f>
              <c:numCache>
                <c:formatCode>General</c:formatCode>
                <c:ptCount val="3"/>
                <c:pt idx="0">
                  <c:v>2156</c:v>
                </c:pt>
                <c:pt idx="1">
                  <c:v>10599</c:v>
                </c:pt>
                <c:pt idx="2">
                  <c:v>21467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04-44D7-8B16-DA130C61C313}"/>
            </c:ext>
          </c:extLst>
        </c:ser>
        <c:ser>
          <c:idx val="3"/>
          <c:order val="3"/>
          <c:tx>
            <c:v>BuH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6'!$F$8:$H$8</c:f>
              <c:numCache>
                <c:formatCode>General</c:formatCode>
                <c:ptCount val="3"/>
                <c:pt idx="0">
                  <c:v>45</c:v>
                </c:pt>
                <c:pt idx="1">
                  <c:v>227</c:v>
                </c:pt>
                <c:pt idx="2">
                  <c:v>453</c:v>
                </c:pt>
              </c:numCache>
            </c:numRef>
          </c:xVal>
          <c:yVal>
            <c:numRef>
              <c:f>'VFA day 6'!$C$8:$E$8</c:f>
              <c:numCache>
                <c:formatCode>General</c:formatCode>
                <c:ptCount val="3"/>
                <c:pt idx="0">
                  <c:v>2280</c:v>
                </c:pt>
                <c:pt idx="1">
                  <c:v>11178</c:v>
                </c:pt>
                <c:pt idx="2">
                  <c:v>22947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04-44D7-8B16-DA130C61C313}"/>
            </c:ext>
          </c:extLst>
        </c:ser>
        <c:ser>
          <c:idx val="4"/>
          <c:order val="4"/>
          <c:tx>
            <c:v>iVaH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6'!$F$9:$H$9</c:f>
              <c:numCache>
                <c:formatCode>General</c:formatCode>
                <c:ptCount val="3"/>
                <c:pt idx="0">
                  <c:v>46</c:v>
                </c:pt>
                <c:pt idx="1">
                  <c:v>228</c:v>
                </c:pt>
                <c:pt idx="2">
                  <c:v>455</c:v>
                </c:pt>
              </c:numCache>
            </c:numRef>
          </c:xVal>
          <c:yVal>
            <c:numRef>
              <c:f>'VFA day 6'!$C$9:$E$9</c:f>
              <c:numCache>
                <c:formatCode>General</c:formatCode>
                <c:ptCount val="3"/>
                <c:pt idx="0">
                  <c:v>2360</c:v>
                </c:pt>
                <c:pt idx="1">
                  <c:v>11515</c:v>
                </c:pt>
                <c:pt idx="2">
                  <c:v>23912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04-44D7-8B16-DA130C61C313}"/>
            </c:ext>
          </c:extLst>
        </c:ser>
        <c:ser>
          <c:idx val="5"/>
          <c:order val="5"/>
          <c:tx>
            <c:v>VaH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6'!$F$10:$H$10</c:f>
              <c:numCache>
                <c:formatCode>General</c:formatCode>
                <c:ptCount val="3"/>
                <c:pt idx="0">
                  <c:v>44</c:v>
                </c:pt>
                <c:pt idx="1">
                  <c:v>221</c:v>
                </c:pt>
                <c:pt idx="2">
                  <c:v>443</c:v>
                </c:pt>
              </c:numCache>
            </c:numRef>
          </c:xVal>
          <c:yVal>
            <c:numRef>
              <c:f>'VFA day 6'!$C$10:$E$10</c:f>
              <c:numCache>
                <c:formatCode>General</c:formatCode>
                <c:ptCount val="3"/>
                <c:pt idx="0">
                  <c:v>2414</c:v>
                </c:pt>
                <c:pt idx="1">
                  <c:v>11674</c:v>
                </c:pt>
                <c:pt idx="2">
                  <c:v>24733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104-44D7-8B16-DA130C61C313}"/>
            </c:ext>
          </c:extLst>
        </c:ser>
        <c:ser>
          <c:idx val="6"/>
          <c:order val="6"/>
          <c:tx>
            <c:v>HexH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6'!$F$11:$H$11</c:f>
              <c:numCache>
                <c:formatCode>General</c:formatCode>
                <c:ptCount val="3"/>
                <c:pt idx="0">
                  <c:v>44</c:v>
                </c:pt>
                <c:pt idx="1">
                  <c:v>222</c:v>
                </c:pt>
                <c:pt idx="2">
                  <c:v>444</c:v>
                </c:pt>
              </c:numCache>
            </c:numRef>
          </c:xVal>
          <c:yVal>
            <c:numRef>
              <c:f>'VFA day 6'!$C$11:$E$11</c:f>
              <c:numCache>
                <c:formatCode>General</c:formatCode>
                <c:ptCount val="3"/>
                <c:pt idx="0">
                  <c:v>2326</c:v>
                </c:pt>
                <c:pt idx="1">
                  <c:v>11115</c:v>
                </c:pt>
                <c:pt idx="2">
                  <c:v>24628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104-44D7-8B16-DA130C61C313}"/>
            </c:ext>
          </c:extLst>
        </c:ser>
        <c:ser>
          <c:idx val="7"/>
          <c:order val="7"/>
          <c:tx>
            <c:v>HepH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'VFA day 6'!$F$12:$H$12</c:f>
              <c:numCache>
                <c:formatCode>General</c:formatCode>
                <c:ptCount val="3"/>
                <c:pt idx="0">
                  <c:v>47</c:v>
                </c:pt>
                <c:pt idx="1">
                  <c:v>234</c:v>
                </c:pt>
                <c:pt idx="2">
                  <c:v>467</c:v>
                </c:pt>
              </c:numCache>
            </c:numRef>
          </c:xVal>
          <c:yVal>
            <c:numRef>
              <c:f>'VFA day 6'!$C$12:$E$12</c:f>
              <c:numCache>
                <c:formatCode>General</c:formatCode>
                <c:ptCount val="3"/>
                <c:pt idx="0">
                  <c:v>2354</c:v>
                </c:pt>
                <c:pt idx="1">
                  <c:v>10662</c:v>
                </c:pt>
                <c:pt idx="2">
                  <c:v>25003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104-44D7-8B16-DA130C61C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95528"/>
        <c:axId val="557393888"/>
      </c:scatterChart>
      <c:valAx>
        <c:axId val="557395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3888"/>
        <c:crosses val="autoZero"/>
        <c:crossBetween val="midCat"/>
      </c:valAx>
      <c:valAx>
        <c:axId val="5573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395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142876</xdr:colOff>
      <xdr:row>0</xdr:row>
      <xdr:rowOff>0</xdr:rowOff>
    </xdr:from>
    <xdr:to>
      <xdr:col>15</xdr:col>
      <xdr:colOff>238125</xdr:colOff>
      <xdr:row>15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D38142-172C-4CF1-8780-94987AB43E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276225</xdr:colOff>
      <xdr:row>16</xdr:row>
      <xdr:rowOff>74295</xdr:rowOff>
    </xdr:from>
    <xdr:to>
      <xdr:col>15</xdr:col>
      <xdr:colOff>38100</xdr:colOff>
      <xdr:row>34</xdr:row>
      <xdr:rowOff>139066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1F8B96-6298-4827-A0B8-10040C76F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230505</xdr:colOff>
      <xdr:row>0</xdr:row>
      <xdr:rowOff>188595</xdr:rowOff>
    </xdr:from>
    <xdr:to>
      <xdr:col>25</xdr:col>
      <xdr:colOff>373380</xdr:colOff>
      <xdr:row>21</xdr:row>
      <xdr:rowOff>186690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0</xdr:row>
      <xdr:rowOff>68580</xdr:rowOff>
    </xdr:from>
    <xdr:to>
      <xdr:col>21</xdr:col>
      <xdr:colOff>571500</xdr:colOff>
      <xdr:row>12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zoomScale="110" zoomScaleNormal="110" workbookViewId="0">
      <selection activeCell="F17" sqref="F17"/>
    </sheetView>
  </sheetViews>
  <sheetFormatPr defaultRowHeight="15" x14ac:dyDescent="0.25"/>
  <cols>
    <col min="1" max="1" width="17.28515625" customWidth="1"/>
    <col min="2" max="2" width="10.7109375" customWidth="1"/>
    <col min="4" max="4" width="6.7109375" customWidth="1"/>
    <col min="5" max="5" width="8.7109375" customWidth="1"/>
    <col min="6" max="6" width="7.42578125" customWidth="1"/>
    <col min="7" max="7" width="8" customWidth="1"/>
    <col min="8" max="8" width="14.28515625" customWidth="1"/>
    <col min="9" max="9" width="15.140625" customWidth="1"/>
    <col min="10" max="10" width="11.7109375" customWidth="1"/>
    <col min="11" max="11" width="11" bestFit="1" customWidth="1"/>
    <col min="12" max="12" width="12" bestFit="1" customWidth="1"/>
    <col min="13" max="13" width="11.85546875" customWidth="1"/>
    <col min="15" max="15" width="8.140625" customWidth="1"/>
    <col min="16" max="16" width="12.140625" customWidth="1"/>
    <col min="17" max="17" width="12.42578125" customWidth="1"/>
    <col min="18" max="18" width="13.85546875" customWidth="1"/>
    <col min="20" max="20" width="12.42578125" customWidth="1"/>
    <col min="21" max="21" width="18.7109375" customWidth="1"/>
  </cols>
  <sheetData>
    <row r="1" spans="1:21" ht="20.25" thickBot="1" x14ac:dyDescent="0.35">
      <c r="A1" s="36" t="s">
        <v>108</v>
      </c>
      <c r="B1" s="36"/>
      <c r="C1" s="36"/>
    </row>
    <row r="2" spans="1:21" ht="15.75" thickTop="1" x14ac:dyDescent="0.25"/>
    <row r="3" spans="1:21" x14ac:dyDescent="0.25">
      <c r="A3" s="1" t="s">
        <v>0</v>
      </c>
      <c r="B3" s="1">
        <v>40</v>
      </c>
    </row>
    <row r="4" spans="1:21" x14ac:dyDescent="0.25">
      <c r="A4" s="1" t="s">
        <v>1</v>
      </c>
      <c r="B4" s="2">
        <v>4.7507676342800002E-2</v>
      </c>
      <c r="D4" s="3"/>
      <c r="E4" s="3"/>
    </row>
    <row r="5" spans="1:21" x14ac:dyDescent="0.25">
      <c r="A5" s="1" t="s">
        <v>2</v>
      </c>
      <c r="B5" s="2">
        <v>0.02</v>
      </c>
      <c r="E5" s="1" t="s">
        <v>21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25</v>
      </c>
      <c r="N5" s="9" t="s">
        <v>23</v>
      </c>
      <c r="O5" s="9" t="s">
        <v>20</v>
      </c>
      <c r="P5" s="9" t="s">
        <v>24</v>
      </c>
      <c r="Q5" s="9" t="s">
        <v>28</v>
      </c>
      <c r="R5" s="9" t="s">
        <v>99</v>
      </c>
      <c r="S5" s="9" t="s">
        <v>106</v>
      </c>
      <c r="T5" s="9" t="s">
        <v>123</v>
      </c>
      <c r="U5" s="9" t="s">
        <v>131</v>
      </c>
    </row>
    <row r="6" spans="1:21" x14ac:dyDescent="0.25">
      <c r="A6" s="1" t="s">
        <v>3</v>
      </c>
      <c r="B6" s="1">
        <v>0.2</v>
      </c>
      <c r="D6" s="10" t="s">
        <v>15</v>
      </c>
      <c r="E6" s="4">
        <v>25</v>
      </c>
      <c r="F6" s="1">
        <v>2</v>
      </c>
      <c r="G6" s="12">
        <v>7.4999999999999997E-2</v>
      </c>
      <c r="H6" s="1">
        <v>150</v>
      </c>
      <c r="I6" s="2">
        <f>H6*G6/$B$7</f>
        <v>41.666666666666664</v>
      </c>
      <c r="J6" s="2">
        <f>I6*F6</f>
        <v>83.333333333333329</v>
      </c>
      <c r="K6" s="2">
        <f>H6-I6</f>
        <v>108.33333333333334</v>
      </c>
      <c r="L6" s="2">
        <f>H6*G6/$B$3/$B$4</f>
        <v>5.9200959013568903</v>
      </c>
      <c r="M6" s="2">
        <f>L6*F6</f>
        <v>11.840191802713781</v>
      </c>
      <c r="N6" s="1">
        <f>(I6*$B$7*$B$12)/E6-$B$13*I6*$B$7</f>
        <v>6.7499999999999991E-2</v>
      </c>
      <c r="O6" s="2">
        <f>N6*$B$10/$B$11</f>
        <v>0.14471824198419325</v>
      </c>
      <c r="P6" s="2">
        <f>O6*F6</f>
        <v>0.2894364839683865</v>
      </c>
      <c r="Q6" s="2">
        <f>N6*18/14/(H6/1000)</f>
        <v>0.57857142857142851</v>
      </c>
      <c r="R6" s="1">
        <f>O6/(H6/1000)</f>
        <v>0.96478827989462168</v>
      </c>
      <c r="S6" s="1">
        <f>R6/$B$10</f>
        <v>1.6063740923986373E-2</v>
      </c>
      <c r="T6" s="1">
        <f>O6/(I6*$F$24)*1000</f>
        <v>13.226087821529235</v>
      </c>
      <c r="U6" s="1">
        <f>R6*14*2/60</f>
        <v>0.45023453061749014</v>
      </c>
    </row>
    <row r="7" spans="1:21" x14ac:dyDescent="0.25">
      <c r="A7" s="1" t="s">
        <v>4</v>
      </c>
      <c r="B7" s="2">
        <v>0.27</v>
      </c>
      <c r="D7" s="10" t="s">
        <v>16</v>
      </c>
      <c r="E7" s="4">
        <v>10</v>
      </c>
      <c r="F7" s="1">
        <v>2</v>
      </c>
      <c r="G7" s="12">
        <v>7.4999999999999997E-2</v>
      </c>
      <c r="H7" s="1">
        <v>150</v>
      </c>
      <c r="I7" s="2">
        <f>H7*G7/$B$7</f>
        <v>41.666666666666664</v>
      </c>
      <c r="J7" s="2">
        <f>I7*F7</f>
        <v>83.333333333333329</v>
      </c>
      <c r="K7" s="2">
        <f>H7-I7</f>
        <v>108.33333333333334</v>
      </c>
      <c r="L7" s="2">
        <f>H7*G7/$B$3/$B$4</f>
        <v>5.9200959013568903</v>
      </c>
      <c r="M7" s="2">
        <f>L7*F7</f>
        <v>11.840191802713781</v>
      </c>
      <c r="N7" s="1">
        <f>(I7*$B$7*$B$12)/E7-$B$13*I7*$B$7</f>
        <v>0.33750000000000002</v>
      </c>
      <c r="O7" s="2">
        <f>N7*$B$10/$B$11</f>
        <v>0.72359120992096637</v>
      </c>
      <c r="P7" s="2">
        <f>O7*F7</f>
        <v>1.4471824198419327</v>
      </c>
      <c r="Q7" s="2">
        <f>N7*18/14/(H7/1000)</f>
        <v>2.8928571428571432</v>
      </c>
      <c r="R7" s="1">
        <f>O7/(H7/1000)</f>
        <v>4.8239413994731093</v>
      </c>
      <c r="S7" s="1">
        <f t="shared" ref="S7:S8" si="0">R7/$B$10</f>
        <v>8.0318704619931888E-2</v>
      </c>
      <c r="T7" s="1">
        <f t="shared" ref="T7:T8" si="1">O7/(I7*$F$24)*1000</f>
        <v>66.130439107646183</v>
      </c>
      <c r="U7" s="1">
        <f t="shared" ref="U7:U8" si="2">R7*14*2/60</f>
        <v>2.2511726530874512</v>
      </c>
    </row>
    <row r="8" spans="1:21" x14ac:dyDescent="0.25">
      <c r="A8" s="1" t="s">
        <v>5</v>
      </c>
      <c r="B8" s="1">
        <v>35</v>
      </c>
      <c r="D8" s="10" t="s">
        <v>17</v>
      </c>
      <c r="E8" s="4">
        <v>5</v>
      </c>
      <c r="F8" s="1">
        <v>2</v>
      </c>
      <c r="G8" s="12">
        <v>7.4999999999999997E-2</v>
      </c>
      <c r="H8" s="1">
        <v>150</v>
      </c>
      <c r="I8" s="2">
        <f>H8*G8/$B$7</f>
        <v>41.666666666666664</v>
      </c>
      <c r="J8" s="2">
        <f>I8*F8</f>
        <v>83.333333333333329</v>
      </c>
      <c r="K8" s="2">
        <f>H8-I8</f>
        <v>108.33333333333334</v>
      </c>
      <c r="L8" s="2">
        <f>H8*G8/$B$3/$B$4</f>
        <v>5.9200959013568903</v>
      </c>
      <c r="M8" s="2">
        <f>L8*F8</f>
        <v>11.840191802713781</v>
      </c>
      <c r="N8" s="1">
        <f>(I8*$B$7*$B$12)/E8-$B$13*I8*$B$7</f>
        <v>0.78749999999999998</v>
      </c>
      <c r="O8" s="2">
        <f>N8*$B$10/$B$11</f>
        <v>1.6883794898155882</v>
      </c>
      <c r="P8" s="2">
        <f>O8*F8</f>
        <v>3.3767589796311763</v>
      </c>
      <c r="Q8" s="2">
        <f>N8*18/14/(H8/1000)</f>
        <v>6.75</v>
      </c>
      <c r="R8" s="1">
        <f>O8/(H8/1000)</f>
        <v>11.255863265437254</v>
      </c>
      <c r="S8" s="1">
        <f t="shared" si="0"/>
        <v>0.18741031077984105</v>
      </c>
      <c r="T8" s="1">
        <f t="shared" si="1"/>
        <v>154.30435791784112</v>
      </c>
      <c r="U8" s="1">
        <f t="shared" si="2"/>
        <v>5.2527361905373855</v>
      </c>
    </row>
    <row r="9" spans="1:21" x14ac:dyDescent="0.25">
      <c r="A9" s="7" t="s">
        <v>18</v>
      </c>
      <c r="B9" s="8">
        <f>B12/B13</f>
        <v>40</v>
      </c>
      <c r="I9" s="4" t="s">
        <v>13</v>
      </c>
      <c r="J9" s="6">
        <f>SUM(J6:J8)</f>
        <v>250</v>
      </c>
      <c r="L9" s="4" t="s">
        <v>14</v>
      </c>
      <c r="M9" s="6">
        <f>SUM(M6:M8)</f>
        <v>35.52057540814134</v>
      </c>
      <c r="O9" s="4" t="s">
        <v>14</v>
      </c>
      <c r="P9" s="6">
        <f>SUM(P6:P8)</f>
        <v>5.1133778834414958</v>
      </c>
    </row>
    <row r="10" spans="1:21" x14ac:dyDescent="0.25">
      <c r="A10" s="7" t="s">
        <v>19</v>
      </c>
      <c r="B10" s="1">
        <v>60.06</v>
      </c>
    </row>
    <row r="11" spans="1:21" x14ac:dyDescent="0.25">
      <c r="A11" s="7" t="s">
        <v>22</v>
      </c>
      <c r="B11" s="2">
        <f>2*14.0067</f>
        <v>28.013400000000001</v>
      </c>
      <c r="O11" s="19"/>
    </row>
    <row r="12" spans="1:21" x14ac:dyDescent="0.25">
      <c r="A12" s="7" t="s">
        <v>26</v>
      </c>
      <c r="B12" s="5">
        <v>0.4</v>
      </c>
    </row>
    <row r="13" spans="1:21" x14ac:dyDescent="0.25">
      <c r="A13" s="7" t="s">
        <v>27</v>
      </c>
      <c r="B13" s="11">
        <f>1%</f>
        <v>0.01</v>
      </c>
    </row>
    <row r="14" spans="1:21" x14ac:dyDescent="0.25">
      <c r="A14" s="7" t="s">
        <v>107</v>
      </c>
      <c r="B14" s="1">
        <v>18</v>
      </c>
    </row>
    <row r="17" spans="1:16" ht="20.25" thickBot="1" x14ac:dyDescent="0.35">
      <c r="A17" s="36" t="s">
        <v>144</v>
      </c>
      <c r="B17" s="36"/>
      <c r="C17" s="36"/>
    </row>
    <row r="18" spans="1:16" ht="15.75" thickTop="1" x14ac:dyDescent="0.25"/>
    <row r="19" spans="1:16" x14ac:dyDescent="0.25">
      <c r="B19" s="3" t="s">
        <v>120</v>
      </c>
      <c r="J19" s="3" t="s">
        <v>111</v>
      </c>
    </row>
    <row r="20" spans="1:16" x14ac:dyDescent="0.25">
      <c r="B20" s="4" t="s">
        <v>113</v>
      </c>
      <c r="C20" s="4" t="s">
        <v>114</v>
      </c>
      <c r="D20" s="4" t="s">
        <v>115</v>
      </c>
      <c r="E20" s="4" t="s">
        <v>116</v>
      </c>
      <c r="F20" s="4" t="s">
        <v>117</v>
      </c>
      <c r="G20" s="4" t="s">
        <v>118</v>
      </c>
      <c r="H20" s="9" t="s">
        <v>119</v>
      </c>
      <c r="J20" s="4" t="s">
        <v>113</v>
      </c>
      <c r="K20" s="4" t="s">
        <v>114</v>
      </c>
      <c r="L20" s="4" t="s">
        <v>115</v>
      </c>
      <c r="M20" s="4" t="s">
        <v>116</v>
      </c>
      <c r="N20" s="4" t="s">
        <v>117</v>
      </c>
      <c r="O20" s="4" t="s">
        <v>118</v>
      </c>
      <c r="P20" s="9" t="s">
        <v>119</v>
      </c>
    </row>
    <row r="21" spans="1:16" x14ac:dyDescent="0.25">
      <c r="B21" s="1">
        <v>26.770399999999999</v>
      </c>
      <c r="C21" s="1">
        <v>7.9070999999999998</v>
      </c>
      <c r="D21" s="1">
        <v>28.784700000000001</v>
      </c>
      <c r="E21" s="1">
        <v>27.187899999999999</v>
      </c>
      <c r="F21" s="22">
        <f>(D21-B21)/C21</f>
        <v>0.2547457348458983</v>
      </c>
      <c r="G21" s="22">
        <f>(D21-E21)/C21</f>
        <v>0.20194508732658015</v>
      </c>
      <c r="H21" s="25">
        <f>G21/F21</f>
        <v>0.79273196643995436</v>
      </c>
      <c r="J21" s="1">
        <v>29.519400000000001</v>
      </c>
      <c r="K21" s="1">
        <v>17.0686</v>
      </c>
      <c r="L21" s="1">
        <v>30.310199999999998</v>
      </c>
      <c r="M21" s="1">
        <v>29.752400000000002</v>
      </c>
      <c r="N21" s="22">
        <f>(L21-J21)/K21</f>
        <v>4.633068910162505E-2</v>
      </c>
      <c r="O21" s="22">
        <f>(L21-M21)/K21</f>
        <v>3.2679891731014654E-2</v>
      </c>
      <c r="P21" s="25">
        <f>O21/N21</f>
        <v>0.70536165907941151</v>
      </c>
    </row>
    <row r="22" spans="1:16" x14ac:dyDescent="0.25">
      <c r="B22" s="1">
        <v>25.505600000000001</v>
      </c>
      <c r="C22" s="1">
        <v>7.5125999999999999</v>
      </c>
      <c r="D22" s="1">
        <v>27.598199999999999</v>
      </c>
      <c r="E22" s="1">
        <v>26.079799999999999</v>
      </c>
      <c r="F22" s="22">
        <f t="shared" ref="F22:F23" si="3">(D22-B22)/C22</f>
        <v>0.27854537709980531</v>
      </c>
      <c r="G22" s="22">
        <f t="shared" ref="G22:G23" si="4">(D22-E22)/C22</f>
        <v>0.20211378217927212</v>
      </c>
      <c r="H22" s="25">
        <f t="shared" ref="H22:H23" si="5">G22/F22</f>
        <v>0.72560451113447466</v>
      </c>
      <c r="J22" s="1">
        <v>28.416499999999999</v>
      </c>
      <c r="K22" s="1">
        <v>23.676500000000001</v>
      </c>
      <c r="L22" s="1">
        <v>29.5152</v>
      </c>
      <c r="M22" s="1">
        <v>28.740600000000001</v>
      </c>
      <c r="N22" s="22">
        <f t="shared" ref="N22:N23" si="6">(L22-J22)/K22</f>
        <v>4.6404662851350531E-2</v>
      </c>
      <c r="O22" s="22">
        <f t="shared" ref="O22:O23" si="7">(L22-M22)/K22</f>
        <v>3.2715984203746308E-2</v>
      </c>
      <c r="P22" s="25">
        <f t="shared" ref="P22:P23" si="8">O22/N22</f>
        <v>0.70501501774824693</v>
      </c>
    </row>
    <row r="23" spans="1:16" x14ac:dyDescent="0.25">
      <c r="B23" s="1">
        <v>23.671600000000002</v>
      </c>
      <c r="C23" s="1">
        <v>8.0954999999999995</v>
      </c>
      <c r="D23" s="1">
        <v>25.732099999999999</v>
      </c>
      <c r="E23" s="1">
        <v>24.072800000000001</v>
      </c>
      <c r="F23" s="22">
        <f t="shared" si="3"/>
        <v>0.25452411833734762</v>
      </c>
      <c r="G23" s="22">
        <f t="shared" si="4"/>
        <v>0.20496572169723901</v>
      </c>
      <c r="H23" s="25">
        <f t="shared" si="5"/>
        <v>0.80528997816064074</v>
      </c>
      <c r="J23" s="1">
        <v>29.464400000000001</v>
      </c>
      <c r="K23" s="1">
        <v>21.118099999999998</v>
      </c>
      <c r="L23" s="1">
        <v>30.444299999999998</v>
      </c>
      <c r="M23" s="1">
        <v>29.7546</v>
      </c>
      <c r="N23" s="22">
        <f t="shared" si="6"/>
        <v>4.6400954631335069E-2</v>
      </c>
      <c r="O23" s="22">
        <f t="shared" si="7"/>
        <v>3.2659188089837553E-2</v>
      </c>
      <c r="P23" s="25">
        <f t="shared" si="8"/>
        <v>0.70384733136034339</v>
      </c>
    </row>
    <row r="24" spans="1:16" x14ac:dyDescent="0.25">
      <c r="B24" s="23"/>
      <c r="C24" s="23"/>
      <c r="D24" s="23"/>
      <c r="E24" s="23" t="s">
        <v>71</v>
      </c>
      <c r="F24" s="24">
        <f>AVERAGE(F21:F23)</f>
        <v>0.26260507676101708</v>
      </c>
      <c r="G24" s="24">
        <f t="shared" ref="G24:H24" si="9">AVERAGE(G21:G23)</f>
        <v>0.2030081970676971</v>
      </c>
      <c r="H24" s="24">
        <f t="shared" si="9"/>
        <v>0.77454215191168985</v>
      </c>
      <c r="J24" s="23"/>
      <c r="K24" s="23"/>
      <c r="L24" s="23"/>
      <c r="M24" s="23" t="s">
        <v>71</v>
      </c>
      <c r="N24" s="24">
        <f>AVERAGE(N21:N23)</f>
        <v>4.6378768861436881E-2</v>
      </c>
      <c r="O24" s="24">
        <f t="shared" ref="O24" si="10">AVERAGE(O21:O23)</f>
        <v>3.2685021341532838E-2</v>
      </c>
      <c r="P24" s="24">
        <f t="shared" ref="P24" si="11">AVERAGE(P21:P23)</f>
        <v>0.70474133606266731</v>
      </c>
    </row>
    <row r="25" spans="1:16" ht="15.75" thickBot="1" x14ac:dyDescent="0.3"/>
    <row r="26" spans="1:16" x14ac:dyDescent="0.25">
      <c r="A26" s="44" t="s">
        <v>143</v>
      </c>
      <c r="B26" s="45" t="s">
        <v>85</v>
      </c>
      <c r="C26" s="45" t="s">
        <v>109</v>
      </c>
      <c r="D26" s="45" t="s">
        <v>110</v>
      </c>
      <c r="E26" s="45" t="s">
        <v>111</v>
      </c>
      <c r="F26" s="45" t="s">
        <v>124</v>
      </c>
      <c r="G26" s="45" t="s">
        <v>112</v>
      </c>
      <c r="H26" s="45" t="s">
        <v>121</v>
      </c>
      <c r="I26" s="45" t="s">
        <v>122</v>
      </c>
      <c r="J26" s="45" t="s">
        <v>125</v>
      </c>
      <c r="K26" s="45" t="s">
        <v>127</v>
      </c>
      <c r="L26" s="45" t="s">
        <v>126</v>
      </c>
      <c r="M26" s="45"/>
      <c r="N26" s="46" t="s">
        <v>128</v>
      </c>
    </row>
    <row r="27" spans="1:16" x14ac:dyDescent="0.25">
      <c r="A27" s="38" t="s">
        <v>15</v>
      </c>
      <c r="B27" s="23" t="s">
        <v>46</v>
      </c>
      <c r="C27" s="23">
        <v>41.661999999999999</v>
      </c>
      <c r="D27" s="23">
        <v>108.261</v>
      </c>
      <c r="E27" s="23">
        <v>5.9669999999999996</v>
      </c>
      <c r="F27" s="23">
        <v>0.14399999999999999</v>
      </c>
      <c r="G27" s="23">
        <v>197.42599999999999</v>
      </c>
      <c r="H27" s="23">
        <f>C27*$G$24+E27*$O$24+F27</f>
        <v>8.7967590285793236</v>
      </c>
      <c r="I27" s="24">
        <f>H27/(SUM(C27:F27))</f>
        <v>5.6377193615361539E-2</v>
      </c>
      <c r="J27" s="23">
        <f>F27/(C27*$F$24)*1000</f>
        <v>13.161920393878729</v>
      </c>
      <c r="K27" s="23">
        <f>F27*1000*14*2/60/(G27/1000)</f>
        <v>340.38069960390226</v>
      </c>
      <c r="L27" s="23">
        <f>K27*17/14</f>
        <v>413.31942094759557</v>
      </c>
      <c r="M27" s="23">
        <f>AVERAGE(L27:L28)</f>
        <v>413.97678364452952</v>
      </c>
      <c r="N27" s="39">
        <f>C27*$F$24/G27</f>
        <v>5.5416473554736938E-2</v>
      </c>
    </row>
    <row r="28" spans="1:16" x14ac:dyDescent="0.25">
      <c r="A28" s="38" t="s">
        <v>15</v>
      </c>
      <c r="B28" s="23" t="s">
        <v>49</v>
      </c>
      <c r="C28" s="23">
        <v>41.658000000000001</v>
      </c>
      <c r="D28" s="23">
        <v>108.137</v>
      </c>
      <c r="E28" s="23">
        <v>5.92</v>
      </c>
      <c r="F28" s="23">
        <v>0.14399999999999999</v>
      </c>
      <c r="G28" s="23">
        <v>196.8</v>
      </c>
      <c r="H28" s="23">
        <f t="shared" ref="H28:H40" si="12">C28*$G$24+E28*$O$24+F28</f>
        <v>8.7944107997880003</v>
      </c>
      <c r="I28" s="24">
        <f t="shared" ref="I28:I40" si="13">H28/(SUM(C28:F28))</f>
        <v>5.6425428109945525E-2</v>
      </c>
      <c r="J28" s="23">
        <f t="shared" ref="J28:J40" si="14">F28/(C28*$F$24)*1000</f>
        <v>13.163184201108443</v>
      </c>
      <c r="K28" s="23">
        <f t="shared" ref="K28:K40" si="15">F28*1000*14*2/60/(G28/1000)</f>
        <v>341.46341463414637</v>
      </c>
      <c r="L28" s="23">
        <f t="shared" ref="L28:L40" si="16">K28*17/14</f>
        <v>414.63414634146346</v>
      </c>
      <c r="M28" s="23"/>
      <c r="N28" s="39">
        <f t="shared" ref="N28:N40" si="17">C28*$F$24/G28</f>
        <v>5.5587409998528708E-2</v>
      </c>
    </row>
    <row r="29" spans="1:16" x14ac:dyDescent="0.25">
      <c r="A29" s="38" t="s">
        <v>134</v>
      </c>
      <c r="B29" s="23" t="s">
        <v>50</v>
      </c>
      <c r="C29" s="23">
        <v>41.688000000000002</v>
      </c>
      <c r="D29" s="23">
        <v>108.30200000000001</v>
      </c>
      <c r="E29" s="23">
        <v>5.93</v>
      </c>
      <c r="F29" s="23">
        <v>0</v>
      </c>
      <c r="G29" s="23">
        <v>197.232</v>
      </c>
      <c r="H29" s="23">
        <f t="shared" si="12"/>
        <v>8.6568278959134481</v>
      </c>
      <c r="I29" s="24">
        <f t="shared" si="13"/>
        <v>5.5520958798829192E-2</v>
      </c>
      <c r="J29" s="23">
        <f t="shared" si="14"/>
        <v>0</v>
      </c>
      <c r="K29" s="23">
        <f t="shared" si="15"/>
        <v>0</v>
      </c>
      <c r="L29" s="23">
        <f t="shared" si="16"/>
        <v>0</v>
      </c>
      <c r="M29" s="23"/>
      <c r="N29" s="39">
        <f t="shared" si="17"/>
        <v>5.55055996999132E-2</v>
      </c>
    </row>
    <row r="30" spans="1:16" x14ac:dyDescent="0.25">
      <c r="A30" s="38" t="s">
        <v>134</v>
      </c>
      <c r="B30" s="23" t="s">
        <v>51</v>
      </c>
      <c r="C30" s="23">
        <v>41.658999999999999</v>
      </c>
      <c r="D30" s="23">
        <v>108.316</v>
      </c>
      <c r="E30" s="23">
        <v>5.9240000000000004</v>
      </c>
      <c r="F30" s="23">
        <v>0</v>
      </c>
      <c r="G30" s="23">
        <v>197.37899999999999</v>
      </c>
      <c r="H30" s="23">
        <f t="shared" si="12"/>
        <v>8.650744548070433</v>
      </c>
      <c r="I30" s="24">
        <f t="shared" si="13"/>
        <v>5.5489416532950392E-2</v>
      </c>
      <c r="J30" s="23">
        <f t="shared" si="14"/>
        <v>0</v>
      </c>
      <c r="K30" s="23">
        <f t="shared" si="15"/>
        <v>0</v>
      </c>
      <c r="L30" s="23">
        <f t="shared" si="16"/>
        <v>0</v>
      </c>
      <c r="M30" s="23"/>
      <c r="N30" s="39">
        <f t="shared" si="17"/>
        <v>5.5425677973782471E-2</v>
      </c>
    </row>
    <row r="31" spans="1:16" x14ac:dyDescent="0.25">
      <c r="A31" s="38" t="s">
        <v>16</v>
      </c>
      <c r="B31" s="23" t="s">
        <v>52</v>
      </c>
      <c r="C31" s="23">
        <v>41.662999999999997</v>
      </c>
      <c r="D31" s="23">
        <v>108.611</v>
      </c>
      <c r="E31" s="23">
        <v>5.9560000000000004</v>
      </c>
      <c r="F31" s="23">
        <v>0.71799999999999997</v>
      </c>
      <c r="G31" s="23">
        <v>198.42400000000001</v>
      </c>
      <c r="H31" s="23">
        <f t="shared" si="12"/>
        <v>9.370602501541633</v>
      </c>
      <c r="I31" s="24">
        <f t="shared" si="13"/>
        <v>5.9705141203084039E-2</v>
      </c>
      <c r="J31" s="23">
        <f t="shared" si="14"/>
        <v>65.625222337722207</v>
      </c>
      <c r="K31" s="23">
        <f t="shared" si="15"/>
        <v>1688.6398150761331</v>
      </c>
      <c r="L31" s="23">
        <f t="shared" si="16"/>
        <v>2050.4912040210188</v>
      </c>
      <c r="M31" s="23">
        <f>AVERAGE(L31:L32)</f>
        <v>2070.0103971546673</v>
      </c>
      <c r="N31" s="39">
        <f t="shared" si="17"/>
        <v>5.5139072456427914E-2</v>
      </c>
    </row>
    <row r="32" spans="1:16" x14ac:dyDescent="0.25">
      <c r="A32" s="38" t="s">
        <v>16</v>
      </c>
      <c r="B32" s="23" t="s">
        <v>53</v>
      </c>
      <c r="C32" s="23">
        <v>41.651000000000003</v>
      </c>
      <c r="D32" s="23">
        <v>108.23099999999999</v>
      </c>
      <c r="E32" s="23">
        <v>5.9480000000000004</v>
      </c>
      <c r="F32" s="23">
        <v>0.72899999999999998</v>
      </c>
      <c r="G32" s="23">
        <v>197.7</v>
      </c>
      <c r="H32" s="23">
        <f t="shared" si="12"/>
        <v>9.3789049230060897</v>
      </c>
      <c r="I32" s="24">
        <f t="shared" si="13"/>
        <v>5.9906520372550211E-2</v>
      </c>
      <c r="J32" s="23">
        <f t="shared" si="14"/>
        <v>66.649819517286247</v>
      </c>
      <c r="K32" s="23">
        <f t="shared" si="15"/>
        <v>1720.7890743550836</v>
      </c>
      <c r="L32" s="23">
        <f t="shared" si="16"/>
        <v>2089.5295902883158</v>
      </c>
      <c r="M32" s="23"/>
      <c r="N32" s="39">
        <f t="shared" si="17"/>
        <v>5.5325058432843313E-2</v>
      </c>
    </row>
    <row r="33" spans="1:14" x14ac:dyDescent="0.25">
      <c r="A33" s="38" t="s">
        <v>135</v>
      </c>
      <c r="B33" s="23" t="s">
        <v>54</v>
      </c>
      <c r="C33" s="23">
        <v>41.673000000000002</v>
      </c>
      <c r="D33" s="23">
        <v>108.59099999999999</v>
      </c>
      <c r="E33" s="23">
        <v>5.9640000000000004</v>
      </c>
      <c r="F33" s="23">
        <v>0</v>
      </c>
      <c r="G33" s="23">
        <v>197.506</v>
      </c>
      <c r="H33" s="23">
        <f t="shared" si="12"/>
        <v>8.6548940636830434</v>
      </c>
      <c r="I33" s="24">
        <f t="shared" si="13"/>
        <v>5.5399122203977795E-2</v>
      </c>
      <c r="J33" s="23">
        <f t="shared" si="14"/>
        <v>0</v>
      </c>
      <c r="K33" s="23">
        <f t="shared" si="15"/>
        <v>0</v>
      </c>
      <c r="L33" s="23">
        <f t="shared" si="16"/>
        <v>0</v>
      </c>
      <c r="M33" s="23"/>
      <c r="N33" s="39">
        <f t="shared" si="17"/>
        <v>5.5408652718711655E-2</v>
      </c>
    </row>
    <row r="34" spans="1:14" x14ac:dyDescent="0.25">
      <c r="A34" s="38" t="s">
        <v>135</v>
      </c>
      <c r="B34" s="23" t="s">
        <v>55</v>
      </c>
      <c r="C34" s="23">
        <v>41.679000000000002</v>
      </c>
      <c r="D34" s="23">
        <v>108.22</v>
      </c>
      <c r="E34" s="23">
        <v>5.9279999999999999</v>
      </c>
      <c r="F34" s="23">
        <v>0</v>
      </c>
      <c r="G34" s="23">
        <v>197.26400000000001</v>
      </c>
      <c r="H34" s="23">
        <f t="shared" si="12"/>
        <v>8.6549354520971544</v>
      </c>
      <c r="I34" s="24">
        <f t="shared" si="13"/>
        <v>5.5541950060625914E-2</v>
      </c>
      <c r="J34" s="23">
        <f t="shared" si="14"/>
        <v>0</v>
      </c>
      <c r="K34" s="23">
        <f t="shared" si="15"/>
        <v>0</v>
      </c>
      <c r="L34" s="23">
        <f t="shared" si="16"/>
        <v>0</v>
      </c>
      <c r="M34" s="23"/>
      <c r="N34" s="39">
        <f t="shared" si="17"/>
        <v>5.5484614497944028E-2</v>
      </c>
    </row>
    <row r="35" spans="1:14" x14ac:dyDescent="0.25">
      <c r="A35" s="38" t="s">
        <v>17</v>
      </c>
      <c r="B35" s="23" t="s">
        <v>56</v>
      </c>
      <c r="C35" s="23">
        <v>41.689</v>
      </c>
      <c r="D35" s="23">
        <v>108.29300000000001</v>
      </c>
      <c r="E35" s="23">
        <v>5.9470000000000001</v>
      </c>
      <c r="F35" s="23">
        <v>1.6930000000000001</v>
      </c>
      <c r="G35" s="23">
        <v>199.04599999999999</v>
      </c>
      <c r="H35" s="23">
        <f t="shared" si="12"/>
        <v>10.35058654947332</v>
      </c>
      <c r="I35" s="24">
        <f t="shared" si="13"/>
        <v>6.5667143859824889E-2</v>
      </c>
      <c r="J35" s="23">
        <f t="shared" si="14"/>
        <v>154.64374648063142</v>
      </c>
      <c r="K35" s="23">
        <f t="shared" si="15"/>
        <v>3969.2667356624434</v>
      </c>
      <c r="L35" s="23">
        <f t="shared" si="16"/>
        <v>4819.8238933043958</v>
      </c>
      <c r="M35" s="23">
        <f>AVERAGE(L35:L36)</f>
        <v>4829.7118805562377</v>
      </c>
      <c r="N35" s="39">
        <f t="shared" si="17"/>
        <v>5.5001070330928735E-2</v>
      </c>
    </row>
    <row r="36" spans="1:14" x14ac:dyDescent="0.25">
      <c r="A36" s="38" t="s">
        <v>17</v>
      </c>
      <c r="B36" s="23" t="s">
        <v>57</v>
      </c>
      <c r="C36" s="23">
        <v>41.673999999999999</v>
      </c>
      <c r="D36" s="23">
        <v>108.33799999999999</v>
      </c>
      <c r="E36" s="23">
        <v>5.9279999999999999</v>
      </c>
      <c r="F36" s="23">
        <v>1.6970000000000001</v>
      </c>
      <c r="G36" s="23">
        <v>198.70099999999999</v>
      </c>
      <c r="H36" s="23">
        <f t="shared" si="12"/>
        <v>10.350920411111815</v>
      </c>
      <c r="I36" s="24">
        <f t="shared" si="13"/>
        <v>6.5663013195581085E-2</v>
      </c>
      <c r="J36" s="23">
        <f t="shared" si="14"/>
        <v>155.06491205585638</v>
      </c>
      <c r="K36" s="23">
        <f t="shared" si="15"/>
        <v>3985.5528323125363</v>
      </c>
      <c r="L36" s="23">
        <f t="shared" si="16"/>
        <v>4839.5998678080796</v>
      </c>
      <c r="M36" s="23"/>
      <c r="N36" s="39">
        <f t="shared" si="17"/>
        <v>5.507674329237712E-2</v>
      </c>
    </row>
    <row r="37" spans="1:14" x14ac:dyDescent="0.25">
      <c r="A37" s="38" t="s">
        <v>136</v>
      </c>
      <c r="B37" s="23" t="s">
        <v>58</v>
      </c>
      <c r="C37" s="23">
        <v>41.667999999999999</v>
      </c>
      <c r="D37" s="23">
        <v>108.473</v>
      </c>
      <c r="E37" s="23">
        <v>5.9450000000000003</v>
      </c>
      <c r="F37" s="23">
        <v>0</v>
      </c>
      <c r="G37" s="23">
        <v>198.923</v>
      </c>
      <c r="H37" s="23">
        <f t="shared" si="12"/>
        <v>8.6532580072922158</v>
      </c>
      <c r="I37" s="24">
        <f t="shared" si="13"/>
        <v>5.5439040063120441E-2</v>
      </c>
      <c r="J37" s="23">
        <f t="shared" si="14"/>
        <v>0</v>
      </c>
      <c r="K37" s="23">
        <f t="shared" si="15"/>
        <v>0</v>
      </c>
      <c r="L37" s="23">
        <f t="shared" si="16"/>
        <v>0</v>
      </c>
      <c r="M37" s="23"/>
      <c r="N37" s="39">
        <f t="shared" si="17"/>
        <v>5.500735630609864E-2</v>
      </c>
    </row>
    <row r="38" spans="1:14" x14ac:dyDescent="0.25">
      <c r="A38" s="38" t="s">
        <v>136</v>
      </c>
      <c r="B38" s="23" t="s">
        <v>59</v>
      </c>
      <c r="C38" s="23">
        <v>41.688000000000002</v>
      </c>
      <c r="D38" s="23">
        <v>108.33499999999999</v>
      </c>
      <c r="E38" s="23">
        <v>5.9649999999999999</v>
      </c>
      <c r="F38" s="23">
        <v>0</v>
      </c>
      <c r="G38" s="23">
        <v>198.815</v>
      </c>
      <c r="H38" s="23">
        <f t="shared" si="12"/>
        <v>8.6579718716604006</v>
      </c>
      <c r="I38" s="24">
        <f t="shared" si="13"/>
        <v>5.5504089235456577E-2</v>
      </c>
      <c r="J38" s="23">
        <f t="shared" si="14"/>
        <v>0</v>
      </c>
      <c r="K38" s="23">
        <f t="shared" si="15"/>
        <v>0</v>
      </c>
      <c r="L38" s="23">
        <f t="shared" si="16"/>
        <v>0</v>
      </c>
      <c r="M38" s="23"/>
      <c r="N38" s="39">
        <f t="shared" si="17"/>
        <v>5.5063654352102608E-2</v>
      </c>
    </row>
    <row r="39" spans="1:14" x14ac:dyDescent="0.25">
      <c r="A39" s="38" t="s">
        <v>67</v>
      </c>
      <c r="B39" s="23" t="s">
        <v>60</v>
      </c>
      <c r="C39" s="23">
        <v>41.658999999999999</v>
      </c>
      <c r="D39" s="23">
        <v>108.319</v>
      </c>
      <c r="E39" s="23">
        <v>5.9489999999999998</v>
      </c>
      <c r="F39" s="23">
        <v>0</v>
      </c>
      <c r="G39" s="23">
        <v>198.886</v>
      </c>
      <c r="H39" s="23">
        <f t="shared" si="12"/>
        <v>8.6515616736039718</v>
      </c>
      <c r="I39" s="24">
        <f t="shared" si="13"/>
        <v>5.5484692667748178E-2</v>
      </c>
      <c r="J39" s="23">
        <f t="shared" si="14"/>
        <v>0</v>
      </c>
      <c r="K39" s="23">
        <f t="shared" si="15"/>
        <v>0</v>
      </c>
      <c r="L39" s="23">
        <f t="shared" si="16"/>
        <v>0</v>
      </c>
      <c r="M39" s="23"/>
      <c r="N39" s="39">
        <f t="shared" si="17"/>
        <v>5.5005706247735937E-2</v>
      </c>
    </row>
    <row r="40" spans="1:14" ht="15.75" thickBot="1" x14ac:dyDescent="0.3">
      <c r="A40" s="40" t="s">
        <v>67</v>
      </c>
      <c r="B40" s="41" t="s">
        <v>61</v>
      </c>
      <c r="C40" s="41">
        <v>41.667999999999999</v>
      </c>
      <c r="D40" s="41">
        <v>108.306</v>
      </c>
      <c r="E40" s="41">
        <v>5.9480000000000004</v>
      </c>
      <c r="F40" s="41">
        <v>0</v>
      </c>
      <c r="G40" s="41">
        <v>197.68199999999999</v>
      </c>
      <c r="H40" s="41">
        <f t="shared" si="12"/>
        <v>8.6533560623562398</v>
      </c>
      <c r="I40" s="42">
        <f t="shared" si="13"/>
        <v>5.5497980159029771E-2</v>
      </c>
      <c r="J40" s="41">
        <f t="shared" si="14"/>
        <v>0</v>
      </c>
      <c r="K40" s="41">
        <f t="shared" si="15"/>
        <v>0</v>
      </c>
      <c r="L40" s="41">
        <f t="shared" si="16"/>
        <v>0</v>
      </c>
      <c r="M40" s="41"/>
      <c r="N40" s="43">
        <f t="shared" si="17"/>
        <v>5.5352679244837978E-2</v>
      </c>
    </row>
  </sheetData>
  <mergeCells count="2">
    <mergeCell ref="A1:C1"/>
    <mergeCell ref="A17:C17"/>
  </mergeCells>
  <pageMargins left="0.7" right="0.7" top="0.75" bottom="0.75" header="0.3" footer="0.3"/>
  <pageSetup paperSize="9" orientation="portrait" verticalDpi="0" r:id="rId1"/>
  <headerFooter>
    <oddHeader>&amp;R&amp;"Calibri"&amp;10&amp;K000000 PUBLIC / CYHOEDDUS&amp;1#_x000D_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T60"/>
  <sheetViews>
    <sheetView tabSelected="1" workbookViewId="0">
      <selection activeCell="I16" sqref="I16"/>
    </sheetView>
  </sheetViews>
  <sheetFormatPr defaultRowHeight="15" x14ac:dyDescent="0.25"/>
  <cols>
    <col min="1" max="1" width="10.855468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6.6840000000000002</v>
      </c>
      <c r="C5" s="13">
        <v>1306</v>
      </c>
      <c r="D5" s="13">
        <v>6438</v>
      </c>
      <c r="E5" s="13">
        <v>12838</v>
      </c>
      <c r="F5" s="14">
        <v>53</v>
      </c>
      <c r="G5" s="14">
        <v>263</v>
      </c>
      <c r="H5" s="14">
        <v>525</v>
      </c>
      <c r="I5">
        <f>LINEST(C5:E5, F5:H5)</f>
        <v>24.432011635392573</v>
      </c>
      <c r="J5">
        <f>INTERCEPT(C5:E5, F5:H5)</f>
        <v>11.559404878284113</v>
      </c>
      <c r="K5">
        <f>RSQ(C5:E5,F5:H5)</f>
        <v>0.99999998477452079</v>
      </c>
    </row>
    <row r="6" spans="1:20" ht="15.75" x14ac:dyDescent="0.25">
      <c r="A6" s="3" t="s">
        <v>33</v>
      </c>
      <c r="B6" s="13">
        <v>7.6669999999999998</v>
      </c>
      <c r="C6" s="13">
        <v>2003</v>
      </c>
      <c r="D6" s="13">
        <v>9679</v>
      </c>
      <c r="E6" s="13">
        <v>19544</v>
      </c>
      <c r="F6" s="14">
        <v>49</v>
      </c>
      <c r="G6" s="14">
        <v>247</v>
      </c>
      <c r="H6" s="14">
        <v>495</v>
      </c>
      <c r="I6">
        <f t="shared" ref="I6:I12" si="0">LINEST(C6:E6, F6:H6)</f>
        <v>39.348163030998869</v>
      </c>
      <c r="J6">
        <f>INTERCEPT(C6:E6, F6:H6)</f>
        <v>33.867680826635478</v>
      </c>
      <c r="K6">
        <f t="shared" ref="K6:K12" si="1">RSQ(C6:E6,F6:H6)</f>
        <v>0.99994685718152643</v>
      </c>
    </row>
    <row r="7" spans="1:20" ht="15.75" x14ac:dyDescent="0.25">
      <c r="A7" s="3" t="s">
        <v>34</v>
      </c>
      <c r="B7" s="13">
        <v>8.0289999999999999</v>
      </c>
      <c r="C7" s="13">
        <v>2156</v>
      </c>
      <c r="D7" s="13">
        <v>10599</v>
      </c>
      <c r="E7" s="13">
        <v>21467</v>
      </c>
      <c r="F7" s="14">
        <v>47</v>
      </c>
      <c r="G7" s="14">
        <v>235</v>
      </c>
      <c r="H7" s="14">
        <v>469</v>
      </c>
      <c r="I7">
        <f t="shared" si="0"/>
        <v>45.788108164543758</v>
      </c>
      <c r="J7">
        <f t="shared" ref="J7:J12" si="2">INTERCEPT(C7:E7, F7:H7)</f>
        <v>-54.956410524120656</v>
      </c>
      <c r="K7">
        <f t="shared" si="1"/>
        <v>0.99990930124410837</v>
      </c>
    </row>
    <row r="8" spans="1:20" ht="15.75" x14ac:dyDescent="0.25">
      <c r="A8" s="3" t="s">
        <v>35</v>
      </c>
      <c r="B8" s="13">
        <v>8.7639999999999993</v>
      </c>
      <c r="C8" s="13">
        <v>2280</v>
      </c>
      <c r="D8" s="13">
        <v>11178</v>
      </c>
      <c r="E8" s="13">
        <v>22947</v>
      </c>
      <c r="F8" s="14">
        <v>45</v>
      </c>
      <c r="G8" s="14">
        <v>227</v>
      </c>
      <c r="H8" s="14">
        <v>453</v>
      </c>
      <c r="I8">
        <f t="shared" si="0"/>
        <v>50.710776178469992</v>
      </c>
      <c r="J8">
        <f t="shared" si="2"/>
        <v>-120.10424313024669</v>
      </c>
      <c r="K8">
        <f>RSQ(C8:E8,F8:H8)</f>
        <v>0.99968142820337091</v>
      </c>
    </row>
    <row r="9" spans="1:20" ht="15.75" x14ac:dyDescent="0.25">
      <c r="A9" s="3" t="s">
        <v>36</v>
      </c>
      <c r="B9" s="13">
        <v>9.24</v>
      </c>
      <c r="C9" s="13">
        <v>2360</v>
      </c>
      <c r="D9" s="13">
        <v>11515</v>
      </c>
      <c r="E9" s="13">
        <v>23912</v>
      </c>
      <c r="F9" s="14">
        <v>46</v>
      </c>
      <c r="G9" s="14">
        <v>228</v>
      </c>
      <c r="H9" s="14">
        <v>455</v>
      </c>
      <c r="I9">
        <f t="shared" si="0"/>
        <v>52.772142704041535</v>
      </c>
      <c r="J9">
        <f t="shared" si="2"/>
        <v>-227.96401041542777</v>
      </c>
      <c r="K9">
        <f t="shared" si="1"/>
        <v>0.99946212517860145</v>
      </c>
    </row>
    <row r="10" spans="1:20" ht="15.75" x14ac:dyDescent="0.25">
      <c r="A10" s="3" t="s">
        <v>37</v>
      </c>
      <c r="B10" s="13">
        <v>10.028</v>
      </c>
      <c r="C10" s="13">
        <v>2414</v>
      </c>
      <c r="D10" s="13">
        <v>11674</v>
      </c>
      <c r="E10" s="13">
        <v>24733</v>
      </c>
      <c r="F10" s="14">
        <v>44</v>
      </c>
      <c r="G10" s="14">
        <v>221</v>
      </c>
      <c r="H10" s="14">
        <v>443</v>
      </c>
      <c r="I10">
        <f t="shared" si="0"/>
        <v>56.05760714553778</v>
      </c>
      <c r="J10">
        <f t="shared" si="2"/>
        <v>-289.2619530135853</v>
      </c>
      <c r="K10">
        <f t="shared" si="1"/>
        <v>0.99891564503121932</v>
      </c>
    </row>
    <row r="11" spans="1:20" ht="15.75" x14ac:dyDescent="0.25">
      <c r="A11" s="3" t="s">
        <v>38</v>
      </c>
      <c r="B11" s="13">
        <v>11.215999999999999</v>
      </c>
      <c r="C11" s="13">
        <v>2326</v>
      </c>
      <c r="D11" s="13">
        <v>11115</v>
      </c>
      <c r="E11" s="13">
        <v>24628</v>
      </c>
      <c r="F11" s="14">
        <v>44</v>
      </c>
      <c r="G11" s="14">
        <v>222</v>
      </c>
      <c r="H11" s="14">
        <v>444</v>
      </c>
      <c r="I11">
        <f t="shared" si="0"/>
        <v>55.962318648119265</v>
      </c>
      <c r="J11">
        <f t="shared" si="2"/>
        <v>-554.74874672155602</v>
      </c>
      <c r="K11">
        <f t="shared" si="1"/>
        <v>0.99660885809303401</v>
      </c>
    </row>
    <row r="12" spans="1:20" ht="15.75" x14ac:dyDescent="0.25">
      <c r="A12" s="3" t="s">
        <v>39</v>
      </c>
      <c r="B12" s="13">
        <v>12.347</v>
      </c>
      <c r="C12" s="13">
        <v>2354</v>
      </c>
      <c r="D12" s="13">
        <v>10662</v>
      </c>
      <c r="E12" s="13">
        <v>25003</v>
      </c>
      <c r="F12" s="14">
        <v>47</v>
      </c>
      <c r="G12" s="14">
        <v>234</v>
      </c>
      <c r="H12" s="14">
        <v>467</v>
      </c>
      <c r="I12">
        <f t="shared" si="0"/>
        <v>54.233747901437177</v>
      </c>
      <c r="J12">
        <f t="shared" si="2"/>
        <v>-849.28114342500703</v>
      </c>
      <c r="K12">
        <f t="shared" si="1"/>
        <v>0.99202118645019344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27261</v>
      </c>
      <c r="C16">
        <v>2</v>
      </c>
      <c r="D16">
        <f>IF(B16=0,0,(B16-$J$5)/$I$5)*C16</f>
        <v>2230.634218890742</v>
      </c>
      <c r="E16">
        <f>1.07*D16/1000</f>
        <v>2.3867786142130938</v>
      </c>
      <c r="F16" s="3" t="s">
        <v>32</v>
      </c>
      <c r="G16">
        <v>24151</v>
      </c>
      <c r="H16">
        <v>2</v>
      </c>
      <c r="I16">
        <f>IF(G16=0,0,(G16-$J$5)/$I$5)*H16</f>
        <v>1976.0501882008737</v>
      </c>
      <c r="J16">
        <f>1.07*I16/1000</f>
        <v>2.1143737013749351</v>
      </c>
      <c r="K16" s="3" t="s">
        <v>32</v>
      </c>
      <c r="L16">
        <v>21772</v>
      </c>
      <c r="M16">
        <v>2</v>
      </c>
      <c r="N16">
        <f>IF(L16=0,0,(L16-$J$5)/$I$5)*M16</f>
        <v>1781.3056836956659</v>
      </c>
      <c r="O16">
        <f>1.07*N16/1000</f>
        <v>1.9059970815543628</v>
      </c>
      <c r="P16" s="3" t="s">
        <v>32</v>
      </c>
      <c r="Q16">
        <v>30114</v>
      </c>
      <c r="R16">
        <v>2</v>
      </c>
      <c r="S16">
        <f>IF(Q16=0,0,(Q16-$J$5)/$I$5)*R16</f>
        <v>2464.1802766264955</v>
      </c>
      <c r="T16">
        <f>1.07*S16/1000</f>
        <v>2.6366728959903503</v>
      </c>
    </row>
    <row r="17" spans="1:20" x14ac:dyDescent="0.25">
      <c r="A17" s="3" t="s">
        <v>33</v>
      </c>
      <c r="B17">
        <v>47629</v>
      </c>
      <c r="C17">
        <v>2</v>
      </c>
      <c r="D17">
        <f>IF(B17=0,0,(B17-$J$6)/$I$6)*C17</f>
        <v>2419.1793798189487</v>
      </c>
      <c r="E17">
        <f>1.51*D17/1000</f>
        <v>3.6529608635266126</v>
      </c>
      <c r="F17" s="3" t="s">
        <v>33</v>
      </c>
      <c r="G17">
        <v>30208</v>
      </c>
      <c r="H17">
        <v>2</v>
      </c>
      <c r="I17">
        <f>IF(G17=0,0,(G17-$J$6)/$I$6)*H17</f>
        <v>1533.699669557732</v>
      </c>
      <c r="J17">
        <f>1.51*I17/1000</f>
        <v>2.3158865010321752</v>
      </c>
      <c r="K17" s="3" t="s">
        <v>33</v>
      </c>
      <c r="L17">
        <v>13581</v>
      </c>
      <c r="M17">
        <v>2</v>
      </c>
      <c r="N17">
        <f>IF(L17=0,0,(L17-$J$6)/$I$6)*M17</f>
        <v>688.57762475472111</v>
      </c>
      <c r="O17">
        <f>1.51*N17/1000</f>
        <v>1.0397522133796291</v>
      </c>
      <c r="P17" s="3" t="s">
        <v>33</v>
      </c>
      <c r="Q17">
        <v>11666</v>
      </c>
      <c r="R17">
        <v>2</v>
      </c>
      <c r="S17">
        <f>IF(Q17=0,0,(Q17-$J$6)/$I$6)*R17</f>
        <v>591.24144169116391</v>
      </c>
      <c r="T17">
        <f>1.51*S17/1000</f>
        <v>0.89277457695365747</v>
      </c>
    </row>
    <row r="18" spans="1:20" x14ac:dyDescent="0.25">
      <c r="A18" s="3" t="s">
        <v>34</v>
      </c>
      <c r="B18">
        <v>428</v>
      </c>
      <c r="C18">
        <v>2</v>
      </c>
      <c r="D18">
        <f>IF(B18=0,0,(B18-$J$7)/$I$7)*C18</f>
        <v>21.095276912886316</v>
      </c>
      <c r="E18">
        <f>1.82*D18/1000</f>
        <v>3.8393403981453099E-2</v>
      </c>
      <c r="F18" s="3" t="s">
        <v>34</v>
      </c>
      <c r="G18">
        <v>552</v>
      </c>
      <c r="H18">
        <v>2</v>
      </c>
      <c r="I18">
        <f>IF(G18=0,0,(G18-$J$7)/$I$7)*H18</f>
        <v>26.511530388762395</v>
      </c>
      <c r="J18">
        <f>1.82*I18/1000</f>
        <v>4.825098530754756E-2</v>
      </c>
      <c r="K18" s="3" t="s">
        <v>34</v>
      </c>
      <c r="L18">
        <v>443</v>
      </c>
      <c r="M18">
        <v>2</v>
      </c>
      <c r="N18">
        <f>IF(L18=0,0,(L18-$J$7)/$I$7)*M18</f>
        <v>21.750468865613261</v>
      </c>
      <c r="O18">
        <f>1.82*N18/1000</f>
        <v>3.9585853335416137E-2</v>
      </c>
      <c r="P18" s="3" t="s">
        <v>34</v>
      </c>
      <c r="Q18">
        <v>383</v>
      </c>
      <c r="R18">
        <v>2</v>
      </c>
      <c r="S18">
        <f>IF(Q18=0,0,(Q18-$J$7)/$I$7)*R18</f>
        <v>19.129701054705478</v>
      </c>
      <c r="T18">
        <f>1.82*S18/1000</f>
        <v>3.4816055919563972E-2</v>
      </c>
    </row>
    <row r="19" spans="1:20" x14ac:dyDescent="0.25">
      <c r="A19" s="3" t="s">
        <v>35</v>
      </c>
      <c r="B19">
        <v>18611</v>
      </c>
      <c r="C19">
        <v>2</v>
      </c>
      <c r="D19">
        <f>IF(B19=0,0,(B19-$J$8)/$I$8)*C19</f>
        <v>738.74255748752728</v>
      </c>
      <c r="E19">
        <f>1.82*D19/1000</f>
        <v>1.3445114546272996</v>
      </c>
      <c r="F19" s="3" t="s">
        <v>35</v>
      </c>
      <c r="G19">
        <v>51933</v>
      </c>
      <c r="H19">
        <v>2</v>
      </c>
      <c r="I19">
        <f>IF(G19=0,0,(G19-$J$8)/$I$8)*H19</f>
        <v>2052.9405450208887</v>
      </c>
      <c r="J19">
        <f>1.82*I19/1000</f>
        <v>3.7363517919380178</v>
      </c>
      <c r="K19" s="3" t="s">
        <v>35</v>
      </c>
      <c r="L19">
        <v>58593</v>
      </c>
      <c r="M19">
        <v>2</v>
      </c>
      <c r="N19">
        <f>IF(L19=0,0,(L19-$J$8)/$I$8)*M19</f>
        <v>2315.6066093919408</v>
      </c>
      <c r="O19">
        <f>1.82*N19/1000</f>
        <v>4.2144040290933322</v>
      </c>
      <c r="P19" s="3" t="s">
        <v>35</v>
      </c>
      <c r="Q19">
        <v>30174</v>
      </c>
      <c r="R19">
        <v>2</v>
      </c>
      <c r="S19">
        <f>IF(Q19=0,0,(Q19-$J$8)/$I$8)*R19</f>
        <v>1194.7797500284389</v>
      </c>
      <c r="T19">
        <f>1.82*S19/1000</f>
        <v>2.174499145051759</v>
      </c>
    </row>
    <row r="20" spans="1:20" x14ac:dyDescent="0.25">
      <c r="A20" s="3" t="s">
        <v>36</v>
      </c>
      <c r="B20">
        <v>1252</v>
      </c>
      <c r="C20">
        <v>2</v>
      </c>
      <c r="D20">
        <f>IF(B20=0,0,(B20-$J$9)/$I$9)*C20</f>
        <v>56.088835305225736</v>
      </c>
      <c r="E20">
        <f>2.04*D20/1000</f>
        <v>0.1144212240226605</v>
      </c>
      <c r="F20" s="3" t="s">
        <v>36</v>
      </c>
      <c r="G20">
        <v>1192</v>
      </c>
      <c r="H20">
        <v>2</v>
      </c>
      <c r="I20">
        <f>IF(G20=0,0,(G20-$J$9)/$I$9)*H20</f>
        <v>53.814908307927411</v>
      </c>
      <c r="J20">
        <f>2.04*I20/1000</f>
        <v>0.10978241294817193</v>
      </c>
      <c r="K20" s="3" t="s">
        <v>36</v>
      </c>
      <c r="L20">
        <v>834</v>
      </c>
      <c r="M20">
        <v>2</v>
      </c>
      <c r="N20">
        <f>IF(L20=0,0,(L20-$J$9)/$I$9)*M20</f>
        <v>40.247143890714057</v>
      </c>
      <c r="O20">
        <f>2.04*N20/1000</f>
        <v>8.2104173537056679E-2</v>
      </c>
      <c r="P20" s="3" t="s">
        <v>36</v>
      </c>
      <c r="Q20">
        <v>854</v>
      </c>
      <c r="R20">
        <v>2</v>
      </c>
      <c r="S20">
        <f>IF(Q20=0,0,(Q20-$J$9)/$I$9)*R20</f>
        <v>41.00511955648016</v>
      </c>
      <c r="T20">
        <f>2.04*S20/1000</f>
        <v>8.3650443895219528E-2</v>
      </c>
    </row>
    <row r="21" spans="1:20" x14ac:dyDescent="0.25">
      <c r="A21" s="3" t="s">
        <v>37</v>
      </c>
      <c r="B21">
        <v>1166</v>
      </c>
      <c r="C21">
        <v>2</v>
      </c>
      <c r="D21">
        <f>IF(B21=0,0,(B21-$J$10)/$I$10)*C21</f>
        <v>51.920230888036578</v>
      </c>
      <c r="E21">
        <f>2.04*D21/1000</f>
        <v>0.10591727101159462</v>
      </c>
      <c r="F21" s="3" t="s">
        <v>37</v>
      </c>
      <c r="G21">
        <v>1057</v>
      </c>
      <c r="H21">
        <v>2</v>
      </c>
      <c r="I21">
        <f>IF(G21=0,0,(G21-$J$10)/$I$10)*H21</f>
        <v>48.031374208263848</v>
      </c>
      <c r="J21">
        <f>2.04*I21/1000</f>
        <v>9.7984003384858256E-2</v>
      </c>
      <c r="K21" s="3" t="s">
        <v>37</v>
      </c>
      <c r="L21">
        <v>721</v>
      </c>
      <c r="M21">
        <v>2</v>
      </c>
      <c r="N21">
        <f>IF(L21=0,0,(L21-$J$10)/$I$10)*M21</f>
        <v>36.04370591098278</v>
      </c>
      <c r="O21">
        <f>2.04*N21/1000</f>
        <v>7.3529160058404874E-2</v>
      </c>
      <c r="P21" s="3" t="s">
        <v>37</v>
      </c>
      <c r="Q21">
        <v>13453</v>
      </c>
      <c r="R21">
        <v>2</v>
      </c>
      <c r="S21">
        <f>IF(Q21=0,0,(Q21-$J$10)/$I$10)*R21</f>
        <v>490.29070817581186</v>
      </c>
      <c r="T21">
        <f>2.04*S21/1000</f>
        <v>1.0001930446786562</v>
      </c>
    </row>
    <row r="22" spans="1:20" x14ac:dyDescent="0.25">
      <c r="A22" s="3" t="s">
        <v>38</v>
      </c>
      <c r="B22">
        <v>584</v>
      </c>
      <c r="C22">
        <v>2</v>
      </c>
      <c r="D22">
        <f>IF(B22=0,0,(B22-$J$11)/$I$11)*1</f>
        <v>20.348491167454981</v>
      </c>
      <c r="E22">
        <f>2.21*D22/1000</f>
        <v>4.4970165480075507E-2</v>
      </c>
      <c r="F22" s="3" t="s">
        <v>38</v>
      </c>
      <c r="G22">
        <v>1180</v>
      </c>
      <c r="H22">
        <v>2</v>
      </c>
      <c r="I22">
        <f>IF(G22=0,0,(G22-$J$11)/$I$11)*1</f>
        <v>30.9985145116902</v>
      </c>
      <c r="J22">
        <f>2.21*I22/1000</f>
        <v>6.8506717070835332E-2</v>
      </c>
      <c r="K22" s="3" t="s">
        <v>38</v>
      </c>
      <c r="L22">
        <v>1333</v>
      </c>
      <c r="M22">
        <v>2</v>
      </c>
      <c r="N22">
        <f>IF(L22=0,0,(L22-$J$11)/$I$11)*1</f>
        <v>33.732497014488835</v>
      </c>
      <c r="O22">
        <f>2.21*N22/1000</f>
        <v>7.4548818402020336E-2</v>
      </c>
      <c r="P22" s="3" t="s">
        <v>38</v>
      </c>
      <c r="Q22">
        <v>3488</v>
      </c>
      <c r="R22">
        <v>2</v>
      </c>
      <c r="S22">
        <f>IF(Q22=0,0,(Q22-$J$11)/$I$11)*1</f>
        <v>72.240551220574233</v>
      </c>
      <c r="T22">
        <f>2.21*S22/1000</f>
        <v>0.15965161819746904</v>
      </c>
    </row>
    <row r="23" spans="1:20" x14ac:dyDescent="0.25">
      <c r="A23" s="3" t="s">
        <v>39</v>
      </c>
      <c r="B23">
        <v>0</v>
      </c>
      <c r="C23">
        <v>2</v>
      </c>
      <c r="D23">
        <f>IF(B23=0,0,(B23-$J$12)/$I$12)*1</f>
        <v>0</v>
      </c>
      <c r="E23">
        <f>2.34*D23/1000</f>
        <v>0</v>
      </c>
      <c r="F23" s="3" t="s">
        <v>39</v>
      </c>
      <c r="G23">
        <v>0</v>
      </c>
      <c r="H23">
        <v>2</v>
      </c>
      <c r="I23">
        <f>IF(G23=0,0,(G23-$J$12)/$I$12)*1</f>
        <v>0</v>
      </c>
      <c r="J23">
        <f>2.34*I23/1000</f>
        <v>0</v>
      </c>
      <c r="K23" s="3" t="s">
        <v>39</v>
      </c>
      <c r="L23">
        <v>0</v>
      </c>
      <c r="M23">
        <v>2</v>
      </c>
      <c r="N23">
        <f>IF(L23=0,0,(L23-$J$12)/$I$12)*1</f>
        <v>0</v>
      </c>
      <c r="O23">
        <f>2.34*N23/1000</f>
        <v>0</v>
      </c>
      <c r="P23" s="3" t="s">
        <v>39</v>
      </c>
      <c r="Q23">
        <v>0</v>
      </c>
      <c r="R23">
        <v>2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62</v>
      </c>
      <c r="C24" s="3"/>
      <c r="D24" s="3">
        <f>SUM(D16:D23)</f>
        <v>5538.0089904708211</v>
      </c>
      <c r="E24" s="3">
        <f>SUM(E16:E23)</f>
        <v>7.687952996862788</v>
      </c>
      <c r="G24" s="3" t="s">
        <v>62</v>
      </c>
      <c r="H24" s="3"/>
      <c r="I24" s="3">
        <f>SUM(I16:I23)</f>
        <v>5722.0467301961371</v>
      </c>
      <c r="J24" s="3">
        <f>SUM(J16:J23)</f>
        <v>8.4911361130565428</v>
      </c>
      <c r="L24" s="3" t="s">
        <v>62</v>
      </c>
      <c r="M24" s="3"/>
      <c r="N24" s="3">
        <f>SUM(N16:N23)</f>
        <v>4917.263733524127</v>
      </c>
      <c r="O24" s="3">
        <f>SUM(O16:O23)</f>
        <v>7.429921329360222</v>
      </c>
      <c r="Q24" s="3" t="s">
        <v>62</v>
      </c>
      <c r="R24" s="3"/>
      <c r="S24" s="3">
        <f>SUM(S16:S23)</f>
        <v>4872.8675483536699</v>
      </c>
      <c r="T24" s="3">
        <f>SUM(T16:T23)</f>
        <v>6.9822577806866759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41540</v>
      </c>
      <c r="C28">
        <v>2</v>
      </c>
      <c r="D28">
        <f>IF(B28=0,0,(B28-$J$5)/$I$5)*C28</f>
        <v>3399.5105450066999</v>
      </c>
      <c r="E28">
        <f>1.07*D28/1000</f>
        <v>3.6374762831571692</v>
      </c>
      <c r="F28" s="3" t="s">
        <v>32</v>
      </c>
      <c r="G28">
        <v>47182</v>
      </c>
      <c r="H28">
        <v>2</v>
      </c>
      <c r="I28">
        <f>IF(G28=0,0,(G28-$J$5)/$I$5)*H28</f>
        <v>3861.3636321939143</v>
      </c>
      <c r="J28">
        <f>1.07*I28/1000</f>
        <v>4.1316590864474882</v>
      </c>
      <c r="K28" s="3" t="s">
        <v>32</v>
      </c>
      <c r="L28">
        <v>47383</v>
      </c>
      <c r="M28">
        <v>2</v>
      </c>
      <c r="N28">
        <f>IF(L28=0,0,(L28-$J$5)/$I$5)*M28</f>
        <v>3877.8174553992721</v>
      </c>
      <c r="O28">
        <f>1.07*N28/1000</f>
        <v>4.1492646772772215</v>
      </c>
      <c r="P28" s="3" t="s">
        <v>32</v>
      </c>
      <c r="Q28">
        <v>43255</v>
      </c>
      <c r="R28">
        <v>2</v>
      </c>
      <c r="S28">
        <f>IF(Q28=0,0,(Q28-$J$5)/$I$5)*R28</f>
        <v>3539.9001310623667</v>
      </c>
      <c r="T28">
        <f>1.07*S28/1000</f>
        <v>3.7876931402367329</v>
      </c>
    </row>
    <row r="29" spans="1:20" x14ac:dyDescent="0.25">
      <c r="A29" s="3" t="s">
        <v>33</v>
      </c>
      <c r="B29">
        <v>52312</v>
      </c>
      <c r="C29">
        <v>2</v>
      </c>
      <c r="D29">
        <f>IF(B29=0,0,(B29-$J$6)/$I$6)*C29</f>
        <v>2657.2082807519196</v>
      </c>
      <c r="E29">
        <f>1.51*D29/1000</f>
        <v>4.0123845039353991</v>
      </c>
      <c r="F29" s="3" t="s">
        <v>33</v>
      </c>
      <c r="G29">
        <v>60242</v>
      </c>
      <c r="H29">
        <v>2</v>
      </c>
      <c r="I29">
        <f>IF(G29=0,0,(G29-$J$6)/$I$6)*H29</f>
        <v>3060.2766523936994</v>
      </c>
      <c r="J29">
        <f>1.51*I29/1000</f>
        <v>4.6210177451144867</v>
      </c>
      <c r="K29" s="3" t="s">
        <v>33</v>
      </c>
      <c r="L29">
        <v>41896</v>
      </c>
      <c r="M29">
        <v>2</v>
      </c>
      <c r="N29">
        <f>IF(L29=0,0,(L29-$J$6)/$I$6)*M29</f>
        <v>2127.780770156613</v>
      </c>
      <c r="O29">
        <f>1.51*N29/1000</f>
        <v>3.2129489629364856</v>
      </c>
      <c r="P29" s="3" t="s">
        <v>33</v>
      </c>
      <c r="Q29">
        <v>38868</v>
      </c>
      <c r="R29">
        <v>2</v>
      </c>
      <c r="S29">
        <f>IF(Q29=0,0,(Q29-$J$6)/$I$6)*R29</f>
        <v>1973.8726958399282</v>
      </c>
      <c r="T29">
        <f>1.51*S29/1000</f>
        <v>2.9805477707182919</v>
      </c>
    </row>
    <row r="30" spans="1:20" x14ac:dyDescent="0.25">
      <c r="A30" s="3" t="s">
        <v>34</v>
      </c>
      <c r="B30">
        <v>2022</v>
      </c>
      <c r="C30">
        <v>2</v>
      </c>
      <c r="D30">
        <f>IF(B30=0,0,(B30-$J$7)/$I$7)*C30</f>
        <v>90.720341756003009</v>
      </c>
      <c r="E30">
        <f>1.82*D30/1000</f>
        <v>0.16511102199592548</v>
      </c>
      <c r="F30" s="3" t="s">
        <v>34</v>
      </c>
      <c r="G30">
        <v>2451</v>
      </c>
      <c r="H30">
        <v>2</v>
      </c>
      <c r="I30">
        <f>IF(G30=0,0,(G30-$J$7)/$I$7)*H30</f>
        <v>109.45883160399363</v>
      </c>
      <c r="J30">
        <f>1.82*I30/1000</f>
        <v>0.1992150735192684</v>
      </c>
      <c r="K30" s="3" t="s">
        <v>34</v>
      </c>
      <c r="L30">
        <v>2366</v>
      </c>
      <c r="M30">
        <v>2</v>
      </c>
      <c r="N30">
        <f>IF(L30=0,0,(L30-$J$7)/$I$7)*M30</f>
        <v>105.74607720520761</v>
      </c>
      <c r="O30">
        <f>1.82*N30/1000</f>
        <v>0.19245786051347788</v>
      </c>
      <c r="P30" s="3" t="s">
        <v>34</v>
      </c>
      <c r="Q30">
        <v>1929</v>
      </c>
      <c r="R30">
        <v>2</v>
      </c>
      <c r="S30">
        <f>IF(Q30=0,0,(Q30-$J$7)/$I$7)*R30</f>
        <v>86.658151649095956</v>
      </c>
      <c r="T30">
        <f>1.82*S30/1000</f>
        <v>0.15771783600135464</v>
      </c>
    </row>
    <row r="31" spans="1:20" x14ac:dyDescent="0.25">
      <c r="A31" s="3" t="s">
        <v>35</v>
      </c>
      <c r="B31">
        <v>26917</v>
      </c>
      <c r="C31">
        <v>2</v>
      </c>
      <c r="D31">
        <f>IF(B31=0,0,(B31-$J$8)/$I$8)*C31</f>
        <v>1066.3257903202534</v>
      </c>
      <c r="E31">
        <f>1.82*D31/1000</f>
        <v>1.9407129383828612</v>
      </c>
      <c r="F31" s="3" t="s">
        <v>35</v>
      </c>
      <c r="G31">
        <v>24108</v>
      </c>
      <c r="H31">
        <v>2</v>
      </c>
      <c r="I31">
        <f>IF(G31=0,0,(G31-$J$8)/$I$8)*H31</f>
        <v>955.54065896615668</v>
      </c>
      <c r="J31">
        <f>1.82*I31/1000</f>
        <v>1.7390839993184051</v>
      </c>
      <c r="K31" s="3" t="s">
        <v>35</v>
      </c>
      <c r="L31">
        <v>12434</v>
      </c>
      <c r="M31">
        <v>2</v>
      </c>
      <c r="N31">
        <f>IF(L31=0,0,(L31-$J$8)/$I$8)*M31</f>
        <v>495.12569868572734</v>
      </c>
      <c r="O31">
        <f>1.82*N31/1000</f>
        <v>0.90112877160802385</v>
      </c>
      <c r="P31" s="3" t="s">
        <v>35</v>
      </c>
      <c r="Q31">
        <v>11221</v>
      </c>
      <c r="R31">
        <v>2</v>
      </c>
      <c r="S31">
        <f>IF(Q31=0,0,(Q31-$J$8)/$I$8)*R31</f>
        <v>447.28576834307182</v>
      </c>
      <c r="T31">
        <f>1.82*S31/1000</f>
        <v>0.81406009838439075</v>
      </c>
    </row>
    <row r="32" spans="1:20" x14ac:dyDescent="0.25">
      <c r="A32" s="3" t="s">
        <v>36</v>
      </c>
      <c r="B32">
        <v>4171</v>
      </c>
      <c r="C32">
        <v>2</v>
      </c>
      <c r="D32">
        <f>IF(B32=0,0,(B32-$J$9)/$I$9)*C32</f>
        <v>166.71538372378936</v>
      </c>
      <c r="E32">
        <f>2.04*D32/1000</f>
        <v>0.34009938279653029</v>
      </c>
      <c r="F32" s="3" t="s">
        <v>36</v>
      </c>
      <c r="G32">
        <v>5023</v>
      </c>
      <c r="H32">
        <v>2</v>
      </c>
      <c r="I32">
        <f>IF(G32=0,0,(G32-$J$9)/$I$9)*H32</f>
        <v>199.00514708542562</v>
      </c>
      <c r="J32">
        <f>2.04*I32/1000</f>
        <v>0.40597050005426827</v>
      </c>
      <c r="K32" s="3" t="s">
        <v>36</v>
      </c>
      <c r="L32">
        <v>5418</v>
      </c>
      <c r="M32">
        <v>2</v>
      </c>
      <c r="N32">
        <f>IF(L32=0,0,(L32-$J$9)/$I$9)*M32</f>
        <v>213.97516648430627</v>
      </c>
      <c r="O32">
        <f>2.04*N32/1000</f>
        <v>0.43650933962798477</v>
      </c>
      <c r="P32" s="3" t="s">
        <v>36</v>
      </c>
      <c r="Q32">
        <v>4205</v>
      </c>
      <c r="R32">
        <v>2</v>
      </c>
      <c r="S32">
        <f>IF(Q32=0,0,(Q32-$J$9)/$I$9)*R32</f>
        <v>168.00394235559173</v>
      </c>
      <c r="T32">
        <f>2.04*S32/1000</f>
        <v>0.34272804240540716</v>
      </c>
    </row>
    <row r="33" spans="1:20" x14ac:dyDescent="0.25">
      <c r="A33" s="3" t="s">
        <v>37</v>
      </c>
      <c r="B33">
        <v>1109</v>
      </c>
      <c r="C33">
        <v>2</v>
      </c>
      <c r="D33">
        <f>IF(B33=0,0,(B33-$J$10)/$I$10)*C33</f>
        <v>49.886608587604968</v>
      </c>
      <c r="E33">
        <f>2.04*D33/1000</f>
        <v>0.10176868151871413</v>
      </c>
      <c r="F33" s="3" t="s">
        <v>37</v>
      </c>
      <c r="G33">
        <v>823</v>
      </c>
      <c r="H33">
        <v>2</v>
      </c>
      <c r="I33">
        <f>IF(G33=0,0,(G33-$J$10)/$I$10)*H33</f>
        <v>39.682819501228821</v>
      </c>
      <c r="J33">
        <f>2.04*I33/1000</f>
        <v>8.0952951782506805E-2</v>
      </c>
      <c r="K33" s="3" t="s">
        <v>37</v>
      </c>
      <c r="L33">
        <v>12969</v>
      </c>
      <c r="M33">
        <v>2</v>
      </c>
      <c r="N33">
        <f>IF(L33=0,0,(L33-$J$10)/$I$10)*M33</f>
        <v>473.02275741425223</v>
      </c>
      <c r="O33">
        <f>2.04*N33/1000</f>
        <v>0.96496642512507458</v>
      </c>
      <c r="P33" s="3" t="s">
        <v>37</v>
      </c>
      <c r="Q33">
        <v>11028</v>
      </c>
      <c r="R33">
        <v>2</v>
      </c>
      <c r="S33">
        <f>IF(Q33=0,0,(Q33-$J$10)/$I$10)*R33</f>
        <v>403.77256644692324</v>
      </c>
      <c r="T33">
        <f>2.04*S33/1000</f>
        <v>0.82369603555172344</v>
      </c>
    </row>
    <row r="34" spans="1:20" x14ac:dyDescent="0.25">
      <c r="A34" s="3" t="s">
        <v>38</v>
      </c>
      <c r="B34">
        <v>412</v>
      </c>
      <c r="C34">
        <v>2</v>
      </c>
      <c r="D34">
        <f>IF(B34=0,0,(B34-$J$11)/$I$11)*1</f>
        <v>17.274994497642133</v>
      </c>
      <c r="E34">
        <f>2.21*D34/1000</f>
        <v>3.8177737839789117E-2</v>
      </c>
      <c r="F34" s="3" t="s">
        <v>38</v>
      </c>
      <c r="G34">
        <v>377</v>
      </c>
      <c r="H34">
        <v>2</v>
      </c>
      <c r="I34">
        <f>IF(G34=0,0,(G34-$J$11)/$I$11)*1</f>
        <v>16.649573663668587</v>
      </c>
      <c r="J34">
        <f>2.21*I34/1000</f>
        <v>3.6795557796707574E-2</v>
      </c>
      <c r="K34" s="3" t="s">
        <v>38</v>
      </c>
      <c r="L34">
        <v>1987</v>
      </c>
      <c r="M34">
        <v>2</v>
      </c>
      <c r="N34">
        <f>IF(L34=0,0,(L34-$J$11)/$I$11)*1</f>
        <v>45.418932026451643</v>
      </c>
      <c r="O34">
        <f>2.21*N34/1000</f>
        <v>0.10037583977845813</v>
      </c>
      <c r="P34" s="3" t="s">
        <v>38</v>
      </c>
      <c r="Q34">
        <v>2041</v>
      </c>
      <c r="R34">
        <v>2</v>
      </c>
      <c r="S34">
        <f>IF(Q34=0,0,(Q34-$J$11)/$I$11)*1</f>
        <v>46.383867027439393</v>
      </c>
      <c r="T34">
        <f>2.21*S34/1000</f>
        <v>0.10250834613064105</v>
      </c>
    </row>
    <row r="35" spans="1:20" x14ac:dyDescent="0.25">
      <c r="A35" s="3" t="s">
        <v>39</v>
      </c>
      <c r="B35">
        <v>0</v>
      </c>
      <c r="C35">
        <v>2</v>
      </c>
      <c r="D35">
        <f>IF(B35=0,0,(B35-$J$12)/$I$12)*1</f>
        <v>0</v>
      </c>
      <c r="E35">
        <f>2.34*D35/1000</f>
        <v>0</v>
      </c>
      <c r="F35" s="3" t="s">
        <v>39</v>
      </c>
      <c r="G35">
        <v>0</v>
      </c>
      <c r="H35">
        <v>2</v>
      </c>
      <c r="I35">
        <f>IF(G35=0,0,(G35-$J$12)/$I$12)*1</f>
        <v>0</v>
      </c>
      <c r="J35">
        <f>2.34*I35/1000</f>
        <v>0</v>
      </c>
      <c r="K35" s="3" t="s">
        <v>39</v>
      </c>
      <c r="L35">
        <v>1035</v>
      </c>
      <c r="M35">
        <v>2</v>
      </c>
      <c r="N35">
        <f>IF(L35=0,0,(L35-$J$12)/$I$12)*1</f>
        <v>34.74370140985728</v>
      </c>
      <c r="O35">
        <f>2.34*N35/1000</f>
        <v>8.1300261299066034E-2</v>
      </c>
      <c r="P35" s="3" t="s">
        <v>39</v>
      </c>
      <c r="Q35">
        <v>855</v>
      </c>
      <c r="R35">
        <v>2</v>
      </c>
      <c r="S35">
        <f>IF(Q35=0,0,(Q35-$J$12)/$I$12)*1</f>
        <v>31.424734770724633</v>
      </c>
      <c r="T35">
        <f>2.34*S35/1000</f>
        <v>7.3533879363495647E-2</v>
      </c>
    </row>
    <row r="36" spans="1:20" x14ac:dyDescent="0.25">
      <c r="B36" s="3" t="s">
        <v>62</v>
      </c>
      <c r="C36" s="3"/>
      <c r="D36" s="3">
        <f>SUM(D28:D35)</f>
        <v>7447.6419446439122</v>
      </c>
      <c r="E36" s="3">
        <f>SUM(E28:E35)</f>
        <v>10.235730549626387</v>
      </c>
      <c r="G36" s="3" t="s">
        <v>62</v>
      </c>
      <c r="H36" s="3"/>
      <c r="I36" s="3">
        <f>SUM(I28:I35)</f>
        <v>8241.9773154080867</v>
      </c>
      <c r="J36" s="3">
        <f>SUM(J28:J35)</f>
        <v>11.21469491403313</v>
      </c>
      <c r="L36" s="3" t="s">
        <v>62</v>
      </c>
      <c r="M36" s="3"/>
      <c r="N36" s="3">
        <f>SUM(N28:N35)</f>
        <v>7373.6305587816851</v>
      </c>
      <c r="O36" s="3">
        <f>SUM(O28:O35)</f>
        <v>10.038952138165794</v>
      </c>
      <c r="Q36" s="3" t="s">
        <v>62</v>
      </c>
      <c r="R36" s="3"/>
      <c r="S36" s="3">
        <f>SUM(S28:S35)</f>
        <v>6697.301857495142</v>
      </c>
      <c r="T36" s="3">
        <f>SUM(T28:T35)</f>
        <v>9.0824851487920366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3" t="s">
        <v>58</v>
      </c>
      <c r="M38" s="3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3" t="s">
        <v>47</v>
      </c>
      <c r="M39" s="3" t="s">
        <v>68</v>
      </c>
      <c r="N39" s="3" t="s">
        <v>48</v>
      </c>
      <c r="O39" s="3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65308</v>
      </c>
      <c r="C40">
        <v>2</v>
      </c>
      <c r="D40">
        <f>IF(B40=0,0,(B40-$J$5)/$I$5)*C40</f>
        <v>5345.1546740860531</v>
      </c>
      <c r="E40">
        <f>1.07*D40/1000</f>
        <v>5.7193155012720771</v>
      </c>
      <c r="F40" s="3" t="s">
        <v>32</v>
      </c>
      <c r="G40">
        <v>67036</v>
      </c>
      <c r="H40">
        <v>2</v>
      </c>
      <c r="I40">
        <f>IF(G40=0,0,(G40-$J$5)/$I$5)*H40</f>
        <v>5486.6084377619663</v>
      </c>
      <c r="J40">
        <f>1.07*I40/1000</f>
        <v>5.8706710284053045</v>
      </c>
      <c r="K40" s="3" t="s">
        <v>32</v>
      </c>
      <c r="L40">
        <v>45638</v>
      </c>
      <c r="M40">
        <v>2</v>
      </c>
      <c r="N40">
        <f>IF(L40=0,0,(L40-$J$5)/$I$5)*M40</f>
        <v>3734.9720748353429</v>
      </c>
      <c r="O40">
        <f>1.07*N40/1000</f>
        <v>3.9964201200738172</v>
      </c>
      <c r="P40" s="3" t="s">
        <v>32</v>
      </c>
      <c r="Q40">
        <v>51133</v>
      </c>
      <c r="R40">
        <v>2</v>
      </c>
      <c r="S40">
        <f>IF(Q40=0,0,(Q40-$J$5)/$I$5)*R40</f>
        <v>4184.7917689320711</v>
      </c>
      <c r="T40">
        <f>1.07*S40/1000</f>
        <v>4.4777271927573166</v>
      </c>
    </row>
    <row r="41" spans="1:20" x14ac:dyDescent="0.25">
      <c r="A41" s="3" t="s">
        <v>33</v>
      </c>
      <c r="B41">
        <v>47152</v>
      </c>
      <c r="C41">
        <v>2</v>
      </c>
      <c r="D41">
        <f>IF(B41=0,0,(B41-$J$6)/$I$6)*C41</f>
        <v>2394.9342835676084</v>
      </c>
      <c r="E41">
        <f>1.51*D41/1000</f>
        <v>3.6163507681870888</v>
      </c>
      <c r="F41" s="3" t="s">
        <v>33</v>
      </c>
      <c r="G41">
        <v>53056</v>
      </c>
      <c r="H41">
        <v>2</v>
      </c>
      <c r="I41">
        <f>IF(G41=0,0,(G41-$J$6)/$I$6)*H41</f>
        <v>2695.0245315087268</v>
      </c>
      <c r="J41">
        <f>1.51*I41/1000</f>
        <v>4.0694870425781771</v>
      </c>
      <c r="K41" s="3" t="s">
        <v>33</v>
      </c>
      <c r="L41">
        <v>48321</v>
      </c>
      <c r="M41">
        <v>2</v>
      </c>
      <c r="N41">
        <f>IF(L41=0,0,(L41-$J$6)/$I$6)*M41</f>
        <v>2454.352559286302</v>
      </c>
      <c r="O41">
        <f>1.51*N41/1000</f>
        <v>3.7060723645223161</v>
      </c>
      <c r="P41" s="3" t="s">
        <v>33</v>
      </c>
      <c r="Q41">
        <v>54339</v>
      </c>
      <c r="R41">
        <v>2</v>
      </c>
      <c r="S41">
        <f>IF(Q41=0,0,(Q41-$J$6)/$I$6)*R41</f>
        <v>2760.2372327466087</v>
      </c>
      <c r="T41">
        <f>1.51*S41/1000</f>
        <v>4.1679582214473792</v>
      </c>
    </row>
    <row r="42" spans="1:20" x14ac:dyDescent="0.25">
      <c r="A42" s="3" t="s">
        <v>34</v>
      </c>
      <c r="B42">
        <v>3225</v>
      </c>
      <c r="C42">
        <v>2</v>
      </c>
      <c r="D42">
        <f>IF(B42=0,0,(B42-$J$7)/$I$7)*C42</f>
        <v>143.266736364704</v>
      </c>
      <c r="E42">
        <f>1.82*D42/1000</f>
        <v>0.26074546018376127</v>
      </c>
      <c r="F42" s="3" t="s">
        <v>34</v>
      </c>
      <c r="G42">
        <v>3212</v>
      </c>
      <c r="H42">
        <v>2</v>
      </c>
      <c r="I42">
        <f>IF(G42=0,0,(G42-$J$7)/$I$7)*H42</f>
        <v>142.6989033390073</v>
      </c>
      <c r="J42">
        <f>1.82*I42/1000</f>
        <v>0.2597120040769933</v>
      </c>
      <c r="K42" s="3" t="s">
        <v>34</v>
      </c>
      <c r="L42">
        <v>1818</v>
      </c>
      <c r="M42">
        <v>2</v>
      </c>
      <c r="N42">
        <f>IF(L42=0,0,(L42-$J$7)/$I$7)*M42</f>
        <v>81.809731198916552</v>
      </c>
      <c r="O42">
        <f>1.82*N42/1000</f>
        <v>0.14889371078202815</v>
      </c>
      <c r="P42" s="3" t="s">
        <v>34</v>
      </c>
      <c r="Q42">
        <v>1995</v>
      </c>
      <c r="R42">
        <v>2</v>
      </c>
      <c r="S42">
        <f>IF(Q42=0,0,(Q42-$J$7)/$I$7)*R42</f>
        <v>89.540996241094504</v>
      </c>
      <c r="T42">
        <f>1.82*S42/1000</f>
        <v>0.16296461315879199</v>
      </c>
    </row>
    <row r="43" spans="1:20" x14ac:dyDescent="0.25">
      <c r="A43" s="3" t="s">
        <v>35</v>
      </c>
      <c r="B43">
        <v>17583</v>
      </c>
      <c r="C43">
        <v>2</v>
      </c>
      <c r="D43">
        <f>IF(B43=0,0,(B43-$J$8)/$I$8)*C43</f>
        <v>698.19890671073426</v>
      </c>
      <c r="E43">
        <f>1.82*D43/1000</f>
        <v>1.2707220102135364</v>
      </c>
      <c r="F43" s="3" t="s">
        <v>35</v>
      </c>
      <c r="G43">
        <v>17820</v>
      </c>
      <c r="H43">
        <v>2</v>
      </c>
      <c r="I43">
        <f>IF(G43=0,0,(G43-$J$8)/$I$8)*H43</f>
        <v>707.54603242483927</v>
      </c>
      <c r="J43">
        <f>1.82*I43/1000</f>
        <v>1.2877337790132075</v>
      </c>
      <c r="K43" s="3" t="s">
        <v>35</v>
      </c>
      <c r="L43">
        <v>27639</v>
      </c>
      <c r="M43">
        <v>2</v>
      </c>
      <c r="N43">
        <f>IF(L43=0,0,(L43-$J$8)/$I$8)*M43</f>
        <v>1094.8010003016198</v>
      </c>
      <c r="O43">
        <f>1.82*N43/1000</f>
        <v>1.9925378205489481</v>
      </c>
      <c r="P43" s="3" t="s">
        <v>35</v>
      </c>
      <c r="Q43">
        <v>16633</v>
      </c>
      <c r="R43">
        <v>2</v>
      </c>
      <c r="S43">
        <f>IF(Q43=0,0,(Q43-$J$8)/$I$8)*R43</f>
        <v>660.731525156305</v>
      </c>
      <c r="T43">
        <f>1.82*S43/1000</f>
        <v>1.2025313757844751</v>
      </c>
    </row>
    <row r="44" spans="1:20" x14ac:dyDescent="0.25">
      <c r="A44" s="3" t="s">
        <v>36</v>
      </c>
      <c r="B44">
        <v>7698</v>
      </c>
      <c r="C44">
        <v>2</v>
      </c>
      <c r="D44">
        <f>IF(B44=0,0,(B44-$J$9)/$I$9)*C44</f>
        <v>300.38439238164273</v>
      </c>
      <c r="E44">
        <f>2.04*D44/1000</f>
        <v>0.61278416045855111</v>
      </c>
      <c r="F44" s="3" t="s">
        <v>36</v>
      </c>
      <c r="G44">
        <v>7560</v>
      </c>
      <c r="H44">
        <v>2</v>
      </c>
      <c r="I44">
        <f>IF(G44=0,0,(G44-$J$9)/$I$9)*H44</f>
        <v>295.15436028785655</v>
      </c>
      <c r="J44">
        <f>2.04*I44/1000</f>
        <v>0.60211489498722737</v>
      </c>
      <c r="K44" s="3" t="s">
        <v>36</v>
      </c>
      <c r="L44">
        <v>3838</v>
      </c>
      <c r="M44">
        <v>2</v>
      </c>
      <c r="N44">
        <f>IF(L44=0,0,(L44-$J$9)/$I$9)*M44</f>
        <v>154.09508888878364</v>
      </c>
      <c r="O44">
        <f>2.04*N44/1000</f>
        <v>0.31435398133311859</v>
      </c>
      <c r="P44" s="3" t="s">
        <v>36</v>
      </c>
      <c r="Q44">
        <v>4221</v>
      </c>
      <c r="R44">
        <v>2</v>
      </c>
      <c r="S44">
        <f>IF(Q44=0,0,(Q44-$J$9)/$I$9)*R44</f>
        <v>168.61032288820462</v>
      </c>
      <c r="T44">
        <f>2.04*S44/1000</f>
        <v>0.34396505869193744</v>
      </c>
    </row>
    <row r="45" spans="1:20" x14ac:dyDescent="0.25">
      <c r="A45" s="3" t="s">
        <v>37</v>
      </c>
      <c r="B45">
        <v>497</v>
      </c>
      <c r="C45">
        <v>2</v>
      </c>
      <c r="D45">
        <f>IF(B45=0,0,(B45-$J$10)/$I$10)*C45</f>
        <v>28.051927046128732</v>
      </c>
      <c r="E45">
        <f>2.04*D45/1000</f>
        <v>5.7225931174102615E-2</v>
      </c>
      <c r="F45" s="3" t="s">
        <v>37</v>
      </c>
      <c r="G45">
        <v>606</v>
      </c>
      <c r="H45">
        <v>2</v>
      </c>
      <c r="I45">
        <f>IF(G45=0,0,(G45-$J$10)/$I$10)*H45</f>
        <v>31.940783725901461</v>
      </c>
      <c r="J45">
        <f>2.04*I45/1000</f>
        <v>6.515919880083898E-2</v>
      </c>
      <c r="K45" s="3" t="s">
        <v>37</v>
      </c>
      <c r="L45">
        <v>4786</v>
      </c>
      <c r="M45">
        <v>2</v>
      </c>
      <c r="N45">
        <f>IF(L45=0,0,(L45-$J$10)/$I$10)*M45</f>
        <v>181.07308575755286</v>
      </c>
      <c r="O45">
        <f>2.04*N45/1000</f>
        <v>0.36938909494540784</v>
      </c>
      <c r="P45" s="3" t="s">
        <v>37</v>
      </c>
      <c r="Q45">
        <v>4932</v>
      </c>
      <c r="R45">
        <v>2</v>
      </c>
      <c r="S45">
        <f>IF(Q45=0,0,(Q45-$J$10)/$I$10)*R45</f>
        <v>186.28201305339525</v>
      </c>
      <c r="T45">
        <f>2.04*S45/1000</f>
        <v>0.3800153066289263</v>
      </c>
    </row>
    <row r="46" spans="1:20" x14ac:dyDescent="0.25">
      <c r="A46" s="3" t="s">
        <v>38</v>
      </c>
      <c r="B46">
        <v>221</v>
      </c>
      <c r="C46">
        <v>2</v>
      </c>
      <c r="D46">
        <f>IF(B46=0,0,(B46-$J$11)/$I$11)*1</f>
        <v>13.861983660815074</v>
      </c>
      <c r="E46">
        <f>2.21*D46/1000</f>
        <v>3.0634983890401313E-2</v>
      </c>
      <c r="F46" s="3" t="s">
        <v>38</v>
      </c>
      <c r="G46">
        <v>0</v>
      </c>
      <c r="H46">
        <v>2</v>
      </c>
      <c r="I46">
        <f>IF(G46=0,0,(G46-$J$11)/$I$11)*1</f>
        <v>0</v>
      </c>
      <c r="J46">
        <f>2.21*I46/1000</f>
        <v>0</v>
      </c>
      <c r="K46" s="3" t="s">
        <v>38</v>
      </c>
      <c r="L46">
        <v>1748</v>
      </c>
      <c r="M46">
        <v>2</v>
      </c>
      <c r="N46">
        <f>IF(L46=0,0,(L46-$J$11)/$I$11)*1</f>
        <v>41.148201188746583</v>
      </c>
      <c r="O46">
        <f>2.21*N46/1000</f>
        <v>9.0937524627129951E-2</v>
      </c>
      <c r="P46" s="3" t="s">
        <v>38</v>
      </c>
      <c r="Q46">
        <v>1061</v>
      </c>
      <c r="R46">
        <v>2</v>
      </c>
      <c r="S46">
        <f>IF(Q46=0,0,(Q46-$J$11)/$I$11)*1</f>
        <v>28.872083676180146</v>
      </c>
      <c r="T46">
        <f>2.21*S46/1000</f>
        <v>6.3807304924358127E-2</v>
      </c>
    </row>
    <row r="47" spans="1:20" x14ac:dyDescent="0.25">
      <c r="A47" s="3" t="s">
        <v>39</v>
      </c>
      <c r="B47">
        <v>0</v>
      </c>
      <c r="C47">
        <v>2</v>
      </c>
      <c r="D47">
        <f>IF(B47=0,0,(B47-$J$12)/$I$12)*1</f>
        <v>0</v>
      </c>
      <c r="E47">
        <f>2.34*D47/1000</f>
        <v>0</v>
      </c>
      <c r="F47" s="3" t="s">
        <v>39</v>
      </c>
      <c r="G47">
        <v>0</v>
      </c>
      <c r="H47">
        <v>2</v>
      </c>
      <c r="I47">
        <f>IF(G47=0,0,(G47-$J$12)/$I$12)*1</f>
        <v>0</v>
      </c>
      <c r="J47">
        <f>2.34*I47/1000</f>
        <v>0</v>
      </c>
      <c r="K47" s="3" t="s">
        <v>39</v>
      </c>
      <c r="L47">
        <v>217</v>
      </c>
      <c r="M47">
        <v>2</v>
      </c>
      <c r="N47">
        <f>IF(L47=0,0,(L47-$J$12)/$I$12)*1</f>
        <v>19.660841905354488</v>
      </c>
      <c r="O47">
        <f>2.34*N47/1000</f>
        <v>4.6006370058529499E-2</v>
      </c>
      <c r="P47" s="3" t="s">
        <v>39</v>
      </c>
      <c r="Q47">
        <v>0</v>
      </c>
      <c r="R47">
        <v>2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8923.8529038176857</v>
      </c>
      <c r="E48" s="3">
        <f>SUM(E40:E47)</f>
        <v>11.567778815379517</v>
      </c>
      <c r="F48" s="3"/>
      <c r="G48" s="3" t="s">
        <v>62</v>
      </c>
      <c r="H48" s="3"/>
      <c r="I48" s="3">
        <f>SUM(I40:I47)</f>
        <v>9358.9730490482998</v>
      </c>
      <c r="J48" s="3">
        <f>SUM(J40:J47)</f>
        <v>12.154877947861749</v>
      </c>
      <c r="K48" s="3"/>
      <c r="L48" s="3" t="s">
        <v>62</v>
      </c>
      <c r="M48" s="3"/>
      <c r="N48" s="3">
        <f>SUM(N40:N47)</f>
        <v>7761.9125833626194</v>
      </c>
      <c r="O48" s="3">
        <f>SUM(O40:O47)</f>
        <v>10.664610986891295</v>
      </c>
      <c r="P48" s="3"/>
      <c r="Q48" s="3" t="s">
        <v>62</v>
      </c>
      <c r="R48" s="3"/>
      <c r="S48" s="3">
        <f>SUM(S40:S47)</f>
        <v>8079.065942693861</v>
      </c>
      <c r="T48" s="3">
        <f>SUM(T40:T47)</f>
        <v>10.798969073393184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21788</v>
      </c>
      <c r="C52">
        <v>2</v>
      </c>
      <c r="D52">
        <f>IF(B52=0,0,(B52-$J$5)/$I$5)*C52</f>
        <v>1782.6154407667391</v>
      </c>
      <c r="E52">
        <f>1.07*D52/1000</f>
        <v>1.907398521620411</v>
      </c>
      <c r="F52" s="3" t="s">
        <v>32</v>
      </c>
      <c r="G52">
        <v>21661</v>
      </c>
      <c r="H52">
        <v>2</v>
      </c>
      <c r="I52">
        <f>IF(G52=0,0,(G52-$J$5)/$I$5)*H52</f>
        <v>1772.219244015095</v>
      </c>
      <c r="J52">
        <f>1.07*I52/1000</f>
        <v>1.8962745910961516</v>
      </c>
    </row>
    <row r="53" spans="1:13" x14ac:dyDescent="0.25">
      <c r="A53" s="3" t="s">
        <v>33</v>
      </c>
      <c r="B53">
        <v>7515</v>
      </c>
      <c r="C53">
        <v>2</v>
      </c>
      <c r="D53">
        <f>IF(B53=0,0,(B53-$J$6)/$I$6)*C53</f>
        <v>380.25319318107199</v>
      </c>
      <c r="E53">
        <f>1.51*D53/1000</f>
        <v>0.57418232170341865</v>
      </c>
      <c r="F53" s="3" t="s">
        <v>33</v>
      </c>
      <c r="G53">
        <v>9178</v>
      </c>
      <c r="H53">
        <v>2</v>
      </c>
      <c r="I53">
        <f>IF(G53=0,0,(G53-$J$6)/$I$6)*H53</f>
        <v>464.78064614958151</v>
      </c>
      <c r="J53">
        <f>1.51*I53/1000</f>
        <v>0.70181877568586815</v>
      </c>
    </row>
    <row r="54" spans="1:13" x14ac:dyDescent="0.25">
      <c r="A54" s="3" t="s">
        <v>34</v>
      </c>
      <c r="B54">
        <v>222</v>
      </c>
      <c r="C54">
        <v>2</v>
      </c>
      <c r="D54">
        <f>IF(B54=0,0,(B54-$J$7)/$I$7)*C54</f>
        <v>12.097307428769604</v>
      </c>
      <c r="E54">
        <f>1.82*D54/1000</f>
        <v>2.201709952036068E-2</v>
      </c>
      <c r="F54" s="3" t="s">
        <v>34</v>
      </c>
      <c r="G54">
        <v>348</v>
      </c>
      <c r="H54">
        <v>2</v>
      </c>
      <c r="I54">
        <f>IF(G54=0,0,(G54-$J$7)/$I$7)*H54</f>
        <v>17.600919831675942</v>
      </c>
      <c r="J54">
        <f>1.82*I54/1000</f>
        <v>3.2033674093650211E-2</v>
      </c>
    </row>
    <row r="55" spans="1:13" x14ac:dyDescent="0.25">
      <c r="A55" s="3" t="s">
        <v>35</v>
      </c>
      <c r="B55">
        <v>65292</v>
      </c>
      <c r="C55">
        <v>2</v>
      </c>
      <c r="D55">
        <f>IF(B55=0,0,(B55-$J$8)/$I$8)*C55</f>
        <v>2579.8108083741745</v>
      </c>
      <c r="E55">
        <f>1.82*D55/1000</f>
        <v>4.6952556712409974</v>
      </c>
      <c r="F55" s="3" t="s">
        <v>35</v>
      </c>
      <c r="G55">
        <v>52518</v>
      </c>
      <c r="H55">
        <v>2</v>
      </c>
      <c r="I55">
        <f>IF(G55=0,0,(G55-$J$8)/$I$8)*H55</f>
        <v>2076.0125641886166</v>
      </c>
      <c r="J55">
        <f>1.82*I55/1000</f>
        <v>3.7783428668232824</v>
      </c>
    </row>
    <row r="56" spans="1:13" x14ac:dyDescent="0.25">
      <c r="A56" s="3" t="s">
        <v>36</v>
      </c>
      <c r="B56">
        <v>468</v>
      </c>
      <c r="C56">
        <v>2</v>
      </c>
      <c r="D56">
        <f>IF(B56=0,0,(B56-$J$9)/$I$9)*C56</f>
        <v>26.376189207194258</v>
      </c>
      <c r="E56">
        <f>2.04*D56/1000</f>
        <v>5.3807425982676287E-2</v>
      </c>
      <c r="F56" s="3" t="s">
        <v>36</v>
      </c>
      <c r="G56">
        <v>680</v>
      </c>
      <c r="H56">
        <v>2</v>
      </c>
      <c r="I56">
        <f>IF(G56=0,0,(G56-$J$9)/$I$9)*H56</f>
        <v>34.410731264315011</v>
      </c>
      <c r="J56">
        <f>2.04*I56/1000</f>
        <v>7.0197891779202617E-2</v>
      </c>
    </row>
    <row r="57" spans="1:13" x14ac:dyDescent="0.25">
      <c r="A57" s="3" t="s">
        <v>37</v>
      </c>
      <c r="B57">
        <v>0</v>
      </c>
      <c r="C57">
        <v>2</v>
      </c>
      <c r="D57">
        <f>IF(B57=0,0,(B57-$J$10)/$I$10)*C57</f>
        <v>0</v>
      </c>
      <c r="E57">
        <f>2.04*D57/1000</f>
        <v>0</v>
      </c>
      <c r="F57" s="3" t="s">
        <v>37</v>
      </c>
      <c r="G57">
        <v>300</v>
      </c>
      <c r="H57">
        <v>2</v>
      </c>
      <c r="I57">
        <f>IF(G57=0,0,(G57-$J$10)/$I$10)*H57</f>
        <v>21.023442955163343</v>
      </c>
      <c r="J57">
        <f>2.04*I57/1000</f>
        <v>4.2887823628533217E-2</v>
      </c>
    </row>
    <row r="58" spans="1:13" x14ac:dyDescent="0.25">
      <c r="A58" s="3" t="s">
        <v>38</v>
      </c>
      <c r="B58">
        <v>606</v>
      </c>
      <c r="C58">
        <v>2</v>
      </c>
      <c r="D58">
        <f>IF(B58=0,0,(B58-$J$11)/$I$11)*1</f>
        <v>20.741612834524066</v>
      </c>
      <c r="E58">
        <f>2.21*D58/1000</f>
        <v>4.5838964364298185E-2</v>
      </c>
      <c r="F58" s="3" t="s">
        <v>38</v>
      </c>
      <c r="G58">
        <v>1046</v>
      </c>
      <c r="H58">
        <v>2</v>
      </c>
      <c r="I58">
        <f>IF(G58=0,0,(G58-$J$11)/$I$11)*1</f>
        <v>28.604046175905768</v>
      </c>
      <c r="J58">
        <f>2.21*I58/1000</f>
        <v>6.3214942048751749E-2</v>
      </c>
    </row>
    <row r="59" spans="1:13" x14ac:dyDescent="0.25">
      <c r="A59" s="3" t="s">
        <v>39</v>
      </c>
      <c r="B59">
        <v>0</v>
      </c>
      <c r="C59">
        <v>2</v>
      </c>
      <c r="D59">
        <f>IF(B59=0,0,(B59-$J$12)/$I$12)*1</f>
        <v>0</v>
      </c>
      <c r="E59">
        <f>2.34*D59/1000</f>
        <v>0</v>
      </c>
      <c r="F59" s="3" t="s">
        <v>39</v>
      </c>
      <c r="G59">
        <v>0</v>
      </c>
      <c r="H59">
        <v>2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62</v>
      </c>
      <c r="C60" s="3"/>
      <c r="D60" s="3">
        <f>SUM(D52:D59)</f>
        <v>4801.8945517924731</v>
      </c>
      <c r="E60" s="3">
        <f>SUM(E52:E59)</f>
        <v>7.2985000044321628</v>
      </c>
      <c r="G60" s="3" t="s">
        <v>62</v>
      </c>
      <c r="H60" s="3"/>
      <c r="I60" s="3">
        <f>SUM(I52:I59)</f>
        <v>4414.651594580353</v>
      </c>
      <c r="J60" s="3">
        <f>SUM(J52:J59)</f>
        <v>6.5847705651554396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F755-A9DE-4FCC-9B8F-DFAEEC9D506B}">
  <dimension ref="A1:AA69"/>
  <sheetViews>
    <sheetView zoomScaleNormal="100" workbookViewId="0">
      <selection activeCell="R40" sqref="R40"/>
    </sheetView>
  </sheetViews>
  <sheetFormatPr defaultRowHeight="15" x14ac:dyDescent="0.25"/>
  <cols>
    <col min="1" max="1" width="23.42578125" customWidth="1"/>
    <col min="2" max="2" width="9.7109375" customWidth="1"/>
    <col min="3" max="3" width="17.5703125" customWidth="1"/>
    <col min="4" max="4" width="9.5703125" customWidth="1"/>
    <col min="5" max="5" width="18" customWidth="1"/>
    <col min="6" max="6" width="11.42578125" customWidth="1"/>
    <col min="7" max="7" width="21.85546875" customWidth="1"/>
    <col min="8" max="8" width="13.42578125" customWidth="1"/>
    <col min="9" max="9" width="12" bestFit="1" customWidth="1"/>
    <col min="11" max="11" width="9" customWidth="1"/>
    <col min="17" max="17" width="22.7109375" customWidth="1"/>
    <col min="19" max="19" width="12.140625" bestFit="1" customWidth="1"/>
    <col min="20" max="21" width="10.5703125" bestFit="1" customWidth="1"/>
    <col min="22" max="22" width="18.5703125" customWidth="1"/>
    <col min="23" max="24" width="10.5703125" bestFit="1" customWidth="1"/>
    <col min="25" max="25" width="19.28515625" customWidth="1"/>
  </cols>
  <sheetData>
    <row r="1" spans="1:25" ht="15.75" thickBot="1" x14ac:dyDescent="0.3">
      <c r="A1" s="3" t="s">
        <v>132</v>
      </c>
      <c r="B1" s="3"/>
      <c r="C1" s="3"/>
      <c r="D1" s="3"/>
      <c r="E1" s="3"/>
      <c r="F1" s="3"/>
      <c r="G1" s="3"/>
      <c r="H1" s="3"/>
      <c r="I1" s="3"/>
      <c r="Q1" s="3" t="s">
        <v>133</v>
      </c>
    </row>
    <row r="2" spans="1:25" x14ac:dyDescent="0.25">
      <c r="A2" s="44" t="s">
        <v>64</v>
      </c>
      <c r="B2" s="45">
        <v>0</v>
      </c>
      <c r="C2" s="45">
        <v>1</v>
      </c>
      <c r="D2" s="45">
        <v>2</v>
      </c>
      <c r="E2" s="45">
        <v>3</v>
      </c>
      <c r="F2" s="45">
        <v>4</v>
      </c>
      <c r="G2" s="45">
        <v>5</v>
      </c>
      <c r="H2" s="46">
        <v>6</v>
      </c>
      <c r="I2" s="3"/>
      <c r="Q2" s="44" t="s">
        <v>64</v>
      </c>
      <c r="R2" s="45">
        <v>0</v>
      </c>
      <c r="S2" s="45">
        <v>1</v>
      </c>
      <c r="T2" s="45">
        <v>2</v>
      </c>
      <c r="U2" s="45">
        <v>3</v>
      </c>
      <c r="V2" s="45">
        <v>4</v>
      </c>
      <c r="W2" s="45">
        <v>5</v>
      </c>
      <c r="X2" s="46">
        <v>6</v>
      </c>
      <c r="Y2" s="3"/>
    </row>
    <row r="3" spans="1:25" x14ac:dyDescent="0.25">
      <c r="A3" s="47" t="s">
        <v>46</v>
      </c>
      <c r="B3" s="23">
        <v>0</v>
      </c>
      <c r="C3" s="48">
        <f>'VFA day 1'!$D$24/1000</f>
        <v>1.4791913848599043</v>
      </c>
      <c r="D3" s="48">
        <f>'VFA day 2'!$D$24/1000</f>
        <v>5.0280837686812738</v>
      </c>
      <c r="E3" s="48">
        <f>'VFA day 3'!$D$24/1000</f>
        <v>5.5336138615670309</v>
      </c>
      <c r="F3" s="48">
        <f>'VFA day 4'!$D$24/1000</f>
        <v>5.3690782157469519</v>
      </c>
      <c r="G3" s="48">
        <f>'VFA day 5'!$D$24/1000</f>
        <v>3.5778770369577368</v>
      </c>
      <c r="H3" s="49">
        <f>'VFA day 6'!$D$24/1000</f>
        <v>5.5380089904708214</v>
      </c>
      <c r="Q3" s="47" t="s">
        <v>46</v>
      </c>
      <c r="R3" s="23">
        <v>0</v>
      </c>
      <c r="S3" s="53">
        <f>C3/1000/'set up'!$I27</f>
        <v>2.6237407185462622E-2</v>
      </c>
      <c r="T3" s="53">
        <f>D3/1000/'set up'!$I27</f>
        <v>8.9186485637895122E-2</v>
      </c>
      <c r="U3" s="53">
        <f>E3/1000/'set up'!$I27</f>
        <v>9.8153411099541565E-2</v>
      </c>
      <c r="V3" s="53">
        <f>F3/1000/'set up'!$I27</f>
        <v>9.5234932273819267E-2</v>
      </c>
      <c r="W3" s="53">
        <f>G3/1000/'set up'!$I27</f>
        <v>6.3463198636103169E-2</v>
      </c>
      <c r="X3" s="54">
        <f>H3/1000/'set up'!$I27</f>
        <v>9.8231370441288449E-2</v>
      </c>
    </row>
    <row r="4" spans="1:25" x14ac:dyDescent="0.25">
      <c r="A4" s="47" t="s">
        <v>49</v>
      </c>
      <c r="B4" s="23">
        <v>0</v>
      </c>
      <c r="C4" s="48">
        <f>'VFA day 1'!$I$24/1000</f>
        <v>1.5286123748550162</v>
      </c>
      <c r="D4" s="48">
        <f>'VFA day 2'!$I$24/1000</f>
        <v>3.1784537603623724</v>
      </c>
      <c r="E4" s="48">
        <f>'VFA day 3'!$I$24/1000</f>
        <v>5.1238415173050287</v>
      </c>
      <c r="F4" s="48">
        <f>'VFA day 4'!$I$24/1000</f>
        <v>4.430422644473933</v>
      </c>
      <c r="G4" s="48">
        <f>'VFA day 5'!$I$24/1000</f>
        <v>5.8292987258300926</v>
      </c>
      <c r="H4" s="49">
        <f>'VFA day 6'!$I$24/1000</f>
        <v>5.7220467301961371</v>
      </c>
      <c r="Q4" s="47" t="s">
        <v>49</v>
      </c>
      <c r="R4" s="23">
        <v>0</v>
      </c>
      <c r="S4" s="53">
        <f>C4/1000/'set up'!$I28</f>
        <v>2.7090842303872278E-2</v>
      </c>
      <c r="T4" s="53">
        <f>D4/1000/'set up'!$I28</f>
        <v>5.6330166501690031E-2</v>
      </c>
      <c r="U4" s="53">
        <f>E4/1000/'set up'!$I28</f>
        <v>9.0807313102191631E-2</v>
      </c>
      <c r="V4" s="53">
        <f>F4/1000/'set up'!$I28</f>
        <v>7.8518192823299623E-2</v>
      </c>
      <c r="W4" s="53">
        <f>G4/1000/'set up'!$I28</f>
        <v>0.10330978286016092</v>
      </c>
      <c r="X4" s="54">
        <f>H4/1000/'set up'!$I28</f>
        <v>0.1014090087016561</v>
      </c>
    </row>
    <row r="5" spans="1:25" x14ac:dyDescent="0.25">
      <c r="A5" s="47" t="s">
        <v>50</v>
      </c>
      <c r="B5" s="23">
        <v>0</v>
      </c>
      <c r="C5" s="48">
        <f>'VFA day 1'!$N$24/1000</f>
        <v>0.89290036280878116</v>
      </c>
      <c r="D5" s="48">
        <f>'VFA day 2'!$N$24/1000</f>
        <v>1.8253705503359625</v>
      </c>
      <c r="E5" s="48">
        <f>'VFA day 3'!$N$24/1000</f>
        <v>3.2035227446895327</v>
      </c>
      <c r="F5" s="48">
        <f>'VFA day 4'!$N$24/1000</f>
        <v>5.0814376158683414</v>
      </c>
      <c r="G5" s="48">
        <f>'VFA day 5'!$N$24/1000</f>
        <v>5.2579782931807184</v>
      </c>
      <c r="H5" s="49">
        <f>'VFA day 6'!$N$24/1000</f>
        <v>4.9172637335241269</v>
      </c>
      <c r="Q5" s="47" t="s">
        <v>50</v>
      </c>
      <c r="R5" s="23">
        <v>0</v>
      </c>
      <c r="S5" s="53">
        <f>C5/1000/'set up'!$I29</f>
        <v>1.6082221599307292E-2</v>
      </c>
      <c r="T5" s="53">
        <f>D5/1000/'set up'!$I29</f>
        <v>3.2877143871918424E-2</v>
      </c>
      <c r="U5" s="53">
        <f>E5/1000/'set up'!$I29</f>
        <v>5.7699341185676489E-2</v>
      </c>
      <c r="V5" s="53">
        <f>F5/1000/'set up'!$I29</f>
        <v>9.1522872187421542E-2</v>
      </c>
      <c r="W5" s="53">
        <f>G5/1000/'set up'!$I29</f>
        <v>9.4702584518255778E-2</v>
      </c>
      <c r="X5" s="54">
        <f>H5/1000/'set up'!$I29</f>
        <v>8.8565900876117806E-2</v>
      </c>
    </row>
    <row r="6" spans="1:25" x14ac:dyDescent="0.25">
      <c r="A6" s="47" t="s">
        <v>51</v>
      </c>
      <c r="B6" s="23">
        <v>0</v>
      </c>
      <c r="C6" s="48">
        <f>'VFA day 1'!$S$24/1000</f>
        <v>0.83572562970512043</v>
      </c>
      <c r="D6" s="48">
        <f>'VFA day 2'!$S$24/1000</f>
        <v>1.6269120603864706</v>
      </c>
      <c r="E6" s="48">
        <f>'VFA day 3'!$S$24/1000</f>
        <v>4.2025718602354454</v>
      </c>
      <c r="F6" s="48">
        <f>'VFA day 4'!$S$24/1000</f>
        <v>4.7024788630295689</v>
      </c>
      <c r="G6" s="48">
        <f>'VFA day 5'!$S$24/1000</f>
        <v>3.8124642071363763</v>
      </c>
      <c r="H6" s="49">
        <f>'VFA day 6'!$S$24/1000</f>
        <v>4.8728675483536703</v>
      </c>
      <c r="Q6" s="47" t="s">
        <v>51</v>
      </c>
      <c r="R6" s="23">
        <v>0</v>
      </c>
      <c r="S6" s="53">
        <f>C6/1000/'set up'!$I30</f>
        <v>1.5060991481300851E-2</v>
      </c>
      <c r="T6" s="53">
        <f>D6/1000/'set up'!$I30</f>
        <v>2.9319321810139912E-2</v>
      </c>
      <c r="U6" s="53">
        <f>E6/1000/'set up'!$I30</f>
        <v>7.573645791968095E-2</v>
      </c>
      <c r="V6" s="53">
        <f>F6/1000/'set up'!$I30</f>
        <v>8.4745509267288327E-2</v>
      </c>
      <c r="W6" s="53">
        <f>G6/1000/'set up'!$I30</f>
        <v>6.870615056607203E-2</v>
      </c>
      <c r="X6" s="54">
        <f>H6/1000/'set up'!$I30</f>
        <v>8.7816161221664552E-2</v>
      </c>
    </row>
    <row r="7" spans="1:25" x14ac:dyDescent="0.25">
      <c r="A7" s="47" t="s">
        <v>52</v>
      </c>
      <c r="B7" s="23">
        <v>0</v>
      </c>
      <c r="C7" s="48">
        <f>'VFA day 1'!$D$36/1000</f>
        <v>1.6430426380863783</v>
      </c>
      <c r="D7" s="48">
        <f>'VFA day 2'!$D$36/1000</f>
        <v>4.8977633464655757</v>
      </c>
      <c r="E7" s="48">
        <f>'VFA day 3'!$D$36/1000</f>
        <v>6.7940215786603595</v>
      </c>
      <c r="F7" s="48">
        <f>'VFA day 4'!$D$36/1000</f>
        <v>6.7987964906681047</v>
      </c>
      <c r="G7" s="48">
        <f>'VFA day 5'!$D$36/1000</f>
        <v>8.1566645614129385</v>
      </c>
      <c r="H7" s="49">
        <f>'VFA day 6'!$D$36/1000</f>
        <v>7.4476419446439124</v>
      </c>
      <c r="Q7" s="47" t="s">
        <v>52</v>
      </c>
      <c r="R7" s="23">
        <v>0</v>
      </c>
      <c r="S7" s="53">
        <f>C7/1000/'set up'!$I31</f>
        <v>2.7519282342832945E-2</v>
      </c>
      <c r="T7" s="53">
        <f>D7/1000/'set up'!$I31</f>
        <v>8.2032522623237403E-2</v>
      </c>
      <c r="U7" s="53">
        <f>E7/1000/'set up'!$I31</f>
        <v>0.11379290697179387</v>
      </c>
      <c r="V7" s="53">
        <f>F7/1000/'set up'!$I31</f>
        <v>0.11387288186024616</v>
      </c>
      <c r="W7" s="53">
        <f>G7/1000/'set up'!$I31</f>
        <v>0.13661578210942427</v>
      </c>
      <c r="X7" s="54">
        <f>H7/1000/'set up'!$I31</f>
        <v>0.12474037904560233</v>
      </c>
    </row>
    <row r="8" spans="1:25" x14ac:dyDescent="0.25">
      <c r="A8" s="47" t="s">
        <v>53</v>
      </c>
      <c r="B8" s="23">
        <v>0</v>
      </c>
      <c r="C8" s="48">
        <f>'VFA day 1'!$I$36/1000</f>
        <v>2.462278030749923</v>
      </c>
      <c r="D8" s="48">
        <f>'VFA day 2'!$I$36/1000</f>
        <v>5.9467557592058213</v>
      </c>
      <c r="E8" s="48">
        <f>'VFA day 3'!$I$36/1000</f>
        <v>6.9970026646380905</v>
      </c>
      <c r="F8" s="48">
        <f>'VFA day 4'!$I$36/1000</f>
        <v>7.6829015771535412</v>
      </c>
      <c r="G8" s="48">
        <f>'VFA day 5'!$I$36/1000</f>
        <v>8.6869704090005655</v>
      </c>
      <c r="H8" s="49">
        <f>'VFA day 6'!$I$36/1000</f>
        <v>8.2419773154080875</v>
      </c>
      <c r="Q8" s="47" t="s">
        <v>53</v>
      </c>
      <c r="R8" s="23">
        <v>0</v>
      </c>
      <c r="S8" s="53">
        <f>C8/1000/'set up'!$I32</f>
        <v>4.1102003845948032E-2</v>
      </c>
      <c r="T8" s="53">
        <f>D8/1000/'set up'!$I32</f>
        <v>9.9267253751741627E-2</v>
      </c>
      <c r="U8" s="53">
        <f>E8/1000/'set up'!$I32</f>
        <v>0.11679868269972478</v>
      </c>
      <c r="V8" s="53">
        <f>F8/1000/'set up'!$I32</f>
        <v>0.12824816947094669</v>
      </c>
      <c r="W8" s="53">
        <f>G8/1000/'set up'!$I32</f>
        <v>0.145008762902227</v>
      </c>
      <c r="X8" s="54">
        <f>H8/1000/'set up'!$I32</f>
        <v>0.13758063837045437</v>
      </c>
    </row>
    <row r="9" spans="1:25" x14ac:dyDescent="0.25">
      <c r="A9" s="47" t="s">
        <v>54</v>
      </c>
      <c r="B9" s="23">
        <v>0</v>
      </c>
      <c r="C9" s="48">
        <f>'VFA day 1'!$N$36/1000</f>
        <v>1.0064638527350589</v>
      </c>
      <c r="D9" s="48">
        <f>'VFA day 2'!$N$36/1000</f>
        <v>3.0200965607142614</v>
      </c>
      <c r="E9" s="48">
        <f>'VFA day 3'!$N$36/1000</f>
        <v>5.7414578717442293</v>
      </c>
      <c r="F9" s="48">
        <f>'VFA day 4'!$N$36/1000</f>
        <v>5.9744204134095389</v>
      </c>
      <c r="G9" s="48">
        <f>'VFA day 5'!$N$36/1000</f>
        <v>6.7523836420816989</v>
      </c>
      <c r="H9" s="49">
        <f>'VFA day 6'!$N$36/1000</f>
        <v>7.3736305587816853</v>
      </c>
      <c r="Q9" s="47" t="s">
        <v>54</v>
      </c>
      <c r="R9" s="23">
        <v>0</v>
      </c>
      <c r="S9" s="53">
        <f>C9/1000/'set up'!$I33</f>
        <v>1.8167505416950315E-2</v>
      </c>
      <c r="T9" s="53">
        <f>D9/1000/'set up'!$I33</f>
        <v>5.4515242129547871E-2</v>
      </c>
      <c r="U9" s="53">
        <f>E9/1000/'set up'!$I33</f>
        <v>0.10363806579108537</v>
      </c>
      <c r="V9" s="53">
        <f>F9/1000/'set up'!$I33</f>
        <v>0.10784323245072212</v>
      </c>
      <c r="W9" s="53">
        <f>G9/1000/'set up'!$I33</f>
        <v>0.12188611251311238</v>
      </c>
      <c r="X9" s="54">
        <f>H9/1000/'set up'!$I33</f>
        <v>0.13310013345757019</v>
      </c>
    </row>
    <row r="10" spans="1:25" x14ac:dyDescent="0.25">
      <c r="A10" s="47" t="s">
        <v>55</v>
      </c>
      <c r="B10" s="23">
        <v>0</v>
      </c>
      <c r="C10" s="48">
        <f>'VFA day 1'!$S$36/1000</f>
        <v>0.89045567355927591</v>
      </c>
      <c r="D10" s="48">
        <f>'VFA day 2'!$S$36/1000</f>
        <v>2.3349101136709471</v>
      </c>
      <c r="E10" s="48">
        <f>'VFA day 3'!$S$36/1000</f>
        <v>5.9663301922455654</v>
      </c>
      <c r="F10" s="48">
        <f>'VFA day 4'!$S$36/1000</f>
        <v>5.6297370351498834</v>
      </c>
      <c r="G10" s="48">
        <f>'VFA day 5'!$S$36/1000</f>
        <v>6.3240777114392257</v>
      </c>
      <c r="H10" s="49">
        <f>'VFA day 6'!$S$36/1000</f>
        <v>6.697301857495142</v>
      </c>
      <c r="Q10" s="47" t="s">
        <v>55</v>
      </c>
      <c r="R10" s="23">
        <v>0</v>
      </c>
      <c r="S10" s="53">
        <f>C10/1000/'set up'!$I34</f>
        <v>1.6032128374810634E-2</v>
      </c>
      <c r="T10" s="53">
        <f>D10/1000/'set up'!$I34</f>
        <v>4.203867727226563E-2</v>
      </c>
      <c r="U10" s="53">
        <f>E10/1000/'set up'!$I34</f>
        <v>0.10742025056255884</v>
      </c>
      <c r="V10" s="53">
        <f>F10/1000/'set up'!$I34</f>
        <v>0.10136008960803204</v>
      </c>
      <c r="W10" s="53">
        <f>G10/1000/'set up'!$I34</f>
        <v>0.11386128330993568</v>
      </c>
      <c r="X10" s="54">
        <f>H10/1000/'set up'!$I34</f>
        <v>0.12058096358130765</v>
      </c>
    </row>
    <row r="11" spans="1:25" x14ac:dyDescent="0.25">
      <c r="A11" s="47" t="s">
        <v>56</v>
      </c>
      <c r="B11" s="23">
        <v>0</v>
      </c>
      <c r="C11" s="48">
        <f>'VFA day 1'!$D$48/1000</f>
        <v>4.6900341584488965</v>
      </c>
      <c r="D11" s="48">
        <f>'VFA day 2'!$D$48/1000</f>
        <v>6.2771093682959114</v>
      </c>
      <c r="E11" s="48">
        <f>'VFA day 3'!$D$48/1000</f>
        <v>6.9294418334788821</v>
      </c>
      <c r="F11" s="48">
        <f>'VFA day 4'!$D$48/1000</f>
        <v>7.3508602205425406</v>
      </c>
      <c r="G11" s="48">
        <f>'VFA day 5'!$D$48/1000</f>
        <v>7.6526363540825297</v>
      </c>
      <c r="H11" s="49">
        <f>'VFA day 6'!$D$48/1000</f>
        <v>8.9238529038176857</v>
      </c>
      <c r="Q11" s="47" t="s">
        <v>56</v>
      </c>
      <c r="R11" s="23">
        <v>0</v>
      </c>
      <c r="S11" s="53">
        <f>C11/1000/'set up'!$I35</f>
        <v>7.1421320964718496E-2</v>
      </c>
      <c r="T11" s="53">
        <f>D11/1000/'set up'!$I35</f>
        <v>9.5589803352727251E-2</v>
      </c>
      <c r="U11" s="53">
        <f>E11/1000/'set up'!$I35</f>
        <v>0.10552372809560108</v>
      </c>
      <c r="V11" s="53">
        <f>F11/1000/'set up'!$I35</f>
        <v>0.11194122034961523</v>
      </c>
      <c r="W11" s="53">
        <f>G11/1000/'set up'!$I35</f>
        <v>0.11653676259193005</v>
      </c>
      <c r="X11" s="54">
        <f>H11/1000/'set up'!$I35</f>
        <v>0.13589524957666527</v>
      </c>
    </row>
    <row r="12" spans="1:25" x14ac:dyDescent="0.25">
      <c r="A12" s="47" t="s">
        <v>57</v>
      </c>
      <c r="B12" s="23">
        <v>0</v>
      </c>
      <c r="C12" s="48">
        <f>'VFA day 1'!$I$48/1000</f>
        <v>5.1497713290273843</v>
      </c>
      <c r="D12" s="48">
        <f>'VFA day 2'!$I$48/1000</f>
        <v>6.5937323365000911</v>
      </c>
      <c r="E12" s="48">
        <f>'VFA day 3'!$I$48/1000</f>
        <v>7.5885763402702731</v>
      </c>
      <c r="F12" s="48">
        <f>'VFA day 4'!$I$48/1000</f>
        <v>8.0693403393091305</v>
      </c>
      <c r="G12" s="48">
        <f>'VFA day 5'!$I$48/1000</f>
        <v>8.2833247938876742</v>
      </c>
      <c r="H12" s="49">
        <f>'VFA day 6'!$I$48/1000</f>
        <v>9.3589730490483003</v>
      </c>
      <c r="Q12" s="47" t="s">
        <v>57</v>
      </c>
      <c r="R12" s="23">
        <v>0</v>
      </c>
      <c r="S12" s="53">
        <f>C12/1000/'set up'!$I36</f>
        <v>7.8427277068271184E-2</v>
      </c>
      <c r="T12" s="53">
        <f>D12/1000/'set up'!$I36</f>
        <v>0.10041775446491129</v>
      </c>
      <c r="U12" s="53">
        <f>E12/1000/'set up'!$I36</f>
        <v>0.11556850608830971</v>
      </c>
      <c r="V12" s="53">
        <f>F12/1000/'set up'!$I36</f>
        <v>0.12289019261534852</v>
      </c>
      <c r="W12" s="53">
        <f>G12/1000/'set up'!$I36</f>
        <v>0.12614902044192386</v>
      </c>
      <c r="X12" s="54">
        <f>H12/1000/'set up'!$I36</f>
        <v>0.14253036212596668</v>
      </c>
    </row>
    <row r="13" spans="1:25" x14ac:dyDescent="0.25">
      <c r="A13" s="47" t="s">
        <v>58</v>
      </c>
      <c r="B13" s="23">
        <v>0</v>
      </c>
      <c r="C13" s="48">
        <f>'VFA day 1'!$N$48/1000</f>
        <v>1.0803783025607137</v>
      </c>
      <c r="D13" s="48">
        <f>'VFA day 2'!$N$48/1000</f>
        <v>0.23794845961121433</v>
      </c>
      <c r="E13" s="48">
        <f>'VFA day 3'!$N$48/1000</f>
        <v>5.8105163766855963</v>
      </c>
      <c r="F13" s="48">
        <f>'VFA day 4'!$N$48/1000</f>
        <v>6.2784172008422745</v>
      </c>
      <c r="G13" s="48">
        <f>'VFA day 5'!$N$48/1000</f>
        <v>5.9021350763531428</v>
      </c>
      <c r="H13" s="49">
        <f>'VFA day 6'!$N$48/1000</f>
        <v>7.7619125833626192</v>
      </c>
      <c r="Q13" s="47" t="s">
        <v>58</v>
      </c>
      <c r="R13" s="23">
        <v>0</v>
      </c>
      <c r="S13" s="53">
        <f>C13/1000/'set up'!$I37</f>
        <v>1.9487680546608356E-2</v>
      </c>
      <c r="T13" s="53" t="s">
        <v>69</v>
      </c>
      <c r="U13" s="53">
        <f>E13/1000/'set up'!$I37</f>
        <v>0.10480910870877271</v>
      </c>
      <c r="V13" s="53">
        <f>F13/1000/'set up'!$I37</f>
        <v>0.11324902440038548</v>
      </c>
      <c r="W13" s="53">
        <f>G13/1000/'set up'!$I37</f>
        <v>0.10646171127121308</v>
      </c>
      <c r="X13" s="54">
        <f>H13/1000/'set up'!$I37</f>
        <v>0.14000806245067102</v>
      </c>
    </row>
    <row r="14" spans="1:25" x14ac:dyDescent="0.25">
      <c r="A14" s="47" t="s">
        <v>59</v>
      </c>
      <c r="B14" s="23">
        <v>0</v>
      </c>
      <c r="C14" s="48">
        <f>'VFA day 1'!$S$48/1000</f>
        <v>0.86800416508278955</v>
      </c>
      <c r="D14" s="48">
        <f>'VFA day 2'!$S$48/1000</f>
        <v>3.5434425110751384</v>
      </c>
      <c r="E14" s="48">
        <f>'VFA day 3'!$S$48/1000</f>
        <v>3.5579414001145655</v>
      </c>
      <c r="F14" s="48">
        <f>'VFA day 4'!$S$48/1000</f>
        <v>6.1747271576758163</v>
      </c>
      <c r="G14" s="48">
        <f>'VFA day 5'!$S$48/1000</f>
        <v>6.7265464611677324</v>
      </c>
      <c r="H14" s="49">
        <f>'VFA day 6'!$S$48/1000</f>
        <v>8.0790659426938607</v>
      </c>
      <c r="Q14" s="47" t="s">
        <v>59</v>
      </c>
      <c r="R14" s="23">
        <v>0</v>
      </c>
      <c r="S14" s="53">
        <f>C14/1000/'set up'!$I38</f>
        <v>1.5638562438176171E-2</v>
      </c>
      <c r="T14" s="53">
        <f>D14/1000/'set up'!$I38</f>
        <v>6.3841107202810402E-2</v>
      </c>
      <c r="U14" s="53">
        <f>E14/1000/'set up'!$I38</f>
        <v>6.4102329199948682E-2</v>
      </c>
      <c r="V14" s="53">
        <f>F14/1000/'set up'!$I38</f>
        <v>0.11124814842887897</v>
      </c>
      <c r="W14" s="53">
        <f>G14/1000/'set up'!$I38</f>
        <v>0.12119010605926213</v>
      </c>
      <c r="X14" s="54">
        <f>H14/1000/'set up'!$I38</f>
        <v>0.14555803102040399</v>
      </c>
    </row>
    <row r="15" spans="1:25" x14ac:dyDescent="0.25">
      <c r="A15" s="47" t="s">
        <v>60</v>
      </c>
      <c r="B15" s="23">
        <v>0</v>
      </c>
      <c r="C15" s="48">
        <f>'VFA day 1'!$D$60/1000</f>
        <v>0.66751628244855921</v>
      </c>
      <c r="D15" s="48">
        <f>'VFA day 2'!$D$60/1000</f>
        <v>1.4905111110209339</v>
      </c>
      <c r="E15" s="48">
        <f>'VFA day 3'!$D$60/1000</f>
        <v>2.3814645891683357</v>
      </c>
      <c r="F15" s="48">
        <f>'VFA day 4'!$D$60/1000</f>
        <v>3.5444703894428269</v>
      </c>
      <c r="G15" s="48">
        <f>'VFA day 5'!$D$60/1000</f>
        <v>4.2449154112780541</v>
      </c>
      <c r="H15" s="49">
        <f>'VFA day 6'!$D$60/1000</f>
        <v>4.8018945517924729</v>
      </c>
      <c r="Q15" s="47" t="s">
        <v>60</v>
      </c>
      <c r="R15" s="23">
        <v>0</v>
      </c>
      <c r="S15" s="53">
        <f>C15/1000/'set up'!$I39</f>
        <v>1.2030638548288638E-2</v>
      </c>
      <c r="T15" s="53">
        <f>D15/1000/'set up'!$I39</f>
        <v>2.6863465207356725E-2</v>
      </c>
      <c r="U15" s="53">
        <f>E15/1000/'set up'!$I39</f>
        <v>4.2921109853287877E-2</v>
      </c>
      <c r="V15" s="53">
        <f>F15/1000/'set up'!$I39</f>
        <v>6.3881950480787944E-2</v>
      </c>
      <c r="W15" s="53">
        <f>G15/1000/'set up'!$I39</f>
        <v>7.6506063333491511E-2</v>
      </c>
      <c r="X15" s="54">
        <f>H15/1000/'set up'!$I39</f>
        <v>8.654449219980434E-2</v>
      </c>
    </row>
    <row r="16" spans="1:25" ht="15.75" thickBot="1" x14ac:dyDescent="0.3">
      <c r="A16" s="50" t="s">
        <v>61</v>
      </c>
      <c r="B16" s="41">
        <v>0</v>
      </c>
      <c r="C16" s="51">
        <f>'VFA day 1'!$I$60/1000</f>
        <v>0.69358231632555389</v>
      </c>
      <c r="D16" s="51">
        <f>'VFA day 2'!$I$60/1000</f>
        <v>1.7202204818913445</v>
      </c>
      <c r="E16" s="51">
        <f>'VFA day 3'!$I$60/1000</f>
        <v>3.0589224353455817</v>
      </c>
      <c r="F16" s="51">
        <f>'VFA day 4'!$I$60/1000</f>
        <v>3.9598900990627648</v>
      </c>
      <c r="G16" s="51">
        <f>'VFA day 5'!$I$60/1000</f>
        <v>3.3320294186253898</v>
      </c>
      <c r="H16" s="52">
        <f>'VFA day 6'!$I$60/1000</f>
        <v>4.4146515945803531</v>
      </c>
      <c r="Q16" s="50" t="s">
        <v>61</v>
      </c>
      <c r="R16" s="41">
        <v>0</v>
      </c>
      <c r="S16" s="55">
        <f>C16/1000/'set up'!$I40</f>
        <v>1.249743349826588E-2</v>
      </c>
      <c r="T16" s="55">
        <f>D16/1000/'set up'!$I40</f>
        <v>3.0996091694905709E-2</v>
      </c>
      <c r="U16" s="55">
        <f>E16/1000/'set up'!$I40</f>
        <v>5.511772548442704E-2</v>
      </c>
      <c r="V16" s="55">
        <f>F16/1000/'set up'!$I40</f>
        <v>7.1351967904339536E-2</v>
      </c>
      <c r="W16" s="55">
        <f>G16/1000/'set up'!$I40</f>
        <v>6.0038751123508295E-2</v>
      </c>
      <c r="X16" s="56">
        <f>H16/1000/'set up'!$I40</f>
        <v>7.9546166940312857E-2</v>
      </c>
    </row>
    <row r="18" spans="1:25" ht="15.75" thickBot="1" x14ac:dyDescent="0.3">
      <c r="A18" s="3" t="s">
        <v>66</v>
      </c>
      <c r="Q18" s="3" t="s">
        <v>66</v>
      </c>
    </row>
    <row r="19" spans="1:25" x14ac:dyDescent="0.25">
      <c r="A19" s="44" t="s">
        <v>64</v>
      </c>
      <c r="B19" s="45">
        <v>0</v>
      </c>
      <c r="C19" s="45">
        <v>1</v>
      </c>
      <c r="D19" s="45">
        <v>2</v>
      </c>
      <c r="E19" s="45">
        <v>3</v>
      </c>
      <c r="F19" s="45">
        <v>4</v>
      </c>
      <c r="G19" s="45">
        <v>5</v>
      </c>
      <c r="H19" s="46">
        <v>6</v>
      </c>
      <c r="I19" s="3"/>
      <c r="Q19" s="44" t="s">
        <v>64</v>
      </c>
      <c r="R19" s="45">
        <v>0</v>
      </c>
      <c r="S19" s="45">
        <v>1</v>
      </c>
      <c r="T19" s="45">
        <v>2</v>
      </c>
      <c r="U19" s="45">
        <v>3</v>
      </c>
      <c r="V19" s="45">
        <v>4</v>
      </c>
      <c r="W19" s="45">
        <v>5</v>
      </c>
      <c r="X19" s="46">
        <v>6</v>
      </c>
      <c r="Y19" s="65" t="s">
        <v>137</v>
      </c>
    </row>
    <row r="20" spans="1:25" x14ac:dyDescent="0.25">
      <c r="A20" s="47" t="s">
        <v>15</v>
      </c>
      <c r="B20" s="23">
        <f>AVERAGE(B3:B4)</f>
        <v>0</v>
      </c>
      <c r="C20" s="53">
        <f>AVERAGE(C3:C4)</f>
        <v>1.5039018798574602</v>
      </c>
      <c r="D20" s="53">
        <f>AVERAGE(D3:D4)</f>
        <v>4.1032687645218235</v>
      </c>
      <c r="E20" s="53">
        <f t="shared" ref="E20:H20" si="0">AVERAGE(E3:E4)</f>
        <v>5.3287276894360298</v>
      </c>
      <c r="F20" s="53">
        <f t="shared" si="0"/>
        <v>4.8997504301104424</v>
      </c>
      <c r="G20" s="53">
        <f t="shared" si="0"/>
        <v>4.7035878813939149</v>
      </c>
      <c r="H20" s="54">
        <f t="shared" si="0"/>
        <v>5.6300278603334792</v>
      </c>
      <c r="Q20" s="47" t="s">
        <v>15</v>
      </c>
      <c r="R20" s="23">
        <f>AVERAGE(R3:R4)</f>
        <v>0</v>
      </c>
      <c r="S20" s="53">
        <f>AVERAGE(S3:S4)</f>
        <v>2.666412474466745E-2</v>
      </c>
      <c r="T20" s="53">
        <f t="shared" ref="T20:X20" si="1">AVERAGE(T3:T4)</f>
        <v>7.2758326069792573E-2</v>
      </c>
      <c r="U20" s="53">
        <f t="shared" si="1"/>
        <v>9.4480362100866605E-2</v>
      </c>
      <c r="V20" s="53">
        <f t="shared" si="1"/>
        <v>8.6876562548559438E-2</v>
      </c>
      <c r="W20" s="53">
        <f t="shared" si="1"/>
        <v>8.3386490748132036E-2</v>
      </c>
      <c r="X20" s="54">
        <f t="shared" si="1"/>
        <v>9.9820189571472276E-2</v>
      </c>
      <c r="Y20" s="66">
        <f>(X20-$X$26)/$X$26</f>
        <v>0.20199642879690291</v>
      </c>
    </row>
    <row r="21" spans="1:25" x14ac:dyDescent="0.25">
      <c r="A21" s="47" t="s">
        <v>134</v>
      </c>
      <c r="B21" s="23">
        <f>AVERAGE(B5:B6)</f>
        <v>0</v>
      </c>
      <c r="C21" s="53">
        <f>AVERAGE(C5:C6)</f>
        <v>0.86431299625695079</v>
      </c>
      <c r="D21" s="53">
        <f t="shared" ref="D21:H21" si="2">AVERAGE(D5:D6)</f>
        <v>1.7261413053612165</v>
      </c>
      <c r="E21" s="53">
        <f t="shared" si="2"/>
        <v>3.703047302462489</v>
      </c>
      <c r="F21" s="53">
        <f t="shared" si="2"/>
        <v>4.8919582394489556</v>
      </c>
      <c r="G21" s="53">
        <f t="shared" si="2"/>
        <v>4.5352212501585472</v>
      </c>
      <c r="H21" s="54">
        <f t="shared" si="2"/>
        <v>4.8950656409388991</v>
      </c>
      <c r="Q21" s="47" t="s">
        <v>134</v>
      </c>
      <c r="R21" s="23">
        <f>AVERAGE(R5:R6)</f>
        <v>0</v>
      </c>
      <c r="S21" s="53">
        <f>AVERAGE(S5:S6)</f>
        <v>1.5571606540304071E-2</v>
      </c>
      <c r="T21" s="53">
        <f t="shared" ref="T21:X21" si="3">AVERAGE(T5:T6)</f>
        <v>3.1098232841029166E-2</v>
      </c>
      <c r="U21" s="53">
        <f t="shared" si="3"/>
        <v>6.6717899552678719E-2</v>
      </c>
      <c r="V21" s="53">
        <f t="shared" si="3"/>
        <v>8.8134190727354927E-2</v>
      </c>
      <c r="W21" s="53">
        <f t="shared" si="3"/>
        <v>8.1704367542163897E-2</v>
      </c>
      <c r="X21" s="54">
        <f t="shared" si="3"/>
        <v>8.8191031048891172E-2</v>
      </c>
      <c r="Y21" s="66">
        <f>(X21-$X$26)/$X$26</f>
        <v>6.1962563162466143E-2</v>
      </c>
    </row>
    <row r="22" spans="1:25" x14ac:dyDescent="0.25">
      <c r="A22" s="47" t="s">
        <v>16</v>
      </c>
      <c r="B22" s="23">
        <f>AVERAGE(B7:B8)</f>
        <v>0</v>
      </c>
      <c r="C22" s="53">
        <f t="shared" ref="C22:H22" si="4">AVERAGE(C7:C8)</f>
        <v>2.0526603344181504</v>
      </c>
      <c r="D22" s="53">
        <f t="shared" si="4"/>
        <v>5.4222595528356985</v>
      </c>
      <c r="E22" s="53">
        <f t="shared" si="4"/>
        <v>6.895512121649225</v>
      </c>
      <c r="F22" s="53">
        <f t="shared" si="4"/>
        <v>7.2408490339108234</v>
      </c>
      <c r="G22" s="57">
        <f t="shared" si="4"/>
        <v>8.421817485206752</v>
      </c>
      <c r="H22" s="54">
        <f t="shared" si="4"/>
        <v>7.844809630026</v>
      </c>
      <c r="Q22" s="47" t="s">
        <v>16</v>
      </c>
      <c r="R22" s="23">
        <f>AVERAGE(R7:R8)</f>
        <v>0</v>
      </c>
      <c r="S22" s="53">
        <f t="shared" ref="S22:X22" si="5">AVERAGE(S7:S8)</f>
        <v>3.431064309439049E-2</v>
      </c>
      <c r="T22" s="53">
        <f t="shared" si="5"/>
        <v>9.0649888187489508E-2</v>
      </c>
      <c r="U22" s="53">
        <f t="shared" si="5"/>
        <v>0.11529579483575933</v>
      </c>
      <c r="V22" s="53">
        <f t="shared" si="5"/>
        <v>0.12106052566559643</v>
      </c>
      <c r="W22" s="57">
        <f t="shared" si="5"/>
        <v>0.14081227250582562</v>
      </c>
      <c r="X22" s="54">
        <f t="shared" si="5"/>
        <v>0.13116050870802834</v>
      </c>
      <c r="Y22" s="66">
        <f>(W22-$X$26)/$X$26</f>
        <v>0.6956073656981967</v>
      </c>
    </row>
    <row r="23" spans="1:25" x14ac:dyDescent="0.25">
      <c r="A23" s="47" t="s">
        <v>135</v>
      </c>
      <c r="B23" s="23">
        <f>AVERAGE(B9:B10)</f>
        <v>0</v>
      </c>
      <c r="C23" s="53">
        <f t="shared" ref="C23:H23" si="6">AVERAGE(C9:C10)</f>
        <v>0.9484597631471674</v>
      </c>
      <c r="D23" s="53">
        <f t="shared" si="6"/>
        <v>2.6775033371926042</v>
      </c>
      <c r="E23" s="53">
        <f t="shared" si="6"/>
        <v>5.8538940319948978</v>
      </c>
      <c r="F23" s="53">
        <f t="shared" si="6"/>
        <v>5.8020787242797116</v>
      </c>
      <c r="G23" s="53">
        <f t="shared" si="6"/>
        <v>6.5382306767604623</v>
      </c>
      <c r="H23" s="54">
        <f t="shared" si="6"/>
        <v>7.0354662081384136</v>
      </c>
      <c r="Q23" s="47" t="s">
        <v>135</v>
      </c>
      <c r="R23" s="23">
        <f>AVERAGE(R9:R10)</f>
        <v>0</v>
      </c>
      <c r="S23" s="53">
        <f>AVERAGE(S9:S10)</f>
        <v>1.7099816895880474E-2</v>
      </c>
      <c r="T23" s="53">
        <f t="shared" ref="T23:X23" si="7">AVERAGE(T9:T10)</f>
        <v>4.8276959700906751E-2</v>
      </c>
      <c r="U23" s="53">
        <f t="shared" si="7"/>
        <v>0.1055291581768221</v>
      </c>
      <c r="V23" s="53">
        <f t="shared" si="7"/>
        <v>0.10460166102937708</v>
      </c>
      <c r="W23" s="53">
        <f t="shared" si="7"/>
        <v>0.11787369791152402</v>
      </c>
      <c r="X23" s="54">
        <f t="shared" si="7"/>
        <v>0.12684054851943893</v>
      </c>
      <c r="Y23" s="66">
        <f t="shared" ref="Y23:Y26" si="8">(X23-$X$26)/$X$26</f>
        <v>0.52736522542708275</v>
      </c>
    </row>
    <row r="24" spans="1:25" x14ac:dyDescent="0.25">
      <c r="A24" s="47" t="s">
        <v>17</v>
      </c>
      <c r="B24" s="23">
        <f>AVERAGE(B11:B12)</f>
        <v>0</v>
      </c>
      <c r="C24" s="53">
        <f t="shared" ref="C24:H24" si="9">AVERAGE(C11:C12)</f>
        <v>4.91990274373814</v>
      </c>
      <c r="D24" s="53">
        <f t="shared" si="9"/>
        <v>6.4354208523980017</v>
      </c>
      <c r="E24" s="53">
        <f t="shared" si="9"/>
        <v>7.2590090868745776</v>
      </c>
      <c r="F24" s="53">
        <f t="shared" si="9"/>
        <v>7.710100279925836</v>
      </c>
      <c r="G24" s="53">
        <f t="shared" si="9"/>
        <v>7.967980573985102</v>
      </c>
      <c r="H24" s="58">
        <f t="shared" si="9"/>
        <v>9.1414129764329921</v>
      </c>
      <c r="Q24" s="47" t="s">
        <v>17</v>
      </c>
      <c r="R24" s="23">
        <f>AVERAGE(R11:R12)</f>
        <v>0</v>
      </c>
      <c r="S24" s="53">
        <f t="shared" ref="S24:X24" si="10">AVERAGE(S11:S12)</f>
        <v>7.4924299016494833E-2</v>
      </c>
      <c r="T24" s="53">
        <f t="shared" si="10"/>
        <v>9.800377890881927E-2</v>
      </c>
      <c r="U24" s="53">
        <f t="shared" si="10"/>
        <v>0.11054611709195539</v>
      </c>
      <c r="V24" s="53">
        <f t="shared" si="10"/>
        <v>0.11741570648248187</v>
      </c>
      <c r="W24" s="53">
        <f t="shared" si="10"/>
        <v>0.12134289151692695</v>
      </c>
      <c r="X24" s="58">
        <f t="shared" si="10"/>
        <v>0.13921280585131596</v>
      </c>
      <c r="Y24" s="66">
        <f t="shared" si="8"/>
        <v>0.6763472018480392</v>
      </c>
    </row>
    <row r="25" spans="1:25" x14ac:dyDescent="0.25">
      <c r="A25" s="47" t="s">
        <v>136</v>
      </c>
      <c r="B25" s="23">
        <f>AVERAGE(B13:B14)</f>
        <v>0</v>
      </c>
      <c r="C25" s="53">
        <f t="shared" ref="C25:H25" si="11">AVERAGE(C13:C14)</f>
        <v>0.97419123382175155</v>
      </c>
      <c r="D25" s="53">
        <f t="shared" si="11"/>
        <v>1.8906954853431763</v>
      </c>
      <c r="E25" s="53">
        <f t="shared" si="11"/>
        <v>4.6842288884000807</v>
      </c>
      <c r="F25" s="53">
        <f t="shared" si="11"/>
        <v>6.2265721792590458</v>
      </c>
      <c r="G25" s="53">
        <f t="shared" si="11"/>
        <v>6.314340768760438</v>
      </c>
      <c r="H25" s="54">
        <f t="shared" si="11"/>
        <v>7.92048926302824</v>
      </c>
      <c r="Q25" s="47" t="s">
        <v>136</v>
      </c>
      <c r="R25" s="23">
        <f>AVERAGE(R13:R14)</f>
        <v>0</v>
      </c>
      <c r="S25" s="53">
        <f t="shared" ref="S25:X25" si="12">AVERAGE(S13:S14)</f>
        <v>1.7563121492392263E-2</v>
      </c>
      <c r="T25" s="53">
        <f t="shared" si="12"/>
        <v>6.3841107202810402E-2</v>
      </c>
      <c r="U25" s="53">
        <f t="shared" si="12"/>
        <v>8.4455718954360687E-2</v>
      </c>
      <c r="V25" s="53">
        <f t="shared" si="12"/>
        <v>0.11224858641463223</v>
      </c>
      <c r="W25" s="53">
        <f t="shared" si="12"/>
        <v>0.1138259086652376</v>
      </c>
      <c r="X25" s="54">
        <f t="shared" si="12"/>
        <v>0.14278304673553749</v>
      </c>
      <c r="Y25" s="66">
        <f t="shared" si="8"/>
        <v>0.71933867292420139</v>
      </c>
    </row>
    <row r="26" spans="1:25" ht="15.75" thickBot="1" x14ac:dyDescent="0.3">
      <c r="A26" s="50" t="s">
        <v>67</v>
      </c>
      <c r="B26" s="41">
        <f>AVERAGE(B15:B16)</f>
        <v>0</v>
      </c>
      <c r="C26" s="55">
        <f t="shared" ref="C26:H26" si="13">AVERAGE(C15:C16)</f>
        <v>0.68054929938705655</v>
      </c>
      <c r="D26" s="55">
        <f t="shared" si="13"/>
        <v>1.6053657964561392</v>
      </c>
      <c r="E26" s="55">
        <f t="shared" si="13"/>
        <v>2.7201935122569587</v>
      </c>
      <c r="F26" s="55">
        <f t="shared" si="13"/>
        <v>3.7521802442527958</v>
      </c>
      <c r="G26" s="59">
        <f t="shared" si="13"/>
        <v>3.7884724149517219</v>
      </c>
      <c r="H26" s="60">
        <f t="shared" si="13"/>
        <v>4.608273073186413</v>
      </c>
      <c r="Q26" s="50" t="s">
        <v>67</v>
      </c>
      <c r="R26" s="41">
        <f>AVERAGE(R15:R16)</f>
        <v>0</v>
      </c>
      <c r="S26" s="55">
        <f t="shared" ref="S26:X26" si="14">AVERAGE(S15:S16)</f>
        <v>1.2264036023277259E-2</v>
      </c>
      <c r="T26" s="55">
        <f t="shared" si="14"/>
        <v>2.8929778451131219E-2</v>
      </c>
      <c r="U26" s="55">
        <f t="shared" si="14"/>
        <v>4.9019417668857458E-2</v>
      </c>
      <c r="V26" s="55">
        <f t="shared" si="14"/>
        <v>6.7616959192563747E-2</v>
      </c>
      <c r="W26" s="55">
        <f t="shared" si="14"/>
        <v>6.8272407228499907E-2</v>
      </c>
      <c r="X26" s="56">
        <f t="shared" si="14"/>
        <v>8.3045329570058599E-2</v>
      </c>
      <c r="Y26" s="67">
        <f t="shared" si="8"/>
        <v>0</v>
      </c>
    </row>
    <row r="28" spans="1:25" ht="15.75" thickBot="1" x14ac:dyDescent="0.3">
      <c r="A28" s="3" t="s">
        <v>140</v>
      </c>
      <c r="Q28" s="3" t="s">
        <v>140</v>
      </c>
    </row>
    <row r="29" spans="1:25" x14ac:dyDescent="0.25">
      <c r="A29" s="44" t="s">
        <v>64</v>
      </c>
      <c r="B29" s="45">
        <v>0</v>
      </c>
      <c r="C29" s="45">
        <v>1</v>
      </c>
      <c r="D29" s="45">
        <v>2</v>
      </c>
      <c r="E29" s="45">
        <v>3</v>
      </c>
      <c r="F29" s="45">
        <v>4</v>
      </c>
      <c r="G29" s="45">
        <v>5</v>
      </c>
      <c r="H29" s="46">
        <v>6</v>
      </c>
      <c r="I29" s="3"/>
      <c r="Q29" s="44" t="s">
        <v>64</v>
      </c>
      <c r="R29" s="45">
        <v>0</v>
      </c>
      <c r="S29" s="45">
        <v>1</v>
      </c>
      <c r="T29" s="45">
        <v>2</v>
      </c>
      <c r="U29" s="45">
        <v>3</v>
      </c>
      <c r="V29" s="45">
        <v>4</v>
      </c>
      <c r="W29" s="45">
        <v>5</v>
      </c>
      <c r="X29" s="46">
        <v>6</v>
      </c>
      <c r="Y29" s="3"/>
    </row>
    <row r="30" spans="1:25" x14ac:dyDescent="0.25">
      <c r="A30" s="47" t="s">
        <v>15</v>
      </c>
      <c r="B30" s="23">
        <f>_xlfn.STDEV.P(B3:B4)</f>
        <v>0</v>
      </c>
      <c r="C30" s="53">
        <f>_xlfn.STDEV.P(C3:C4)</f>
        <v>2.4710494997555954E-2</v>
      </c>
      <c r="D30" s="53">
        <f t="shared" ref="D30:H30" si="15">_xlfn.STDEV.P(D3:D4)</f>
        <v>0.92481500415944862</v>
      </c>
      <c r="E30" s="53">
        <f t="shared" si="15"/>
        <v>0.20488617213100113</v>
      </c>
      <c r="F30" s="53">
        <f t="shared" si="15"/>
        <v>0.46932778563650945</v>
      </c>
      <c r="G30" s="53">
        <f t="shared" si="15"/>
        <v>1.125710844436177</v>
      </c>
      <c r="H30" s="54">
        <f t="shared" si="15"/>
        <v>9.2018869862657837E-2</v>
      </c>
      <c r="Q30" s="47" t="s">
        <v>15</v>
      </c>
      <c r="R30" s="23">
        <f>_xlfn.STDEV.P(R3:R4)</f>
        <v>0</v>
      </c>
      <c r="S30" s="23">
        <f t="shared" ref="S30:X30" si="16">_xlfn.STDEV.P(S3:S4)</f>
        <v>4.2671755920482835E-4</v>
      </c>
      <c r="T30" s="23">
        <f t="shared" si="16"/>
        <v>1.642815956810257E-2</v>
      </c>
      <c r="U30" s="23">
        <f t="shared" si="16"/>
        <v>3.6730489986749673E-3</v>
      </c>
      <c r="V30" s="23">
        <f t="shared" si="16"/>
        <v>8.3583697252598219E-3</v>
      </c>
      <c r="W30" s="23">
        <f t="shared" si="16"/>
        <v>1.9923292112028909E-2</v>
      </c>
      <c r="X30" s="61">
        <f t="shared" si="16"/>
        <v>1.5888191301838273E-3</v>
      </c>
    </row>
    <row r="31" spans="1:25" x14ac:dyDescent="0.25">
      <c r="A31" s="47" t="s">
        <v>134</v>
      </c>
      <c r="B31" s="23">
        <f>_xlfn.STDEV.P(B5:B6)</f>
        <v>0</v>
      </c>
      <c r="C31" s="53">
        <f t="shared" ref="C31:H31" si="17">_xlfn.STDEV.P(C5:C6)</f>
        <v>2.8587366551830362E-2</v>
      </c>
      <c r="D31" s="53">
        <f t="shared" si="17"/>
        <v>9.9229244974745945E-2</v>
      </c>
      <c r="E31" s="53">
        <f t="shared" si="17"/>
        <v>0.4995245577729569</v>
      </c>
      <c r="F31" s="53">
        <f t="shared" si="17"/>
        <v>0.18947937641938628</v>
      </c>
      <c r="G31" s="53">
        <f t="shared" si="17"/>
        <v>0.72275704302217358</v>
      </c>
      <c r="H31" s="54">
        <f t="shared" si="17"/>
        <v>2.2198092585228313E-2</v>
      </c>
      <c r="Q31" s="47" t="s">
        <v>134</v>
      </c>
      <c r="R31" s="23">
        <f>_xlfn.STDEV.P(R5:R6)</f>
        <v>0</v>
      </c>
      <c r="S31" s="23">
        <f t="shared" ref="S31:X31" si="18">_xlfn.STDEV.P(S5:S6)</f>
        <v>5.1061505900322057E-4</v>
      </c>
      <c r="T31" s="23">
        <f t="shared" si="18"/>
        <v>1.7789110308892558E-3</v>
      </c>
      <c r="U31" s="23">
        <f t="shared" si="18"/>
        <v>9.0185583670022301E-3</v>
      </c>
      <c r="V31" s="23">
        <f>_xlfn.STDEV.P(V5:V6)</f>
        <v>3.3886814600666074E-3</v>
      </c>
      <c r="W31" s="23">
        <f t="shared" si="18"/>
        <v>1.299821697609191E-2</v>
      </c>
      <c r="X31" s="61">
        <f t="shared" si="18"/>
        <v>3.7486982722662732E-4</v>
      </c>
    </row>
    <row r="32" spans="1:25" x14ac:dyDescent="0.25">
      <c r="A32" s="47" t="s">
        <v>16</v>
      </c>
      <c r="B32" s="23">
        <f>_xlfn.STDEV.P(B7:B8)</f>
        <v>0</v>
      </c>
      <c r="C32" s="53">
        <f t="shared" ref="C32:H32" si="19">_xlfn.STDEV.P(C7:C8)</f>
        <v>0.4096176963317732</v>
      </c>
      <c r="D32" s="53">
        <f t="shared" si="19"/>
        <v>0.52449620637012284</v>
      </c>
      <c r="E32" s="53">
        <f t="shared" si="19"/>
        <v>0.10149054298886551</v>
      </c>
      <c r="F32" s="53">
        <f t="shared" si="19"/>
        <v>0.44205254324271825</v>
      </c>
      <c r="G32" s="53">
        <f t="shared" si="19"/>
        <v>0.2651529237938135</v>
      </c>
      <c r="H32" s="54">
        <f t="shared" si="19"/>
        <v>0.39716768538208758</v>
      </c>
      <c r="Q32" s="47" t="s">
        <v>16</v>
      </c>
      <c r="R32" s="23">
        <f>_xlfn.STDEV.P(R7:R8)</f>
        <v>0</v>
      </c>
      <c r="S32" s="23">
        <f t="shared" ref="S32:X32" si="20">_xlfn.STDEV.P(S7:S8)</f>
        <v>6.7913607515575338E-3</v>
      </c>
      <c r="T32" s="23">
        <f t="shared" si="20"/>
        <v>8.6173655642521121E-3</v>
      </c>
      <c r="U32" s="23">
        <f t="shared" si="20"/>
        <v>1.5028878639654561E-3</v>
      </c>
      <c r="V32" s="23">
        <f t="shared" si="20"/>
        <v>7.1876438053502661E-3</v>
      </c>
      <c r="W32" s="23">
        <f t="shared" si="20"/>
        <v>4.1964903964013672E-3</v>
      </c>
      <c r="X32" s="61">
        <f t="shared" si="20"/>
        <v>6.4201296624260204E-3</v>
      </c>
    </row>
    <row r="33" spans="1:25" x14ac:dyDescent="0.25">
      <c r="A33" s="47" t="s">
        <v>135</v>
      </c>
      <c r="B33" s="23">
        <f>_xlfn.STDEV.P(B9:B10)</f>
        <v>0</v>
      </c>
      <c r="C33" s="53">
        <f t="shared" ref="C33:G33" si="21">_xlfn.STDEV.P(C9:C10)</f>
        <v>5.8004089587891494E-2</v>
      </c>
      <c r="D33" s="53">
        <f t="shared" si="21"/>
        <v>0.34259322352165883</v>
      </c>
      <c r="E33" s="53">
        <f t="shared" si="21"/>
        <v>0.11243616025066805</v>
      </c>
      <c r="F33" s="53">
        <f t="shared" si="21"/>
        <v>0.17234168912982772</v>
      </c>
      <c r="G33" s="53">
        <f t="shared" si="21"/>
        <v>0.21415296532123662</v>
      </c>
      <c r="H33" s="54">
        <f>_xlfn.STDEV.P(H9:H10)</f>
        <v>0.33816435064327166</v>
      </c>
      <c r="Q33" s="47" t="s">
        <v>135</v>
      </c>
      <c r="R33" s="23">
        <f>_xlfn.STDEV.P(R9:R10)</f>
        <v>0</v>
      </c>
      <c r="S33" s="23">
        <f t="shared" ref="S33:W33" si="22">_xlfn.STDEV.P(S9:S10)</f>
        <v>1.0676885210698407E-3</v>
      </c>
      <c r="T33" s="23">
        <f t="shared" si="22"/>
        <v>6.2382824286411204E-3</v>
      </c>
      <c r="U33" s="23">
        <f t="shared" si="22"/>
        <v>1.8910923857367382E-3</v>
      </c>
      <c r="V33" s="23">
        <f t="shared" si="22"/>
        <v>3.2415714213450408E-3</v>
      </c>
      <c r="W33" s="23">
        <f t="shared" si="22"/>
        <v>4.0124146015883475E-3</v>
      </c>
      <c r="X33" s="61">
        <f>_xlfn.STDEV.P(X9:X10)</f>
        <v>6.2595849381312657E-3</v>
      </c>
    </row>
    <row r="34" spans="1:25" x14ac:dyDescent="0.25">
      <c r="A34" s="47" t="s">
        <v>17</v>
      </c>
      <c r="B34" s="23">
        <f>_xlfn.STDEV.P(B11:B12)</f>
        <v>0</v>
      </c>
      <c r="C34" s="53">
        <f t="shared" ref="C34:H34" si="23">_xlfn.STDEV.P(C11:C12)</f>
        <v>0.22986858528924392</v>
      </c>
      <c r="D34" s="53">
        <f t="shared" si="23"/>
        <v>0.15831148410208984</v>
      </c>
      <c r="E34" s="53">
        <f t="shared" si="23"/>
        <v>0.32956725339569548</v>
      </c>
      <c r="F34" s="53">
        <f t="shared" si="23"/>
        <v>0.3592400593832949</v>
      </c>
      <c r="G34" s="53">
        <f t="shared" si="23"/>
        <v>0.31534421990257222</v>
      </c>
      <c r="H34" s="54">
        <f t="shared" si="23"/>
        <v>0.2175600726153073</v>
      </c>
      <c r="Q34" s="47" t="s">
        <v>17</v>
      </c>
      <c r="R34" s="23">
        <f>_xlfn.STDEV.P(R11:R12)</f>
        <v>0</v>
      </c>
      <c r="S34" s="23">
        <f t="shared" ref="S34:X34" si="24">_xlfn.STDEV.P(S11:S12)</f>
        <v>3.502978051776344E-3</v>
      </c>
      <c r="T34" s="23">
        <f t="shared" si="24"/>
        <v>2.4139755560920184E-3</v>
      </c>
      <c r="U34" s="23">
        <f t="shared" si="24"/>
        <v>5.0223889963543142E-3</v>
      </c>
      <c r="V34" s="23">
        <f t="shared" si="24"/>
        <v>5.4744861328666419E-3</v>
      </c>
      <c r="W34" s="23">
        <f t="shared" si="24"/>
        <v>4.8061289249969052E-3</v>
      </c>
      <c r="X34" s="61">
        <f t="shared" si="24"/>
        <v>3.3175562746507042E-3</v>
      </c>
    </row>
    <row r="35" spans="1:25" x14ac:dyDescent="0.25">
      <c r="A35" s="47" t="s">
        <v>136</v>
      </c>
      <c r="B35" s="23">
        <f>_xlfn.STDEV.P(B13:B14)</f>
        <v>0</v>
      </c>
      <c r="C35" s="53">
        <f t="shared" ref="C35:H35" si="25">_xlfn.STDEV.P(C13:C14)</f>
        <v>0.10618706873896291</v>
      </c>
      <c r="D35" s="53">
        <f t="shared" si="25"/>
        <v>1.6527470257319623</v>
      </c>
      <c r="E35" s="53">
        <f t="shared" si="25"/>
        <v>1.1262874882855149</v>
      </c>
      <c r="F35" s="53">
        <f t="shared" si="25"/>
        <v>5.1845021583229123E-2</v>
      </c>
      <c r="G35" s="53">
        <f t="shared" si="25"/>
        <v>0.41220569240729477</v>
      </c>
      <c r="H35" s="54">
        <f t="shared" si="25"/>
        <v>0.15857667966562072</v>
      </c>
      <c r="Q35" s="47" t="s">
        <v>136</v>
      </c>
      <c r="R35" s="23">
        <f>_xlfn.STDEV.P(R13:R14)</f>
        <v>0</v>
      </c>
      <c r="S35" s="23">
        <f t="shared" ref="S35:X35" si="26">_xlfn.STDEV.P(S13:S14)</f>
        <v>1.9245590542160927E-3</v>
      </c>
      <c r="T35" s="23">
        <f t="shared" si="26"/>
        <v>0</v>
      </c>
      <c r="U35" s="23">
        <f t="shared" si="26"/>
        <v>2.035338975441205E-2</v>
      </c>
      <c r="V35" s="23">
        <f t="shared" si="26"/>
        <v>1.0004379857532567E-3</v>
      </c>
      <c r="W35" s="23">
        <f t="shared" si="26"/>
        <v>7.3641973940245242E-3</v>
      </c>
      <c r="X35" s="61">
        <f t="shared" si="26"/>
        <v>2.7749842848664853E-3</v>
      </c>
    </row>
    <row r="36" spans="1:25" ht="15.75" thickBot="1" x14ac:dyDescent="0.3">
      <c r="A36" s="50" t="s">
        <v>67</v>
      </c>
      <c r="B36" s="41">
        <f>_xlfn.STDEV.P(B15:B16)</f>
        <v>0</v>
      </c>
      <c r="C36" s="55">
        <f t="shared" ref="C36:H36" si="27">_xlfn.STDEV.P(C15:C16)</f>
        <v>1.3033016938497344E-2</v>
      </c>
      <c r="D36" s="55">
        <f t="shared" si="27"/>
        <v>0.11485468543520527</v>
      </c>
      <c r="E36" s="55">
        <f t="shared" si="27"/>
        <v>0.33872892308862246</v>
      </c>
      <c r="F36" s="55">
        <f t="shared" si="27"/>
        <v>0.20770985480996895</v>
      </c>
      <c r="G36" s="55">
        <f t="shared" si="27"/>
        <v>0.45644299632633145</v>
      </c>
      <c r="H36" s="56">
        <f t="shared" si="27"/>
        <v>0.19362147860605994</v>
      </c>
      <c r="Q36" s="50" t="s">
        <v>67</v>
      </c>
      <c r="R36" s="41">
        <f>_xlfn.STDEV.P(R15:R16)</f>
        <v>0</v>
      </c>
      <c r="S36" s="41">
        <f t="shared" ref="S36:X36" si="28">_xlfn.STDEV.P(S15:S16)</f>
        <v>2.3339747498862112E-4</v>
      </c>
      <c r="T36" s="41">
        <f t="shared" si="28"/>
        <v>2.0663132437744921E-3</v>
      </c>
      <c r="U36" s="41">
        <f t="shared" si="28"/>
        <v>6.0983078155695813E-3</v>
      </c>
      <c r="V36" s="41">
        <f t="shared" si="28"/>
        <v>3.735008711775796E-3</v>
      </c>
      <c r="W36" s="41">
        <f t="shared" si="28"/>
        <v>8.2336561049916081E-3</v>
      </c>
      <c r="X36" s="62">
        <f t="shared" si="28"/>
        <v>3.4991626297457418E-3</v>
      </c>
    </row>
    <row r="37" spans="1:25" ht="15.75" thickBot="1" x14ac:dyDescent="0.3"/>
    <row r="38" spans="1:25" x14ac:dyDescent="0.25">
      <c r="A38" s="44" t="s">
        <v>138</v>
      </c>
      <c r="B38" s="45" t="s">
        <v>46</v>
      </c>
      <c r="C38" s="45" t="s">
        <v>49</v>
      </c>
      <c r="D38" s="45" t="s">
        <v>50</v>
      </c>
      <c r="E38" s="45" t="s">
        <v>51</v>
      </c>
      <c r="F38" s="45" t="s">
        <v>52</v>
      </c>
      <c r="G38" s="45" t="s">
        <v>53</v>
      </c>
      <c r="H38" s="45" t="s">
        <v>54</v>
      </c>
      <c r="I38" s="45" t="s">
        <v>55</v>
      </c>
      <c r="J38" s="45" t="s">
        <v>56</v>
      </c>
      <c r="K38" s="45" t="s">
        <v>57</v>
      </c>
      <c r="L38" s="45" t="s">
        <v>58</v>
      </c>
      <c r="M38" s="45" t="s">
        <v>59</v>
      </c>
      <c r="N38" s="45" t="s">
        <v>60</v>
      </c>
      <c r="O38" s="46" t="s">
        <v>61</v>
      </c>
    </row>
    <row r="39" spans="1:25" x14ac:dyDescent="0.25">
      <c r="A39" s="47" t="s">
        <v>32</v>
      </c>
      <c r="B39" s="63">
        <f>'VFA day 6'!D16/1000</f>
        <v>2.2306342188907418</v>
      </c>
      <c r="C39" s="63">
        <f>'VFA day 6'!I16/1000</f>
        <v>1.9760501882008736</v>
      </c>
      <c r="D39" s="53">
        <f>'VFA day 6'!N16/1000</f>
        <v>1.781305683695666</v>
      </c>
      <c r="E39" s="53">
        <f>'VFA day 6'!S16/1000</f>
        <v>2.4641802766264953</v>
      </c>
      <c r="F39" s="53">
        <f>'VFA day 6'!D28/1000</f>
        <v>3.3995105450067</v>
      </c>
      <c r="G39" s="53">
        <f>'VFA day 6'!I28/1000</f>
        <v>3.8613636321939144</v>
      </c>
      <c r="H39" s="53">
        <f>'VFA day 6'!N28/1000</f>
        <v>3.8778174553992724</v>
      </c>
      <c r="I39" s="53">
        <f>'VFA day 6'!S28/1000</f>
        <v>3.5399001310623666</v>
      </c>
      <c r="J39" s="53">
        <f>'VFA day 6'!D40/1000</f>
        <v>5.3451546740860527</v>
      </c>
      <c r="K39" s="53">
        <f>'VFA day 6'!I40/1000</f>
        <v>5.4866084377619666</v>
      </c>
      <c r="L39" s="53">
        <f>'VFA day 6'!N40/1000</f>
        <v>3.7349720748353428</v>
      </c>
      <c r="M39" s="53">
        <f>'VFA day 6'!S40/1000</f>
        <v>4.1847917689320715</v>
      </c>
      <c r="N39" s="53">
        <f>'VFA day 6'!D52/1000</f>
        <v>1.7826154407667392</v>
      </c>
      <c r="O39" s="54">
        <f>'VFA day 6'!I52/1000</f>
        <v>1.772219244015095</v>
      </c>
    </row>
    <row r="40" spans="1:25" x14ac:dyDescent="0.25">
      <c r="A40" s="47" t="s">
        <v>33</v>
      </c>
      <c r="B40" s="63">
        <f>'VFA day 6'!D17/1000</f>
        <v>2.4191793798189489</v>
      </c>
      <c r="C40" s="63">
        <f>'VFA day 6'!I17/1000</f>
        <v>1.5336996695577321</v>
      </c>
      <c r="D40" s="53">
        <f>'VFA day 6'!N17/1000</f>
        <v>0.68857762475472106</v>
      </c>
      <c r="E40" s="53">
        <f>'VFA day 6'!S17/1000</f>
        <v>0.59124144169116388</v>
      </c>
      <c r="F40" s="53">
        <f>'VFA day 6'!D29/1000</f>
        <v>2.6572082807519197</v>
      </c>
      <c r="G40" s="53">
        <f>'VFA day 6'!I29/1000</f>
        <v>3.0602766523936995</v>
      </c>
      <c r="H40" s="53">
        <f>'VFA day 6'!N29/1000</f>
        <v>2.1277807701566132</v>
      </c>
      <c r="I40" s="53">
        <f>'VFA day 6'!S29/1000</f>
        <v>1.9738726958399282</v>
      </c>
      <c r="J40" s="53">
        <f>'VFA day 6'!D41/1000</f>
        <v>2.3949342835676086</v>
      </c>
      <c r="K40" s="53">
        <f>'VFA day 6'!I41/1000</f>
        <v>2.6950245315087269</v>
      </c>
      <c r="L40" s="53">
        <f>'VFA day 6'!N41/1000</f>
        <v>2.4543525592863022</v>
      </c>
      <c r="M40" s="53">
        <f>'VFA day 6'!S41/1000</f>
        <v>2.7602372327466087</v>
      </c>
      <c r="N40" s="53">
        <f>'VFA day 6'!D53/1000</f>
        <v>0.38025319318107198</v>
      </c>
      <c r="O40" s="54">
        <f>'VFA day 6'!I53/1000</f>
        <v>0.46478064614958153</v>
      </c>
    </row>
    <row r="41" spans="1:25" x14ac:dyDescent="0.25">
      <c r="A41" s="47" t="s">
        <v>34</v>
      </c>
      <c r="B41" s="63">
        <f>'VFA day 6'!D18/1000</f>
        <v>2.1095276912886315E-2</v>
      </c>
      <c r="C41" s="63">
        <f>'VFA day 6'!I18/1000</f>
        <v>2.6511530388762396E-2</v>
      </c>
      <c r="D41" s="53">
        <f>'VFA day 6'!N18/1000</f>
        <v>2.175046886561326E-2</v>
      </c>
      <c r="E41" s="53">
        <f>'VFA day 6'!S18/1000</f>
        <v>1.9129701054705479E-2</v>
      </c>
      <c r="F41" s="53">
        <f>'VFA day 6'!D30/1000</f>
        <v>9.0720341756003006E-2</v>
      </c>
      <c r="G41" s="53">
        <f>'VFA day 6'!I30/1000</f>
        <v>0.10945883160399363</v>
      </c>
      <c r="H41" s="53">
        <f>'VFA day 6'!N30/1000</f>
        <v>0.10574607720520761</v>
      </c>
      <c r="I41" s="53">
        <f>'VFA day 6'!S30/1000</f>
        <v>8.665815164909596E-2</v>
      </c>
      <c r="J41" s="53">
        <f>'VFA day 6'!D42/1000</f>
        <v>0.14326673636470399</v>
      </c>
      <c r="K41" s="53">
        <f>'VFA day 6'!I42/1000</f>
        <v>0.14269890333900731</v>
      </c>
      <c r="L41" s="53">
        <f>'VFA day 6'!N42/1000</f>
        <v>8.1809731198916547E-2</v>
      </c>
      <c r="M41" s="53">
        <f>'VFA day 6'!S42/1000</f>
        <v>8.9540996241094503E-2</v>
      </c>
      <c r="N41" s="53">
        <f>'VFA day 6'!D54/1000</f>
        <v>1.2097307428769603E-2</v>
      </c>
      <c r="O41" s="54">
        <f>'VFA day 6'!I54/1000</f>
        <v>1.7600919831675943E-2</v>
      </c>
    </row>
    <row r="42" spans="1:25" x14ac:dyDescent="0.25">
      <c r="A42" s="47" t="s">
        <v>35</v>
      </c>
      <c r="B42" s="63">
        <f>'VFA day 6'!D19/1000</f>
        <v>0.73874255748752726</v>
      </c>
      <c r="C42" s="63">
        <f>'VFA day 6'!I19/1000</f>
        <v>2.0529405450208889</v>
      </c>
      <c r="D42" s="53">
        <f>'VFA day 6'!N19/1000</f>
        <v>2.3156066093919407</v>
      </c>
      <c r="E42" s="53">
        <f>'VFA day 6'!S19/1000</f>
        <v>1.1947797500284389</v>
      </c>
      <c r="F42" s="53">
        <f>'VFA day 6'!D31/1000</f>
        <v>1.0663257903202534</v>
      </c>
      <c r="G42" s="53">
        <f>'VFA day 6'!I31/1000</f>
        <v>0.9555406589661567</v>
      </c>
      <c r="H42" s="53">
        <f>'VFA day 6'!N31/1000</f>
        <v>0.49512569868572737</v>
      </c>
      <c r="I42" s="53">
        <f>'VFA day 6'!S31/1000</f>
        <v>0.44728576834307182</v>
      </c>
      <c r="J42" s="53">
        <f>'VFA day 6'!D43/1000</f>
        <v>0.69819890671073426</v>
      </c>
      <c r="K42" s="53">
        <f>'VFA day 6'!I43/1000</f>
        <v>0.70754603242483927</v>
      </c>
      <c r="L42" s="53">
        <f>'VFA day 6'!N43/1000</f>
        <v>1.0948010003016198</v>
      </c>
      <c r="M42" s="53">
        <f>'VFA day 6'!S43/1000</f>
        <v>0.66073152515630496</v>
      </c>
      <c r="N42" s="53">
        <f>'VFA day 6'!D55/1000</f>
        <v>2.5798108083741744</v>
      </c>
      <c r="O42" s="54">
        <f>'VFA day 6'!I55/1000</f>
        <v>2.0760125641886167</v>
      </c>
    </row>
    <row r="43" spans="1:25" x14ac:dyDescent="0.25">
      <c r="A43" s="47" t="s">
        <v>36</v>
      </c>
      <c r="B43" s="63">
        <f>'VFA day 6'!D20/1000</f>
        <v>5.6088835305225737E-2</v>
      </c>
      <c r="C43" s="63">
        <f>'VFA day 6'!I20/1000</f>
        <v>5.3814908307927407E-2</v>
      </c>
      <c r="D43" s="53">
        <f>'VFA day 6'!N20/1000</f>
        <v>4.0247143890714057E-2</v>
      </c>
      <c r="E43" s="53">
        <f>'VFA day 6'!S20/1000</f>
        <v>4.100511955648016E-2</v>
      </c>
      <c r="F43" s="53">
        <f>'VFA day 6'!D32/1000</f>
        <v>0.16671538372378936</v>
      </c>
      <c r="G43" s="53">
        <f>'VFA day 6'!I32/1000</f>
        <v>0.19900514708542563</v>
      </c>
      <c r="H43" s="53">
        <f>'VFA day 6'!N32/1000</f>
        <v>0.21397516648430628</v>
      </c>
      <c r="I43" s="53">
        <f>'VFA day 6'!S32/1000</f>
        <v>0.16800394235559174</v>
      </c>
      <c r="J43" s="53">
        <f>'VFA day 6'!D44/1000</f>
        <v>0.30038439238164272</v>
      </c>
      <c r="K43" s="53">
        <f>'VFA day 6'!I44/1000</f>
        <v>0.29515436028785652</v>
      </c>
      <c r="L43" s="53">
        <f>'VFA day 6'!N44/1000</f>
        <v>0.15409508888878365</v>
      </c>
      <c r="M43" s="53">
        <f>'VFA day 6'!S44/1000</f>
        <v>0.16861032288820463</v>
      </c>
      <c r="N43" s="53">
        <f>'VFA day 6'!D56/1000</f>
        <v>2.637618920719426E-2</v>
      </c>
      <c r="O43" s="54">
        <f>'VFA day 6'!I56/1000</f>
        <v>3.4410731264315014E-2</v>
      </c>
      <c r="S43" s="3"/>
      <c r="T43" s="3"/>
      <c r="U43" s="3"/>
      <c r="V43" s="3"/>
      <c r="W43" s="3"/>
      <c r="X43" s="3"/>
      <c r="Y43" s="3"/>
    </row>
    <row r="44" spans="1:25" x14ac:dyDescent="0.25">
      <c r="A44" s="47" t="s">
        <v>37</v>
      </c>
      <c r="B44" s="63">
        <f>'VFA day 6'!D21/1000</f>
        <v>5.192023088803658E-2</v>
      </c>
      <c r="C44" s="63">
        <f>'VFA day 6'!I21/1000</f>
        <v>4.8031374208263845E-2</v>
      </c>
      <c r="D44" s="53">
        <f>'VFA day 6'!N21/1000</f>
        <v>3.6043705910982778E-2</v>
      </c>
      <c r="E44" s="53">
        <f>'VFA day 6'!S21/1000</f>
        <v>0.49029070817581188</v>
      </c>
      <c r="F44" s="53">
        <f>'VFA day 6'!D33/1000</f>
        <v>4.9886608587604971E-2</v>
      </c>
      <c r="G44" s="53">
        <f>'VFA day 6'!I33/1000</f>
        <v>3.9682819501228823E-2</v>
      </c>
      <c r="H44" s="53">
        <f>'VFA day 6'!N33/1000</f>
        <v>0.4730227574142522</v>
      </c>
      <c r="I44" s="53">
        <f>'VFA day 6'!S33/1000</f>
        <v>0.40377256644692322</v>
      </c>
      <c r="J44" s="53">
        <f>'VFA day 6'!D45/1000</f>
        <v>2.8051927046128734E-2</v>
      </c>
      <c r="K44" s="53">
        <f>'VFA day 6'!I45/1000</f>
        <v>3.1940783725901464E-2</v>
      </c>
      <c r="L44" s="53">
        <f>'VFA day 6'!N45/1000</f>
        <v>0.18107308575755285</v>
      </c>
      <c r="M44" s="53">
        <f>'VFA day 6'!S45/1000</f>
        <v>0.18628201305339526</v>
      </c>
      <c r="N44" s="53">
        <f>'VFA day 6'!D57/1000</f>
        <v>0</v>
      </c>
      <c r="O44" s="54">
        <f>'VFA day 6'!I57/1000</f>
        <v>2.1023442955163344E-2</v>
      </c>
    </row>
    <row r="45" spans="1:25" x14ac:dyDescent="0.25">
      <c r="A45" s="47" t="s">
        <v>38</v>
      </c>
      <c r="B45" s="63">
        <f>'VFA day 6'!D22/1000</f>
        <v>2.034849116745498E-2</v>
      </c>
      <c r="C45" s="63">
        <f>'VFA day 6'!I22/1000</f>
        <v>3.0998514511690198E-2</v>
      </c>
      <c r="D45" s="53">
        <f>'VFA day 6'!N22/1000</f>
        <v>3.3732497014488834E-2</v>
      </c>
      <c r="E45" s="53">
        <f>'VFA day 6'!S22/1000</f>
        <v>7.2240551220574239E-2</v>
      </c>
      <c r="F45" s="53">
        <f>'VFA day 6'!D34/1000</f>
        <v>1.7274994497642134E-2</v>
      </c>
      <c r="G45" s="53">
        <f>'VFA day 6'!I34/1000</f>
        <v>1.6649573663668586E-2</v>
      </c>
      <c r="H45" s="53">
        <f>'VFA day 6'!N34/1000</f>
        <v>4.5418932026451642E-2</v>
      </c>
      <c r="I45" s="53">
        <f>'VFA day 6'!S34/1000</f>
        <v>4.6383867027439393E-2</v>
      </c>
      <c r="J45" s="53">
        <f>'VFA day 6'!D46/1000</f>
        <v>1.3861983660815074E-2</v>
      </c>
      <c r="K45" s="53">
        <f>'VFA day 6'!I46/1000</f>
        <v>0</v>
      </c>
      <c r="L45" s="53">
        <f>'VFA day 6'!N46/1000</f>
        <v>4.1148201188746583E-2</v>
      </c>
      <c r="M45" s="53">
        <f>'VFA day 6'!S46/1000</f>
        <v>2.8872083676180146E-2</v>
      </c>
      <c r="N45" s="53">
        <f>'VFA day 6'!D58/1000</f>
        <v>2.0741612834524067E-2</v>
      </c>
      <c r="O45" s="54">
        <f>'VFA day 6'!I58/1000</f>
        <v>2.860404617590577E-2</v>
      </c>
    </row>
    <row r="46" spans="1:25" ht="15.75" thickBot="1" x14ac:dyDescent="0.3">
      <c r="A46" s="50" t="s">
        <v>39</v>
      </c>
      <c r="B46" s="64">
        <f>'VFA day 6'!D23/1000</f>
        <v>0</v>
      </c>
      <c r="C46" s="64">
        <f>'VFA day 6'!I23/1000</f>
        <v>0</v>
      </c>
      <c r="D46" s="55">
        <f>'VFA day 6'!N23/1000</f>
        <v>0</v>
      </c>
      <c r="E46" s="55">
        <f>'VFA day 6'!S23/1000</f>
        <v>0</v>
      </c>
      <c r="F46" s="55">
        <f>'VFA day 6'!D35/1000</f>
        <v>0</v>
      </c>
      <c r="G46" s="55">
        <f>'VFA day 6'!I35/1000</f>
        <v>0</v>
      </c>
      <c r="H46" s="55">
        <f>'VFA day 6'!N35/1000</f>
        <v>3.4743701409857282E-2</v>
      </c>
      <c r="I46" s="55">
        <f>'VFA day 6'!S35/1000</f>
        <v>3.1424734770724633E-2</v>
      </c>
      <c r="J46" s="55">
        <f>'VFA day 6'!D47/1000</f>
        <v>0</v>
      </c>
      <c r="K46" s="55">
        <f>'VFA day 6'!I47/1000</f>
        <v>0</v>
      </c>
      <c r="L46" s="55">
        <f>'VFA day 6'!N47/1000</f>
        <v>1.9660841905354488E-2</v>
      </c>
      <c r="M46" s="55">
        <f>'VFA day 6'!S47/1000</f>
        <v>0</v>
      </c>
      <c r="N46" s="55">
        <f>'VFA day 6'!D59/1000</f>
        <v>0</v>
      </c>
      <c r="O46" s="56">
        <f>'VFA day 6'!I59/1000</f>
        <v>0</v>
      </c>
    </row>
    <row r="47" spans="1:25" x14ac:dyDescent="0.25">
      <c r="B47" s="3"/>
      <c r="F47" s="3"/>
    </row>
    <row r="48" spans="1:25" x14ac:dyDescent="0.25">
      <c r="A48" s="3" t="s">
        <v>71</v>
      </c>
      <c r="B48" s="3"/>
      <c r="F48" s="3"/>
      <c r="J48" s="3"/>
      <c r="K48" s="3"/>
      <c r="O48" s="3"/>
    </row>
    <row r="49" spans="1:27" x14ac:dyDescent="0.25">
      <c r="A49" s="3" t="s">
        <v>138</v>
      </c>
      <c r="B49" s="3" t="s">
        <v>15</v>
      </c>
      <c r="C49" s="3" t="s">
        <v>134</v>
      </c>
      <c r="D49" s="3" t="s">
        <v>16</v>
      </c>
      <c r="E49" s="3" t="s">
        <v>135</v>
      </c>
      <c r="F49" s="3" t="s">
        <v>17</v>
      </c>
      <c r="G49" s="3" t="s">
        <v>136</v>
      </c>
      <c r="H49" s="3" t="s">
        <v>67</v>
      </c>
      <c r="J49" s="3" t="s">
        <v>139</v>
      </c>
      <c r="K49" s="3" t="s">
        <v>15</v>
      </c>
      <c r="L49" s="3" t="s">
        <v>134</v>
      </c>
      <c r="M49" s="3" t="s">
        <v>16</v>
      </c>
      <c r="N49" s="3" t="s">
        <v>135</v>
      </c>
      <c r="O49" s="3" t="s">
        <v>17</v>
      </c>
      <c r="P49" s="3" t="s">
        <v>136</v>
      </c>
      <c r="Q49" s="3" t="s">
        <v>67</v>
      </c>
    </row>
    <row r="50" spans="1:27" x14ac:dyDescent="0.25">
      <c r="A50" s="3" t="s">
        <v>32</v>
      </c>
      <c r="B50" s="28">
        <f>AVERAGE(B39:C39)</f>
        <v>2.1033422035458078</v>
      </c>
      <c r="C50" s="19">
        <f>AVERAGE(D39:E39)</f>
        <v>2.1227429801610809</v>
      </c>
      <c r="D50" s="19">
        <f>AVERAGE(F39:G39)</f>
        <v>3.6304370886003072</v>
      </c>
      <c r="E50" s="19">
        <f>AVERAGE(H39:I39)</f>
        <v>3.7088587932308195</v>
      </c>
      <c r="F50" s="18">
        <f>AVERAGE(J39:K39)</f>
        <v>5.4158815559240097</v>
      </c>
      <c r="G50" s="19">
        <f>AVERAGE(L39:M39)</f>
        <v>3.9598819218837074</v>
      </c>
      <c r="H50" s="19">
        <f>AVERAGE(N39:O39)</f>
        <v>1.7774173423909172</v>
      </c>
      <c r="J50" s="3" t="s">
        <v>32</v>
      </c>
      <c r="K50" s="20">
        <f>B50/B$58</f>
        <v>0.37359356929029863</v>
      </c>
      <c r="L50" s="20">
        <f t="shared" ref="L50:Q57" si="29">C50/C$58</f>
        <v>0.43364954341121514</v>
      </c>
      <c r="M50" s="20">
        <f t="shared" si="29"/>
        <v>0.46278205078486717</v>
      </c>
      <c r="N50" s="20">
        <f t="shared" si="29"/>
        <v>0.52716603043882482</v>
      </c>
      <c r="O50" s="20">
        <f t="shared" si="29"/>
        <v>0.59245562692402332</v>
      </c>
      <c r="P50" s="20">
        <f t="shared" si="29"/>
        <v>0.499954206158437</v>
      </c>
      <c r="Q50" s="20">
        <f t="shared" si="29"/>
        <v>0.38570139272625903</v>
      </c>
      <c r="R50" s="3"/>
      <c r="AA50" s="3"/>
    </row>
    <row r="51" spans="1:27" x14ac:dyDescent="0.25">
      <c r="A51" s="3" t="s">
        <v>33</v>
      </c>
      <c r="B51" s="28">
        <f t="shared" ref="B51:B57" si="30">AVERAGE(B40:C40)</f>
        <v>1.9764395246883404</v>
      </c>
      <c r="C51" s="19">
        <f t="shared" ref="C51:C57" si="31">AVERAGE(D40:E40)</f>
        <v>0.63990953322294253</v>
      </c>
      <c r="D51" s="19">
        <f t="shared" ref="D51:D57" si="32">AVERAGE(F40:G40)</f>
        <v>2.8587424665728096</v>
      </c>
      <c r="E51" s="19">
        <f t="shared" ref="E51:E57" si="33">AVERAGE(H40:I40)</f>
        <v>2.0508267329982708</v>
      </c>
      <c r="F51" s="18">
        <f t="shared" ref="F51:F56" si="34">AVERAGE(J40:K40)</f>
        <v>2.5449794075381678</v>
      </c>
      <c r="G51" s="19">
        <f t="shared" ref="G51:G57" si="35">AVERAGE(L40:M40)</f>
        <v>2.6072948960164553</v>
      </c>
      <c r="H51" s="19">
        <f t="shared" ref="H51:H57" si="36">AVERAGE(N40:O40)</f>
        <v>0.42251691966532678</v>
      </c>
      <c r="J51" s="3" t="s">
        <v>33</v>
      </c>
      <c r="K51" s="20">
        <f t="shared" ref="K51:K57" si="37">B51/B$58</f>
        <v>0.35105324053783121</v>
      </c>
      <c r="L51" s="20">
        <f t="shared" si="29"/>
        <v>0.13072542436840634</v>
      </c>
      <c r="M51" s="20">
        <f t="shared" si="29"/>
        <v>0.36441196171682433</v>
      </c>
      <c r="N51" s="20">
        <f t="shared" si="29"/>
        <v>0.29149834173404687</v>
      </c>
      <c r="O51" s="20">
        <f t="shared" si="29"/>
        <v>0.27840109774049693</v>
      </c>
      <c r="P51" s="20">
        <f t="shared" si="29"/>
        <v>0.32918356548842898</v>
      </c>
      <c r="Q51" s="20">
        <f>H51/H$58</f>
        <v>9.1686606447819591E-2</v>
      </c>
      <c r="AA51" s="3"/>
    </row>
    <row r="52" spans="1:27" x14ac:dyDescent="0.25">
      <c r="A52" s="3" t="s">
        <v>34</v>
      </c>
      <c r="B52" s="28">
        <f t="shared" si="30"/>
        <v>2.3803403650824353E-2</v>
      </c>
      <c r="C52" s="19">
        <f t="shared" si="31"/>
        <v>2.0440084960159369E-2</v>
      </c>
      <c r="D52" s="19">
        <f t="shared" si="32"/>
        <v>0.10008958667999832</v>
      </c>
      <c r="E52" s="19">
        <f t="shared" si="33"/>
        <v>9.6202114427151791E-2</v>
      </c>
      <c r="F52" s="18">
        <f t="shared" si="34"/>
        <v>0.14298281985185565</v>
      </c>
      <c r="G52" s="19">
        <f t="shared" si="35"/>
        <v>8.5675363720005532E-2</v>
      </c>
      <c r="H52" s="19">
        <f t="shared" si="36"/>
        <v>1.4849113630222774E-2</v>
      </c>
      <c r="J52" s="3" t="s">
        <v>34</v>
      </c>
      <c r="K52" s="20">
        <f>B52/B$58</f>
        <v>4.2279370975287535E-3</v>
      </c>
      <c r="L52" s="20">
        <f t="shared" si="29"/>
        <v>4.1756508409637703E-3</v>
      </c>
      <c r="M52" s="20">
        <f t="shared" si="29"/>
        <v>1.2758701791424682E-2</v>
      </c>
      <c r="N52" s="20">
        <f t="shared" si="29"/>
        <v>1.3673879112071931E-2</v>
      </c>
      <c r="O52" s="20">
        <f t="shared" si="29"/>
        <v>1.5641216540645559E-2</v>
      </c>
      <c r="P52" s="20">
        <f t="shared" si="29"/>
        <v>1.0816928206686222E-2</v>
      </c>
      <c r="Q52" s="20">
        <f t="shared" si="29"/>
        <v>3.2222729413808981E-3</v>
      </c>
    </row>
    <row r="53" spans="1:27" x14ac:dyDescent="0.25">
      <c r="A53" s="3" t="s">
        <v>35</v>
      </c>
      <c r="B53" s="28">
        <f t="shared" si="30"/>
        <v>1.3958415512542079</v>
      </c>
      <c r="C53" s="19">
        <f t="shared" si="31"/>
        <v>1.7551931797101898</v>
      </c>
      <c r="D53" s="19">
        <f t="shared" si="32"/>
        <v>1.010933224643205</v>
      </c>
      <c r="E53" s="19">
        <f t="shared" si="33"/>
        <v>0.47120573351439959</v>
      </c>
      <c r="F53" s="18">
        <f>AVERAGE(J42:K42)</f>
        <v>0.70287246956778682</v>
      </c>
      <c r="G53" s="19">
        <f t="shared" si="35"/>
        <v>0.87776626272896241</v>
      </c>
      <c r="H53" s="19">
        <f t="shared" si="36"/>
        <v>2.3279116862813956</v>
      </c>
      <c r="J53" s="3" t="s">
        <v>35</v>
      </c>
      <c r="K53" s="20">
        <f t="shared" si="37"/>
        <v>0.24792800069226104</v>
      </c>
      <c r="L53" s="20">
        <f t="shared" si="29"/>
        <v>0.35856376777279225</v>
      </c>
      <c r="M53" s="20">
        <f t="shared" si="29"/>
        <v>0.12886650821631915</v>
      </c>
      <c r="N53" s="20">
        <f t="shared" si="29"/>
        <v>6.697576529744724E-2</v>
      </c>
      <c r="O53" s="20">
        <f t="shared" si="29"/>
        <v>7.6888821386784129E-2</v>
      </c>
      <c r="P53" s="20">
        <f t="shared" si="29"/>
        <v>0.11082222746342896</v>
      </c>
      <c r="Q53" s="20">
        <f t="shared" si="29"/>
        <v>0.50515923195318579</v>
      </c>
    </row>
    <row r="54" spans="1:27" x14ac:dyDescent="0.25">
      <c r="A54" s="3" t="s">
        <v>36</v>
      </c>
      <c r="B54" s="28">
        <f t="shared" si="30"/>
        <v>5.4951871806576569E-2</v>
      </c>
      <c r="C54" s="19">
        <f t="shared" si="31"/>
        <v>4.0626131723597109E-2</v>
      </c>
      <c r="D54" s="19">
        <f t="shared" si="32"/>
        <v>0.18286026540460748</v>
      </c>
      <c r="E54" s="19">
        <f t="shared" si="33"/>
        <v>0.19098955441994903</v>
      </c>
      <c r="F54" s="18">
        <f t="shared" si="34"/>
        <v>0.29776937633474965</v>
      </c>
      <c r="G54" s="19">
        <f t="shared" si="35"/>
        <v>0.16135270588849415</v>
      </c>
      <c r="H54" s="19">
        <f t="shared" si="36"/>
        <v>3.0393460235754635E-2</v>
      </c>
      <c r="J54" s="3" t="s">
        <v>36</v>
      </c>
      <c r="K54" s="20">
        <f t="shared" si="37"/>
        <v>9.7604973136530149E-3</v>
      </c>
      <c r="L54" s="20">
        <f t="shared" si="29"/>
        <v>8.2994048912906522E-3</v>
      </c>
      <c r="M54" s="20">
        <f t="shared" si="29"/>
        <v>2.3309713559486519E-2</v>
      </c>
      <c r="N54" s="20">
        <f t="shared" si="29"/>
        <v>2.7146680656218357E-2</v>
      </c>
      <c r="O54" s="20">
        <f t="shared" si="29"/>
        <v>3.2573670733661596E-2</v>
      </c>
      <c r="P54" s="20">
        <f t="shared" si="29"/>
        <v>2.037155793413754E-2</v>
      </c>
      <c r="Q54" s="20">
        <f t="shared" si="29"/>
        <v>6.5954121539804778E-3</v>
      </c>
    </row>
    <row r="55" spans="1:27" x14ac:dyDescent="0.25">
      <c r="A55" s="3" t="s">
        <v>37</v>
      </c>
      <c r="B55" s="28">
        <f t="shared" si="30"/>
        <v>4.9975802548150212E-2</v>
      </c>
      <c r="C55" s="19">
        <f t="shared" si="31"/>
        <v>0.26316720704339736</v>
      </c>
      <c r="D55" s="19">
        <f t="shared" si="32"/>
        <v>4.4784714044416897E-2</v>
      </c>
      <c r="E55" s="19">
        <f t="shared" si="33"/>
        <v>0.43839766193058771</v>
      </c>
      <c r="F55" s="18">
        <f t="shared" si="34"/>
        <v>2.9996355386015097E-2</v>
      </c>
      <c r="G55" s="19">
        <f t="shared" si="35"/>
        <v>0.18367754940547404</v>
      </c>
      <c r="H55" s="19">
        <f t="shared" si="36"/>
        <v>1.0511721477581672E-2</v>
      </c>
      <c r="J55" s="3" t="s">
        <v>37</v>
      </c>
      <c r="K55" s="20">
        <f t="shared" si="37"/>
        <v>8.8766527960289741E-3</v>
      </c>
      <c r="L55" s="20">
        <f t="shared" si="29"/>
        <v>5.3761731986278434E-2</v>
      </c>
      <c r="M55" s="20">
        <f t="shared" si="29"/>
        <v>5.7088337584386313E-3</v>
      </c>
      <c r="N55" s="20">
        <f t="shared" si="29"/>
        <v>6.2312524708520736E-2</v>
      </c>
      <c r="O55" s="20">
        <f t="shared" si="29"/>
        <v>3.2813696813990536E-3</v>
      </c>
      <c r="P55" s="20">
        <f t="shared" si="29"/>
        <v>2.3190177185499854E-2</v>
      </c>
      <c r="Q55" s="20">
        <f t="shared" si="29"/>
        <v>2.2810543799465623E-3</v>
      </c>
    </row>
    <row r="56" spans="1:27" x14ac:dyDescent="0.25">
      <c r="A56" s="3" t="s">
        <v>38</v>
      </c>
      <c r="B56" s="28">
        <f t="shared" si="30"/>
        <v>2.5673502839572589E-2</v>
      </c>
      <c r="C56" s="19">
        <f t="shared" si="31"/>
        <v>5.2986524117531533E-2</v>
      </c>
      <c r="D56" s="19">
        <f t="shared" si="32"/>
        <v>1.6962284080655358E-2</v>
      </c>
      <c r="E56" s="19">
        <f t="shared" si="33"/>
        <v>4.5901399526945517E-2</v>
      </c>
      <c r="F56" s="18">
        <f t="shared" si="34"/>
        <v>6.9309918304075371E-3</v>
      </c>
      <c r="G56" s="19">
        <f t="shared" si="35"/>
        <v>3.5010142432463365E-2</v>
      </c>
      <c r="H56" s="19">
        <f t="shared" si="36"/>
        <v>2.4672829505214919E-2</v>
      </c>
      <c r="J56" s="3" t="s">
        <v>38</v>
      </c>
      <c r="K56" s="20">
        <f t="shared" si="37"/>
        <v>4.560102272398326E-3</v>
      </c>
      <c r="L56" s="20">
        <f t="shared" si="29"/>
        <v>1.0824476729053309E-2</v>
      </c>
      <c r="M56" s="20">
        <f t="shared" si="29"/>
        <v>2.1622301726395292E-3</v>
      </c>
      <c r="N56" s="20">
        <f t="shared" si="29"/>
        <v>6.5242868303237904E-3</v>
      </c>
      <c r="O56" s="20">
        <f t="shared" si="29"/>
        <v>7.5819699298959283E-4</v>
      </c>
      <c r="P56" s="20">
        <f t="shared" si="29"/>
        <v>4.4201994687229637E-3</v>
      </c>
      <c r="Q56" s="20">
        <f t="shared" si="29"/>
        <v>5.3540293974277805E-3</v>
      </c>
    </row>
    <row r="57" spans="1:27" x14ac:dyDescent="0.25">
      <c r="A57" s="3" t="s">
        <v>39</v>
      </c>
      <c r="B57" s="28">
        <f t="shared" si="30"/>
        <v>0</v>
      </c>
      <c r="C57" s="19">
        <f t="shared" si="31"/>
        <v>0</v>
      </c>
      <c r="D57" s="19">
        <f t="shared" si="32"/>
        <v>0</v>
      </c>
      <c r="E57" s="19">
        <f t="shared" si="33"/>
        <v>3.3084218090290954E-2</v>
      </c>
      <c r="F57" s="18">
        <f>AVERAGE(J46:K46)</f>
        <v>0</v>
      </c>
      <c r="G57" s="19">
        <f t="shared" si="35"/>
        <v>9.8304209526772438E-3</v>
      </c>
      <c r="H57" s="19">
        <f t="shared" si="36"/>
        <v>0</v>
      </c>
      <c r="J57" s="3" t="s">
        <v>39</v>
      </c>
      <c r="K57" s="20">
        <f t="shared" si="37"/>
        <v>0</v>
      </c>
      <c r="L57" s="20">
        <f t="shared" si="29"/>
        <v>0</v>
      </c>
      <c r="M57" s="20">
        <f t="shared" si="29"/>
        <v>0</v>
      </c>
      <c r="N57" s="20">
        <f t="shared" si="29"/>
        <v>4.7024912225461513E-3</v>
      </c>
      <c r="O57" s="20">
        <f t="shared" si="29"/>
        <v>0</v>
      </c>
      <c r="P57" s="20">
        <f t="shared" si="29"/>
        <v>1.2411380946584076E-3</v>
      </c>
      <c r="Q57" s="20">
        <f t="shared" si="29"/>
        <v>0</v>
      </c>
    </row>
    <row r="58" spans="1:27" x14ac:dyDescent="0.25">
      <c r="A58" s="3" t="s">
        <v>14</v>
      </c>
      <c r="B58" s="19">
        <f>SUM(B50:B57)</f>
        <v>5.6300278603334801</v>
      </c>
      <c r="C58" s="19">
        <f t="shared" ref="C58:H58" si="38">SUM(C50:C57)</f>
        <v>4.8950656409388991</v>
      </c>
      <c r="D58" s="19">
        <f t="shared" si="38"/>
        <v>7.844809630026</v>
      </c>
      <c r="E58" s="19">
        <f t="shared" si="38"/>
        <v>7.0354662081384154</v>
      </c>
      <c r="F58" s="19">
        <f t="shared" si="38"/>
        <v>9.1414129764329903</v>
      </c>
      <c r="G58" s="19">
        <f t="shared" si="38"/>
        <v>7.92048926302824</v>
      </c>
      <c r="H58" s="19">
        <f t="shared" si="38"/>
        <v>4.608273073186413</v>
      </c>
      <c r="J58" s="3"/>
      <c r="K58" s="19"/>
      <c r="L58" s="19"/>
      <c r="M58" s="19"/>
      <c r="N58" s="19"/>
      <c r="O58" s="19"/>
      <c r="P58" s="19"/>
      <c r="Q58" s="19"/>
    </row>
    <row r="59" spans="1:27" x14ac:dyDescent="0.25">
      <c r="A59" s="3"/>
      <c r="B59" s="19"/>
      <c r="C59" s="19"/>
      <c r="D59" s="19"/>
      <c r="E59" s="19"/>
      <c r="F59" s="19"/>
      <c r="G59" s="19"/>
      <c r="H59" s="19"/>
      <c r="J59" s="3"/>
      <c r="K59" s="19"/>
      <c r="L59" s="19"/>
      <c r="M59" s="19"/>
      <c r="N59" s="19"/>
      <c r="O59" s="19"/>
      <c r="P59" s="19"/>
      <c r="Q59" s="19"/>
    </row>
    <row r="60" spans="1:27" x14ac:dyDescent="0.25">
      <c r="A60" s="3" t="s">
        <v>140</v>
      </c>
    </row>
    <row r="61" spans="1:27" x14ac:dyDescent="0.25">
      <c r="A61" s="3" t="s">
        <v>98</v>
      </c>
      <c r="B61" s="3" t="s">
        <v>15</v>
      </c>
      <c r="C61" s="3" t="s">
        <v>134</v>
      </c>
      <c r="D61" s="3" t="s">
        <v>16</v>
      </c>
      <c r="E61" s="3" t="s">
        <v>135</v>
      </c>
      <c r="F61" s="3" t="s">
        <v>17</v>
      </c>
      <c r="G61" s="3" t="s">
        <v>136</v>
      </c>
      <c r="H61" s="3" t="s">
        <v>67</v>
      </c>
    </row>
    <row r="62" spans="1:27" x14ac:dyDescent="0.25">
      <c r="A62" s="3" t="s">
        <v>100</v>
      </c>
      <c r="B62" s="19">
        <f>_xlfn.STDEV.P(B39:C39)</f>
        <v>0.12729201534493406</v>
      </c>
      <c r="C62" s="19">
        <f>_xlfn.STDEV.P(D39:E39)</f>
        <v>0.34143729646541443</v>
      </c>
      <c r="D62" s="19">
        <f>_xlfn.STDEV.P(F39:G39)</f>
        <v>0.2309265435936072</v>
      </c>
      <c r="E62" s="19">
        <f>_xlfn.STDEV.P(H39:I39)</f>
        <v>0.1689586621684529</v>
      </c>
      <c r="F62" s="19">
        <f>_xlfn.STDEV.P(J39:K39)</f>
        <v>7.0726881837956945E-2</v>
      </c>
      <c r="G62" s="19">
        <f>_xlfn.STDEV.P(L39:M39)</f>
        <v>0.22490984704836436</v>
      </c>
      <c r="H62" s="19">
        <f>_xlfn.STDEV.P(N39:O39)</f>
        <v>5.19809837582208E-3</v>
      </c>
    </row>
    <row r="63" spans="1:27" x14ac:dyDescent="0.25">
      <c r="A63" s="3" t="s">
        <v>101</v>
      </c>
      <c r="B63" s="19">
        <f t="shared" ref="B63:B69" si="39">_xlfn.STDEV.P(B40:C40)</f>
        <v>0.44273985513060882</v>
      </c>
      <c r="C63" s="19">
        <f>_xlfn.STDEV.P(D40:E40)</f>
        <v>4.866809153177859E-2</v>
      </c>
      <c r="D63" s="19">
        <f t="shared" ref="D63:D69" si="40">_xlfn.STDEV.P(F40:G40)</f>
        <v>0.20153418582088989</v>
      </c>
      <c r="E63" s="19">
        <f>_xlfn.STDEV.P(H40:I40)</f>
        <v>7.6954037158342481E-2</v>
      </c>
      <c r="F63" s="19">
        <f t="shared" ref="F63:F69" si="41">_xlfn.STDEV.P(J40:K40)</f>
        <v>0.15004512397055914</v>
      </c>
      <c r="G63" s="19">
        <f t="shared" ref="G63:G69" si="42">_xlfn.STDEV.P(L40:M40)</f>
        <v>0.15294233673015323</v>
      </c>
      <c r="H63" s="19">
        <f>_xlfn.STDEV.P(N40:O40)</f>
        <v>4.2263726484254777E-2</v>
      </c>
    </row>
    <row r="64" spans="1:27" x14ac:dyDescent="0.25">
      <c r="A64" s="3" t="s">
        <v>102</v>
      </c>
      <c r="B64" s="19">
        <f t="shared" si="39"/>
        <v>2.7081267379380405E-3</v>
      </c>
      <c r="C64" s="19">
        <f t="shared" ref="C64:C69" si="43">_xlfn.STDEV.P(D41:E41)</f>
        <v>1.3103839054538907E-3</v>
      </c>
      <c r="D64" s="19">
        <f t="shared" si="40"/>
        <v>9.3692449239953096E-3</v>
      </c>
      <c r="E64" s="19">
        <f t="shared" ref="E64:E69" si="44">_xlfn.STDEV.P(H41:I41)</f>
        <v>9.5439627780558242E-3</v>
      </c>
      <c r="F64" s="19">
        <f t="shared" si="41"/>
        <v>2.839165128483423E-4</v>
      </c>
      <c r="G64" s="19">
        <f t="shared" si="42"/>
        <v>3.8656325210889783E-3</v>
      </c>
      <c r="H64" s="19">
        <f t="shared" ref="H64:H69" si="45">_xlfn.STDEV.P(N41:O41)</f>
        <v>2.75180620145317E-3</v>
      </c>
    </row>
    <row r="65" spans="1:25" x14ac:dyDescent="0.25">
      <c r="A65" s="3" t="s">
        <v>103</v>
      </c>
      <c r="B65" s="19">
        <f t="shared" si="39"/>
        <v>0.65709899376668091</v>
      </c>
      <c r="C65" s="19">
        <f t="shared" si="43"/>
        <v>0.56041342968175067</v>
      </c>
      <c r="D65" s="19">
        <f t="shared" si="40"/>
        <v>5.5392565677048367E-2</v>
      </c>
      <c r="E65" s="19">
        <f t="shared" si="44"/>
        <v>2.3919965171327773E-2</v>
      </c>
      <c r="F65" s="19">
        <f t="shared" si="41"/>
        <v>4.6735628570525045E-3</v>
      </c>
      <c r="G65" s="19">
        <f t="shared" si="42"/>
        <v>0.2170347375726572</v>
      </c>
      <c r="H65" s="19">
        <f t="shared" si="45"/>
        <v>0.25189912209277854</v>
      </c>
      <c r="X65" s="3"/>
      <c r="Y65" s="3"/>
    </row>
    <row r="66" spans="1:25" x14ac:dyDescent="0.25">
      <c r="A66" s="3" t="s">
        <v>104</v>
      </c>
      <c r="B66" s="19">
        <f t="shared" si="39"/>
        <v>1.1369634986491649E-3</v>
      </c>
      <c r="C66" s="19">
        <f t="shared" si="43"/>
        <v>3.7898783288305149E-4</v>
      </c>
      <c r="D66" s="19">
        <f t="shared" si="40"/>
        <v>1.6144881680818138E-2</v>
      </c>
      <c r="E66" s="19">
        <f t="shared" si="44"/>
        <v>2.2985612064357158E-2</v>
      </c>
      <c r="F66" s="19">
        <f t="shared" si="41"/>
        <v>2.6150160468930983E-3</v>
      </c>
      <c r="G66" s="19">
        <f t="shared" si="42"/>
        <v>7.2576169997104895E-3</v>
      </c>
      <c r="H66" s="19">
        <f t="shared" si="45"/>
        <v>4.0172710285603774E-3</v>
      </c>
    </row>
    <row r="67" spans="1:25" x14ac:dyDescent="0.25">
      <c r="A67" s="3" t="s">
        <v>105</v>
      </c>
      <c r="B67" s="19">
        <f t="shared" si="39"/>
        <v>1.9444283398863671E-3</v>
      </c>
      <c r="C67" s="19">
        <f t="shared" si="43"/>
        <v>0.22712350113241453</v>
      </c>
      <c r="D67" s="19">
        <f t="shared" si="40"/>
        <v>5.1018945431880736E-3</v>
      </c>
      <c r="E67" s="19">
        <f t="shared" si="44"/>
        <v>3.4625095483664492E-2</v>
      </c>
      <c r="F67" s="19">
        <f t="shared" si="41"/>
        <v>1.9444283398863654E-3</v>
      </c>
      <c r="G67" s="19">
        <f t="shared" si="42"/>
        <v>2.6044636479212041E-3</v>
      </c>
      <c r="H67" s="19">
        <f t="shared" si="45"/>
        <v>1.0511721477581672E-2</v>
      </c>
    </row>
    <row r="68" spans="1:25" x14ac:dyDescent="0.25">
      <c r="A68" s="3" t="s">
        <v>38</v>
      </c>
      <c r="B68" s="19">
        <f t="shared" si="39"/>
        <v>5.3250116721176143E-3</v>
      </c>
      <c r="C68" s="19">
        <f t="shared" si="43"/>
        <v>1.9254027103042706E-2</v>
      </c>
      <c r="D68" s="19">
        <f t="shared" si="40"/>
        <v>3.12710416986774E-4</v>
      </c>
      <c r="E68" s="19">
        <f t="shared" si="44"/>
        <v>4.8246750049387582E-4</v>
      </c>
      <c r="F68" s="19">
        <f t="shared" si="41"/>
        <v>6.9309918304075371E-3</v>
      </c>
      <c r="G68" s="19">
        <f t="shared" si="42"/>
        <v>6.1380587562832262E-3</v>
      </c>
      <c r="H68" s="19">
        <f t="shared" si="45"/>
        <v>3.9312166706908513E-3</v>
      </c>
    </row>
    <row r="69" spans="1:25" x14ac:dyDescent="0.25">
      <c r="A69" s="3" t="s">
        <v>39</v>
      </c>
      <c r="B69" s="19">
        <f t="shared" si="39"/>
        <v>0</v>
      </c>
      <c r="C69" s="19">
        <f t="shared" si="43"/>
        <v>0</v>
      </c>
      <c r="D69" s="19">
        <f t="shared" si="40"/>
        <v>0</v>
      </c>
      <c r="E69" s="19">
        <f t="shared" si="44"/>
        <v>1.6594833195663246E-3</v>
      </c>
      <c r="F69" s="19">
        <f t="shared" si="41"/>
        <v>0</v>
      </c>
      <c r="G69" s="19">
        <f t="shared" si="42"/>
        <v>9.8304209526772438E-3</v>
      </c>
      <c r="H69" s="19">
        <f t="shared" si="4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workbookViewId="0">
      <selection activeCell="J11" sqref="J11"/>
    </sheetView>
  </sheetViews>
  <sheetFormatPr defaultRowHeight="15" x14ac:dyDescent="0.25"/>
  <cols>
    <col min="3" max="3" width="12.140625" customWidth="1"/>
    <col min="4" max="4" width="17" customWidth="1"/>
    <col min="5" max="5" width="12.7109375" customWidth="1"/>
    <col min="9" max="9" width="11.5703125" customWidth="1"/>
    <col min="12" max="12" width="13.85546875" customWidth="1"/>
  </cols>
  <sheetData>
    <row r="1" spans="1:12" x14ac:dyDescent="0.25">
      <c r="A1" s="3"/>
      <c r="E1" s="3" t="s">
        <v>72</v>
      </c>
      <c r="F1" s="17">
        <v>0.98839999999999995</v>
      </c>
      <c r="K1" s="4" t="s">
        <v>129</v>
      </c>
      <c r="L1" s="4" t="s">
        <v>84</v>
      </c>
    </row>
    <row r="2" spans="1:12" x14ac:dyDescent="0.25">
      <c r="C2" s="3" t="s">
        <v>73</v>
      </c>
      <c r="D2" s="3" t="s">
        <v>130</v>
      </c>
      <c r="E2" s="3" t="s">
        <v>74</v>
      </c>
      <c r="F2" s="3">
        <v>1.052</v>
      </c>
      <c r="K2" s="4" t="s">
        <v>85</v>
      </c>
      <c r="L2" s="4" t="s">
        <v>142</v>
      </c>
    </row>
    <row r="3" spans="1:12" x14ac:dyDescent="0.25">
      <c r="A3" s="3" t="s">
        <v>75</v>
      </c>
      <c r="B3" s="3" t="s">
        <v>76</v>
      </c>
      <c r="C3" s="3" t="s">
        <v>77</v>
      </c>
      <c r="D3" s="3" t="s">
        <v>78</v>
      </c>
      <c r="E3" s="3" t="s">
        <v>79</v>
      </c>
      <c r="F3" s="3" t="s">
        <v>80</v>
      </c>
      <c r="G3" s="3" t="s">
        <v>81</v>
      </c>
      <c r="K3" s="1" t="s">
        <v>96</v>
      </c>
      <c r="L3" s="29">
        <f>AVERAGE(D7:D8)/1000</f>
        <v>0.49123480000000003</v>
      </c>
    </row>
    <row r="4" spans="1:12" x14ac:dyDescent="0.25">
      <c r="A4" t="s">
        <v>82</v>
      </c>
      <c r="B4">
        <v>30</v>
      </c>
      <c r="C4">
        <v>0.02</v>
      </c>
      <c r="D4">
        <f>(C4-$C$4)*14*0.25*$F$1*1000/B4</f>
        <v>0</v>
      </c>
      <c r="E4">
        <f t="shared" ref="E4:E14" si="0">D4/14*18</f>
        <v>0</v>
      </c>
      <c r="F4" s="19">
        <f>E4/1000</f>
        <v>0</v>
      </c>
      <c r="K4" s="1" t="s">
        <v>97</v>
      </c>
      <c r="L4" s="29">
        <f>AVERAGE(D9:D10)/1000</f>
        <v>2.1517467999999997</v>
      </c>
    </row>
    <row r="5" spans="1:12" x14ac:dyDescent="0.25">
      <c r="A5" t="s">
        <v>83</v>
      </c>
      <c r="B5">
        <v>10</v>
      </c>
      <c r="C5">
        <v>2.83</v>
      </c>
      <c r="D5">
        <f>(C5-$C$4)*14*0.25*$F$1*1000/B5</f>
        <v>972.09140000000002</v>
      </c>
      <c r="E5">
        <f t="shared" si="0"/>
        <v>1249.8318000000002</v>
      </c>
      <c r="F5" s="19">
        <f t="shared" ref="F5:F14" si="1">E5/1000</f>
        <v>1.2498318000000002</v>
      </c>
      <c r="G5" s="20">
        <f>($F$2*1000-D5)/($F$2*1000)</f>
        <v>7.5958745247148268E-2</v>
      </c>
      <c r="H5" s="37">
        <f>AVERAGE(G5:G6)</f>
        <v>8.0891349809886021E-2</v>
      </c>
      <c r="K5" s="1" t="s">
        <v>95</v>
      </c>
      <c r="L5" s="29">
        <f>AVERAGE(D11:D12)/1000</f>
        <v>5.3897451999999992</v>
      </c>
    </row>
    <row r="6" spans="1:12" x14ac:dyDescent="0.25">
      <c r="A6" t="s">
        <v>83</v>
      </c>
      <c r="B6">
        <v>10</v>
      </c>
      <c r="C6">
        <v>2.8</v>
      </c>
      <c r="D6">
        <f>(C6-$C$4)*14*0.25*$F$1*1000/B6</f>
        <v>961.7131999999998</v>
      </c>
      <c r="E6">
        <f t="shared" si="0"/>
        <v>1236.4883999999997</v>
      </c>
      <c r="F6" s="19">
        <f t="shared" si="1"/>
        <v>1.2364883999999998</v>
      </c>
      <c r="G6" s="20">
        <f>($F$2*1000-D6)/($F$2*1000)</f>
        <v>8.5823954372623759E-2</v>
      </c>
      <c r="H6" s="37"/>
      <c r="K6" s="1" t="s">
        <v>67</v>
      </c>
      <c r="L6" s="29">
        <f>AVERAGE(D13:D14)/1000</f>
        <v>0.11761959999999999</v>
      </c>
    </row>
    <row r="7" spans="1:12" x14ac:dyDescent="0.25">
      <c r="A7" t="s">
        <v>87</v>
      </c>
      <c r="B7">
        <v>2.5</v>
      </c>
      <c r="C7">
        <v>0.42</v>
      </c>
      <c r="D7">
        <f t="shared" ref="D7:D14" si="2">(C7-$C$4)*14*0.25*$F$1*1000/B7</f>
        <v>553.50400000000002</v>
      </c>
      <c r="E7">
        <f t="shared" si="0"/>
        <v>711.64800000000002</v>
      </c>
      <c r="F7" s="19">
        <f t="shared" si="1"/>
        <v>0.71164800000000006</v>
      </c>
      <c r="L7" s="26"/>
    </row>
    <row r="8" spans="1:12" x14ac:dyDescent="0.25">
      <c r="A8" t="s">
        <v>88</v>
      </c>
      <c r="B8">
        <v>2.5</v>
      </c>
      <c r="C8">
        <v>0.33</v>
      </c>
      <c r="D8">
        <f t="shared" si="2"/>
        <v>428.96559999999999</v>
      </c>
      <c r="E8">
        <f t="shared" si="0"/>
        <v>551.52719999999999</v>
      </c>
      <c r="F8" s="19">
        <f t="shared" si="1"/>
        <v>0.5515272</v>
      </c>
      <c r="K8" t="s">
        <v>86</v>
      </c>
    </row>
    <row r="9" spans="1:12" x14ac:dyDescent="0.25">
      <c r="A9" t="s">
        <v>89</v>
      </c>
      <c r="B9">
        <v>2.5</v>
      </c>
      <c r="C9">
        <v>1.42</v>
      </c>
      <c r="D9">
        <f t="shared" si="2"/>
        <v>1937.2639999999997</v>
      </c>
      <c r="E9">
        <f t="shared" si="0"/>
        <v>2490.7679999999996</v>
      </c>
      <c r="F9" s="19">
        <f t="shared" si="1"/>
        <v>2.4907679999999996</v>
      </c>
      <c r="K9" s="30" t="s">
        <v>129</v>
      </c>
      <c r="L9" s="30" t="s">
        <v>84</v>
      </c>
    </row>
    <row r="10" spans="1:12" x14ac:dyDescent="0.25">
      <c r="A10" t="s">
        <v>90</v>
      </c>
      <c r="B10">
        <v>2.5</v>
      </c>
      <c r="C10">
        <v>1.73</v>
      </c>
      <c r="D10">
        <f t="shared" si="2"/>
        <v>2366.2295999999997</v>
      </c>
      <c r="E10">
        <f t="shared" si="0"/>
        <v>3042.2951999999996</v>
      </c>
      <c r="F10" s="19">
        <f t="shared" si="1"/>
        <v>3.0422951999999994</v>
      </c>
      <c r="K10" s="30" t="s">
        <v>85</v>
      </c>
      <c r="L10" s="30" t="s">
        <v>142</v>
      </c>
    </row>
    <row r="11" spans="1:12" x14ac:dyDescent="0.25">
      <c r="A11" t="s">
        <v>91</v>
      </c>
      <c r="B11">
        <v>2.5</v>
      </c>
      <c r="C11">
        <v>3.99</v>
      </c>
      <c r="D11">
        <f t="shared" si="2"/>
        <v>5493.5272000000004</v>
      </c>
      <c r="E11">
        <f t="shared" si="0"/>
        <v>7063.1064000000006</v>
      </c>
      <c r="F11" s="19">
        <f t="shared" si="1"/>
        <v>7.0631064000000006</v>
      </c>
      <c r="G11" s="21"/>
      <c r="K11" s="31" t="s">
        <v>96</v>
      </c>
      <c r="L11" s="32">
        <f>L3+L3*$H$5</f>
        <v>0.53097144604558943</v>
      </c>
    </row>
    <row r="12" spans="1:12" x14ac:dyDescent="0.25">
      <c r="A12" t="s">
        <v>92</v>
      </c>
      <c r="B12">
        <v>2.5</v>
      </c>
      <c r="C12">
        <v>3.84</v>
      </c>
      <c r="D12">
        <f t="shared" si="2"/>
        <v>5285.9631999999992</v>
      </c>
      <c r="E12">
        <f t="shared" si="0"/>
        <v>6796.2383999999993</v>
      </c>
      <c r="F12" s="19">
        <f t="shared" si="1"/>
        <v>6.7962383999999991</v>
      </c>
      <c r="G12" s="21"/>
      <c r="K12" s="31" t="s">
        <v>97</v>
      </c>
      <c r="L12" s="32">
        <f>L4+L4*$H$5</f>
        <v>2.3258045031011028</v>
      </c>
    </row>
    <row r="13" spans="1:12" x14ac:dyDescent="0.25">
      <c r="A13" t="s">
        <v>93</v>
      </c>
      <c r="B13">
        <v>2.5</v>
      </c>
      <c r="C13">
        <v>0.11</v>
      </c>
      <c r="D13">
        <f t="shared" si="2"/>
        <v>124.5384</v>
      </c>
      <c r="E13">
        <f t="shared" si="0"/>
        <v>160.1208</v>
      </c>
      <c r="F13" s="19">
        <f t="shared" si="1"/>
        <v>0.16012080000000001</v>
      </c>
      <c r="G13" s="21"/>
      <c r="K13" s="31" t="s">
        <v>95</v>
      </c>
      <c r="L13" s="32">
        <f>L5+L5*$H$5</f>
        <v>5.8257289643593531</v>
      </c>
    </row>
    <row r="14" spans="1:12" x14ac:dyDescent="0.25">
      <c r="A14" t="s">
        <v>94</v>
      </c>
      <c r="B14">
        <v>2.5</v>
      </c>
      <c r="C14">
        <v>0.1</v>
      </c>
      <c r="D14">
        <f t="shared" si="2"/>
        <v>110.7008</v>
      </c>
      <c r="E14">
        <f t="shared" si="0"/>
        <v>142.3296</v>
      </c>
      <c r="F14" s="19">
        <f t="shared" si="1"/>
        <v>0.1423296</v>
      </c>
      <c r="G14" s="21"/>
      <c r="K14" s="31" t="s">
        <v>67</v>
      </c>
      <c r="L14" s="32">
        <f>L6+L6*$H$5</f>
        <v>0.12713400820809886</v>
      </c>
    </row>
    <row r="15" spans="1:12" x14ac:dyDescent="0.25">
      <c r="F15" s="19"/>
    </row>
    <row r="16" spans="1:12" x14ac:dyDescent="0.25">
      <c r="F16" s="19"/>
      <c r="K16" s="33" t="s">
        <v>141</v>
      </c>
      <c r="L16" s="33"/>
    </row>
    <row r="17" spans="5:12" x14ac:dyDescent="0.25">
      <c r="E17" s="19"/>
      <c r="F17" s="20"/>
      <c r="K17" s="33" t="s">
        <v>85</v>
      </c>
      <c r="L17" s="33" t="s">
        <v>142</v>
      </c>
    </row>
    <row r="18" spans="5:12" x14ac:dyDescent="0.25">
      <c r="E18" s="19"/>
      <c r="F18" s="20"/>
      <c r="K18" s="34" t="s">
        <v>96</v>
      </c>
      <c r="L18" s="35">
        <f>(L11-$L$14)/'set up'!U6</f>
        <v>0.89694905738045771</v>
      </c>
    </row>
    <row r="19" spans="5:12" x14ac:dyDescent="0.25">
      <c r="E19" s="3"/>
      <c r="F19" s="17"/>
      <c r="K19" s="34" t="s">
        <v>97</v>
      </c>
      <c r="L19" s="35">
        <f>(L12-$L$14)/'set up'!U7</f>
        <v>0.97667786248094235</v>
      </c>
    </row>
    <row r="20" spans="5:12" x14ac:dyDescent="0.25">
      <c r="E20" s="3"/>
      <c r="F20" s="3"/>
      <c r="K20" s="34" t="s">
        <v>95</v>
      </c>
      <c r="L20" s="35">
        <f>(L13-$L$14)/'set up'!U8</f>
        <v>1.0848812408316006</v>
      </c>
    </row>
    <row r="21" spans="5:12" x14ac:dyDescent="0.25">
      <c r="L21" s="27"/>
    </row>
    <row r="22" spans="5:12" x14ac:dyDescent="0.25">
      <c r="F22" s="19"/>
    </row>
    <row r="23" spans="5:12" x14ac:dyDescent="0.25">
      <c r="F23" s="19"/>
    </row>
    <row r="24" spans="5:12" x14ac:dyDescent="0.25">
      <c r="F24" s="19"/>
    </row>
    <row r="25" spans="5:12" x14ac:dyDescent="0.25">
      <c r="F25" s="19"/>
    </row>
    <row r="26" spans="5:12" x14ac:dyDescent="0.25">
      <c r="F26" s="19"/>
    </row>
    <row r="27" spans="5:12" x14ac:dyDescent="0.25">
      <c r="F27" s="19"/>
    </row>
    <row r="28" spans="5:12" x14ac:dyDescent="0.25">
      <c r="F28" s="19"/>
    </row>
    <row r="29" spans="5:12" x14ac:dyDescent="0.25">
      <c r="F29" s="19"/>
    </row>
    <row r="30" spans="5:12" x14ac:dyDescent="0.25">
      <c r="F30" s="19"/>
    </row>
    <row r="31" spans="5:12" x14ac:dyDescent="0.25">
      <c r="F31" s="19"/>
    </row>
    <row r="32" spans="5:12" x14ac:dyDescent="0.25">
      <c r="F32" s="19"/>
    </row>
    <row r="33" spans="5:6" x14ac:dyDescent="0.25">
      <c r="E33" s="3"/>
      <c r="F33" s="17"/>
    </row>
    <row r="34" spans="5:6" x14ac:dyDescent="0.25">
      <c r="E34" s="3"/>
      <c r="F34" s="3"/>
    </row>
    <row r="36" spans="5:6" x14ac:dyDescent="0.25">
      <c r="F36" s="19"/>
    </row>
    <row r="37" spans="5:6" x14ac:dyDescent="0.25">
      <c r="F37" s="19"/>
    </row>
    <row r="38" spans="5:6" x14ac:dyDescent="0.25">
      <c r="F38" s="19"/>
    </row>
    <row r="39" spans="5:6" x14ac:dyDescent="0.25">
      <c r="F39" s="19"/>
    </row>
    <row r="40" spans="5:6" x14ac:dyDescent="0.25">
      <c r="F40" s="19"/>
    </row>
    <row r="41" spans="5:6" x14ac:dyDescent="0.25">
      <c r="F41" s="19"/>
    </row>
    <row r="42" spans="5:6" x14ac:dyDescent="0.25">
      <c r="F42" s="19"/>
    </row>
    <row r="43" spans="5:6" x14ac:dyDescent="0.25">
      <c r="F43" s="19"/>
    </row>
    <row r="44" spans="5:6" x14ac:dyDescent="0.25">
      <c r="F44" s="19"/>
    </row>
  </sheetData>
  <mergeCells count="1">
    <mergeCell ref="H5:H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5"/>
  <sheetViews>
    <sheetView workbookViewId="0">
      <selection activeCell="X32" sqref="X32"/>
    </sheetView>
  </sheetViews>
  <sheetFormatPr defaultRowHeight="15" x14ac:dyDescent="0.25"/>
  <cols>
    <col min="1" max="1" width="26" customWidth="1"/>
  </cols>
  <sheetData>
    <row r="1" spans="1:15" ht="15.75" thickBot="1" x14ac:dyDescent="0.3"/>
    <row r="2" spans="1:15" x14ac:dyDescent="0.25">
      <c r="A2" s="44" t="s">
        <v>70</v>
      </c>
      <c r="B2" s="45">
        <v>0</v>
      </c>
      <c r="C2" s="45">
        <v>1</v>
      </c>
      <c r="D2" s="45">
        <v>1.0001</v>
      </c>
      <c r="E2" s="45">
        <v>2</v>
      </c>
      <c r="F2" s="45">
        <v>2.0001000000000002</v>
      </c>
      <c r="G2" s="45">
        <v>3</v>
      </c>
      <c r="H2" s="45">
        <v>3.0001000000000002</v>
      </c>
      <c r="I2" s="45">
        <v>4</v>
      </c>
      <c r="J2" s="45">
        <v>4.0000999999999998</v>
      </c>
      <c r="K2" s="45">
        <v>5</v>
      </c>
      <c r="L2" s="45">
        <v>5.0000999999999998</v>
      </c>
      <c r="M2" s="45">
        <v>6</v>
      </c>
      <c r="N2" s="45">
        <v>6.0000999999999998</v>
      </c>
      <c r="O2" s="46">
        <v>7</v>
      </c>
    </row>
    <row r="3" spans="1:15" x14ac:dyDescent="0.25">
      <c r="A3" s="47" t="s">
        <v>46</v>
      </c>
      <c r="B3" s="23">
        <v>7.14</v>
      </c>
      <c r="C3" s="23">
        <v>5.29</v>
      </c>
      <c r="D3" s="23" t="e">
        <v>#N/A</v>
      </c>
      <c r="E3" s="23">
        <v>5.28</v>
      </c>
      <c r="F3" s="23" t="e">
        <v>#N/A</v>
      </c>
      <c r="G3" s="23">
        <v>5.42</v>
      </c>
      <c r="H3" s="23" t="e">
        <v>#N/A</v>
      </c>
      <c r="I3" s="23">
        <v>5.54</v>
      </c>
      <c r="J3" s="23" t="e">
        <v>#N/A</v>
      </c>
      <c r="K3" s="23">
        <v>5.6</v>
      </c>
      <c r="L3" s="23" t="e">
        <v>#N/A</v>
      </c>
      <c r="M3" s="23">
        <v>5.71</v>
      </c>
      <c r="N3" s="23" t="e">
        <v>#N/A</v>
      </c>
      <c r="O3" s="61">
        <v>6.18</v>
      </c>
    </row>
    <row r="4" spans="1:15" x14ac:dyDescent="0.25">
      <c r="A4" s="47" t="s">
        <v>49</v>
      </c>
      <c r="B4" s="23">
        <v>6.97</v>
      </c>
      <c r="C4" s="23">
        <v>5.18</v>
      </c>
      <c r="D4" s="23" t="e">
        <v>#N/A</v>
      </c>
      <c r="E4" s="23">
        <v>5.16</v>
      </c>
      <c r="F4" s="23" t="e">
        <v>#N/A</v>
      </c>
      <c r="G4" s="23">
        <v>5.63</v>
      </c>
      <c r="H4" s="23" t="e">
        <v>#N/A</v>
      </c>
      <c r="I4" s="23">
        <v>5.65</v>
      </c>
      <c r="J4" s="23" t="e">
        <v>#N/A</v>
      </c>
      <c r="K4" s="23">
        <v>5.84</v>
      </c>
      <c r="L4" s="23" t="e">
        <v>#N/A</v>
      </c>
      <c r="M4" s="23">
        <v>5.82</v>
      </c>
      <c r="N4" s="23" t="e">
        <v>#N/A</v>
      </c>
      <c r="O4" s="61">
        <v>6</v>
      </c>
    </row>
    <row r="5" spans="1:15" x14ac:dyDescent="0.25">
      <c r="A5" s="47" t="s">
        <v>50</v>
      </c>
      <c r="B5" s="23">
        <v>6.89</v>
      </c>
      <c r="C5" s="23">
        <v>4.99</v>
      </c>
      <c r="D5" s="23">
        <v>5.37</v>
      </c>
      <c r="E5" s="23">
        <v>4.92</v>
      </c>
      <c r="F5" s="23">
        <v>5.18</v>
      </c>
      <c r="G5" s="23">
        <v>5.32</v>
      </c>
      <c r="H5" s="23">
        <v>5.54</v>
      </c>
      <c r="I5" s="23">
        <v>5.79</v>
      </c>
      <c r="J5" s="23" t="e">
        <v>#N/A</v>
      </c>
      <c r="K5" s="23">
        <v>6.14</v>
      </c>
      <c r="L5" s="23">
        <v>5.98</v>
      </c>
      <c r="M5" s="23">
        <v>6.17</v>
      </c>
      <c r="N5" s="23">
        <v>5.78</v>
      </c>
      <c r="O5" s="61">
        <v>6.16</v>
      </c>
    </row>
    <row r="6" spans="1:15" x14ac:dyDescent="0.25">
      <c r="A6" s="47" t="s">
        <v>51</v>
      </c>
      <c r="B6" s="23">
        <v>6.82</v>
      </c>
      <c r="C6" s="23">
        <v>4.9800000000000004</v>
      </c>
      <c r="D6" s="23">
        <v>5.23</v>
      </c>
      <c r="E6" s="23">
        <v>4.88</v>
      </c>
      <c r="F6" s="23">
        <v>5.31</v>
      </c>
      <c r="G6" s="23">
        <v>6.02</v>
      </c>
      <c r="H6" s="23">
        <v>5.77</v>
      </c>
      <c r="I6" s="23">
        <v>5.66</v>
      </c>
      <c r="J6" s="23" t="e">
        <v>#N/A</v>
      </c>
      <c r="K6" s="23">
        <v>5.81</v>
      </c>
      <c r="L6" s="23" t="e">
        <v>#N/A</v>
      </c>
      <c r="M6" s="23">
        <v>5.81</v>
      </c>
      <c r="N6" s="23" t="e">
        <v>#N/A</v>
      </c>
      <c r="O6" s="61">
        <v>5.88</v>
      </c>
    </row>
    <row r="7" spans="1:15" x14ac:dyDescent="0.25">
      <c r="A7" s="47" t="s">
        <v>52</v>
      </c>
      <c r="B7" s="23">
        <v>6.93</v>
      </c>
      <c r="C7" s="23">
        <v>5.68</v>
      </c>
      <c r="D7" s="23" t="e">
        <v>#N/A</v>
      </c>
      <c r="E7" s="23">
        <v>6.95</v>
      </c>
      <c r="F7" s="23" t="e">
        <v>#N/A</v>
      </c>
      <c r="G7" s="23">
        <v>7.07</v>
      </c>
      <c r="H7" s="23" t="e">
        <v>#N/A</v>
      </c>
      <c r="I7" s="23">
        <v>7.24</v>
      </c>
      <c r="J7" s="23" t="e">
        <v>#N/A</v>
      </c>
      <c r="K7" s="23">
        <v>7.4</v>
      </c>
      <c r="L7" s="23" t="e">
        <v>#N/A</v>
      </c>
      <c r="M7" s="23">
        <v>7.5</v>
      </c>
      <c r="N7" s="23" t="e">
        <v>#N/A</v>
      </c>
      <c r="O7" s="61">
        <v>7.61</v>
      </c>
    </row>
    <row r="8" spans="1:15" x14ac:dyDescent="0.25">
      <c r="A8" s="47" t="s">
        <v>53</v>
      </c>
      <c r="B8" s="23">
        <v>6.94</v>
      </c>
      <c r="C8" s="23">
        <v>5.56</v>
      </c>
      <c r="D8" s="23" t="e">
        <v>#N/A</v>
      </c>
      <c r="E8" s="23">
        <v>6.9</v>
      </c>
      <c r="F8" s="23" t="e">
        <v>#N/A</v>
      </c>
      <c r="G8" s="23">
        <v>7.03</v>
      </c>
      <c r="H8" s="23" t="e">
        <v>#N/A</v>
      </c>
      <c r="I8" s="23">
        <v>7.19</v>
      </c>
      <c r="J8" s="23" t="e">
        <v>#N/A</v>
      </c>
      <c r="K8" s="23">
        <v>7.3</v>
      </c>
      <c r="L8" s="23" t="e">
        <v>#N/A</v>
      </c>
      <c r="M8" s="23">
        <v>7.38</v>
      </c>
      <c r="N8" s="23" t="e">
        <v>#N/A</v>
      </c>
      <c r="O8" s="61">
        <v>7.5</v>
      </c>
    </row>
    <row r="9" spans="1:15" x14ac:dyDescent="0.25">
      <c r="A9" s="47" t="s">
        <v>54</v>
      </c>
      <c r="B9" s="23">
        <v>6.92</v>
      </c>
      <c r="C9" s="23">
        <v>5.04</v>
      </c>
      <c r="D9" s="23">
        <v>5.73</v>
      </c>
      <c r="E9" s="23">
        <v>5.09</v>
      </c>
      <c r="F9" s="23">
        <v>6.95</v>
      </c>
      <c r="G9" s="23">
        <v>6.1</v>
      </c>
      <c r="H9" s="23">
        <v>7.2</v>
      </c>
      <c r="I9" s="23">
        <v>6.7</v>
      </c>
      <c r="J9" s="23">
        <v>7.5</v>
      </c>
      <c r="K9" s="23">
        <v>6.79</v>
      </c>
      <c r="L9" s="23">
        <v>7.43</v>
      </c>
      <c r="M9" s="23">
        <v>6.94</v>
      </c>
      <c r="N9" s="23">
        <v>7.59</v>
      </c>
      <c r="O9" s="61">
        <v>6.52</v>
      </c>
    </row>
    <row r="10" spans="1:15" x14ac:dyDescent="0.25">
      <c r="A10" s="47" t="s">
        <v>55</v>
      </c>
      <c r="B10" s="23">
        <v>6.82</v>
      </c>
      <c r="C10" s="23">
        <v>5.07</v>
      </c>
      <c r="D10" s="23">
        <v>5.6</v>
      </c>
      <c r="E10" s="23">
        <v>5.0199999999999996</v>
      </c>
      <c r="F10" s="23">
        <v>7.12</v>
      </c>
      <c r="G10" s="23">
        <v>5.81</v>
      </c>
      <c r="H10" s="23">
        <v>6.96</v>
      </c>
      <c r="I10" s="23">
        <v>6.57</v>
      </c>
      <c r="J10" s="23">
        <v>7.32</v>
      </c>
      <c r="K10" s="23">
        <v>6.85</v>
      </c>
      <c r="L10" s="23">
        <v>7.45</v>
      </c>
      <c r="M10" s="23">
        <v>6.94</v>
      </c>
      <c r="N10" s="23">
        <v>7.54</v>
      </c>
      <c r="O10" s="61">
        <v>7.19</v>
      </c>
    </row>
    <row r="11" spans="1:15" x14ac:dyDescent="0.25">
      <c r="A11" s="47" t="s">
        <v>56</v>
      </c>
      <c r="B11" s="23">
        <v>6.87</v>
      </c>
      <c r="C11" s="23">
        <v>6.03</v>
      </c>
      <c r="D11" s="23" t="e">
        <v>#N/A</v>
      </c>
      <c r="E11" s="23">
        <v>8.01</v>
      </c>
      <c r="F11" s="23" t="e">
        <v>#N/A</v>
      </c>
      <c r="G11" s="23">
        <v>8.4499999999999993</v>
      </c>
      <c r="H11" s="23" t="e">
        <v>#N/A</v>
      </c>
      <c r="I11" s="23">
        <v>8.4499999999999993</v>
      </c>
      <c r="J11" s="23" t="e">
        <v>#N/A</v>
      </c>
      <c r="K11" s="23">
        <v>8.34</v>
      </c>
      <c r="L11" s="23" t="e">
        <v>#N/A</v>
      </c>
      <c r="M11" s="23">
        <v>8.15</v>
      </c>
      <c r="N11" s="23" t="e">
        <v>#N/A</v>
      </c>
      <c r="O11" s="61">
        <v>8.19</v>
      </c>
    </row>
    <row r="12" spans="1:15" x14ac:dyDescent="0.25">
      <c r="A12" s="47" t="s">
        <v>57</v>
      </c>
      <c r="B12" s="23">
        <v>6.85</v>
      </c>
      <c r="C12" s="23">
        <v>6.36</v>
      </c>
      <c r="D12" s="23" t="e">
        <v>#N/A</v>
      </c>
      <c r="E12" s="23">
        <v>7.25</v>
      </c>
      <c r="F12" s="23" t="e">
        <v>#N/A</v>
      </c>
      <c r="G12" s="23">
        <v>8.0500000000000007</v>
      </c>
      <c r="H12" s="23" t="e">
        <v>#N/A</v>
      </c>
      <c r="I12" s="23">
        <v>8.2899999999999991</v>
      </c>
      <c r="J12" s="23" t="e">
        <v>#N/A</v>
      </c>
      <c r="K12" s="23">
        <v>8.3800000000000008</v>
      </c>
      <c r="L12" s="23" t="e">
        <v>#N/A</v>
      </c>
      <c r="M12" s="23">
        <v>8.23</v>
      </c>
      <c r="N12" s="23" t="e">
        <v>#N/A</v>
      </c>
      <c r="O12" s="61">
        <v>8.1999999999999993</v>
      </c>
    </row>
    <row r="13" spans="1:15" x14ac:dyDescent="0.25">
      <c r="A13" s="47" t="s">
        <v>58</v>
      </c>
      <c r="B13" s="23">
        <v>6.82</v>
      </c>
      <c r="C13" s="23">
        <v>5.0599999999999996</v>
      </c>
      <c r="D13" s="23">
        <v>6.2</v>
      </c>
      <c r="E13" s="23">
        <v>5.26</v>
      </c>
      <c r="F13" s="23">
        <v>7.81</v>
      </c>
      <c r="G13" s="23">
        <v>6.36</v>
      </c>
      <c r="H13" s="23">
        <v>8.27</v>
      </c>
      <c r="I13" s="23">
        <v>6.8</v>
      </c>
      <c r="J13" s="23">
        <v>8.36</v>
      </c>
      <c r="K13" s="23">
        <v>6.93</v>
      </c>
      <c r="L13" s="23">
        <v>8.3000000000000007</v>
      </c>
      <c r="M13" s="23">
        <v>7.11</v>
      </c>
      <c r="N13" s="23">
        <v>8.31</v>
      </c>
      <c r="O13" s="61">
        <v>6.58</v>
      </c>
    </row>
    <row r="14" spans="1:15" x14ac:dyDescent="0.25">
      <c r="A14" s="47" t="s">
        <v>59</v>
      </c>
      <c r="B14" s="23">
        <v>6.73</v>
      </c>
      <c r="C14" s="23">
        <v>5.04</v>
      </c>
      <c r="D14" s="23">
        <v>6.09</v>
      </c>
      <c r="E14" s="23">
        <v>5.2</v>
      </c>
      <c r="F14" s="23">
        <v>7.81</v>
      </c>
      <c r="G14" s="23">
        <v>6.41</v>
      </c>
      <c r="H14" s="23">
        <v>8.15</v>
      </c>
      <c r="I14" s="23">
        <v>6.72</v>
      </c>
      <c r="J14" s="23">
        <v>8.42</v>
      </c>
      <c r="K14" s="23">
        <v>6.94</v>
      </c>
      <c r="L14" s="23">
        <v>8.4</v>
      </c>
      <c r="M14" s="23">
        <v>7.29</v>
      </c>
      <c r="N14" s="23">
        <v>8.1999999999999993</v>
      </c>
      <c r="O14" s="61">
        <v>7.28</v>
      </c>
    </row>
    <row r="15" spans="1:15" x14ac:dyDescent="0.25">
      <c r="A15" s="47" t="s">
        <v>60</v>
      </c>
      <c r="B15" s="23">
        <v>6.92</v>
      </c>
      <c r="C15" s="23">
        <v>5.13</v>
      </c>
      <c r="D15" s="23" t="e">
        <v>#N/A</v>
      </c>
      <c r="E15" s="23">
        <v>4.92</v>
      </c>
      <c r="F15" s="23" t="e">
        <v>#N/A</v>
      </c>
      <c r="G15" s="23">
        <v>4.99</v>
      </c>
      <c r="H15" s="23" t="e">
        <v>#N/A</v>
      </c>
      <c r="I15" s="23">
        <v>5.65</v>
      </c>
      <c r="J15" s="23" t="e">
        <v>#N/A</v>
      </c>
      <c r="K15" s="23">
        <v>5.63</v>
      </c>
      <c r="L15" s="23" t="e">
        <v>#N/A</v>
      </c>
      <c r="M15" s="23">
        <v>5.91</v>
      </c>
      <c r="N15" s="23" t="e">
        <v>#N/A</v>
      </c>
      <c r="O15" s="61">
        <v>5.94</v>
      </c>
    </row>
    <row r="16" spans="1:15" ht="15.75" thickBot="1" x14ac:dyDescent="0.3">
      <c r="A16" s="50" t="s">
        <v>61</v>
      </c>
      <c r="B16" s="41">
        <v>6.69</v>
      </c>
      <c r="C16" s="41">
        <v>5.16</v>
      </c>
      <c r="D16" s="41" t="e">
        <v>#N/A</v>
      </c>
      <c r="E16" s="41">
        <v>4.96</v>
      </c>
      <c r="F16" s="41" t="e">
        <v>#N/A</v>
      </c>
      <c r="G16" s="41">
        <v>5.36</v>
      </c>
      <c r="H16" s="41" t="e">
        <v>#N/A</v>
      </c>
      <c r="I16" s="41">
        <v>5.3</v>
      </c>
      <c r="J16" s="41" t="e">
        <v>#N/A</v>
      </c>
      <c r="K16" s="41">
        <v>5.74</v>
      </c>
      <c r="L16" s="41" t="e">
        <v>#N/A</v>
      </c>
      <c r="M16" s="41">
        <v>5.78</v>
      </c>
      <c r="N16" s="41" t="e">
        <v>#N/A</v>
      </c>
      <c r="O16" s="62">
        <v>5.95</v>
      </c>
    </row>
    <row r="18" spans="1:15" ht="15.75" thickBot="1" x14ac:dyDescent="0.3"/>
    <row r="19" spans="1:15" x14ac:dyDescent="0.25">
      <c r="A19" s="44" t="s">
        <v>71</v>
      </c>
      <c r="B19" s="68">
        <v>0</v>
      </c>
      <c r="C19" s="68">
        <v>1</v>
      </c>
      <c r="D19" s="68">
        <v>1.0001</v>
      </c>
      <c r="E19" s="68">
        <v>2</v>
      </c>
      <c r="F19" s="68">
        <v>2.0001000000000002</v>
      </c>
      <c r="G19" s="68">
        <v>3</v>
      </c>
      <c r="H19" s="68">
        <v>3.0001000000000002</v>
      </c>
      <c r="I19" s="68">
        <v>4</v>
      </c>
      <c r="J19" s="68">
        <v>4.0000999999999998</v>
      </c>
      <c r="K19" s="68">
        <v>5</v>
      </c>
      <c r="L19" s="68">
        <v>5.0000999999999998</v>
      </c>
      <c r="M19" s="68">
        <v>6</v>
      </c>
      <c r="N19" s="68">
        <v>6.0000999999999998</v>
      </c>
      <c r="O19" s="69">
        <v>7</v>
      </c>
    </row>
    <row r="20" spans="1:15" x14ac:dyDescent="0.25">
      <c r="A20" s="47" t="s">
        <v>15</v>
      </c>
      <c r="B20" s="23">
        <f>AVERAGE(B3:B4)</f>
        <v>7.0549999999999997</v>
      </c>
      <c r="C20" s="23">
        <f t="shared" ref="C20:I20" si="0">AVERAGE(C3:C4)</f>
        <v>5.2349999999999994</v>
      </c>
      <c r="D20" s="23" t="e">
        <f t="shared" si="0"/>
        <v>#N/A</v>
      </c>
      <c r="E20" s="23">
        <f t="shared" si="0"/>
        <v>5.2200000000000006</v>
      </c>
      <c r="F20" s="23" t="e">
        <f t="shared" si="0"/>
        <v>#N/A</v>
      </c>
      <c r="G20" s="23">
        <f t="shared" si="0"/>
        <v>5.5250000000000004</v>
      </c>
      <c r="H20" s="23" t="e">
        <f t="shared" si="0"/>
        <v>#N/A</v>
      </c>
      <c r="I20" s="23">
        <f t="shared" si="0"/>
        <v>5.5950000000000006</v>
      </c>
      <c r="J20" s="23" t="e">
        <f t="shared" ref="J20:O20" si="1">AVERAGE(J3:J4)</f>
        <v>#N/A</v>
      </c>
      <c r="K20" s="23">
        <f t="shared" si="1"/>
        <v>5.72</v>
      </c>
      <c r="L20" s="23" t="e">
        <f t="shared" si="1"/>
        <v>#N/A</v>
      </c>
      <c r="M20" s="23">
        <f t="shared" si="1"/>
        <v>5.7650000000000006</v>
      </c>
      <c r="N20" s="23" t="e">
        <f t="shared" si="1"/>
        <v>#N/A</v>
      </c>
      <c r="O20" s="61">
        <f t="shared" si="1"/>
        <v>6.09</v>
      </c>
    </row>
    <row r="21" spans="1:15" x14ac:dyDescent="0.25">
      <c r="A21" s="47" t="s">
        <v>134</v>
      </c>
      <c r="B21" s="23">
        <f>AVERAGE(B5:B6)</f>
        <v>6.8550000000000004</v>
      </c>
      <c r="C21" s="23">
        <f>AVERAGE(C5:C6)</f>
        <v>4.9850000000000003</v>
      </c>
      <c r="D21" s="23">
        <f t="shared" ref="D21:I21" si="2">AVERAGE(D5:D6)</f>
        <v>5.3000000000000007</v>
      </c>
      <c r="E21" s="23">
        <f t="shared" si="2"/>
        <v>4.9000000000000004</v>
      </c>
      <c r="F21" s="23">
        <f t="shared" si="2"/>
        <v>5.2449999999999992</v>
      </c>
      <c r="G21" s="23">
        <f t="shared" si="2"/>
        <v>5.67</v>
      </c>
      <c r="H21" s="23">
        <f t="shared" si="2"/>
        <v>5.6549999999999994</v>
      </c>
      <c r="I21" s="23">
        <f t="shared" si="2"/>
        <v>5.7249999999999996</v>
      </c>
      <c r="J21" s="23" t="e">
        <f t="shared" ref="J21:O21" si="3">AVERAGE(J5:J6)</f>
        <v>#N/A</v>
      </c>
      <c r="K21" s="23">
        <f t="shared" si="3"/>
        <v>5.9749999999999996</v>
      </c>
      <c r="L21" s="23" t="e">
        <f t="shared" si="3"/>
        <v>#N/A</v>
      </c>
      <c r="M21" s="23">
        <f t="shared" si="3"/>
        <v>5.99</v>
      </c>
      <c r="N21" s="23" t="e">
        <f t="shared" si="3"/>
        <v>#N/A</v>
      </c>
      <c r="O21" s="61">
        <f t="shared" si="3"/>
        <v>6.02</v>
      </c>
    </row>
    <row r="22" spans="1:15" x14ac:dyDescent="0.25">
      <c r="A22" s="47" t="s">
        <v>16</v>
      </c>
      <c r="B22" s="23">
        <f>AVERAGE(B7:B8)</f>
        <v>6.9350000000000005</v>
      </c>
      <c r="C22" s="23">
        <f t="shared" ref="C22:I22" si="4">AVERAGE(C7:C8)</f>
        <v>5.6199999999999992</v>
      </c>
      <c r="D22" s="23" t="e">
        <f t="shared" si="4"/>
        <v>#N/A</v>
      </c>
      <c r="E22" s="23">
        <f t="shared" si="4"/>
        <v>6.9250000000000007</v>
      </c>
      <c r="F22" s="23" t="e">
        <f t="shared" si="4"/>
        <v>#N/A</v>
      </c>
      <c r="G22" s="23">
        <f t="shared" si="4"/>
        <v>7.0500000000000007</v>
      </c>
      <c r="H22" s="23" t="e">
        <f t="shared" si="4"/>
        <v>#N/A</v>
      </c>
      <c r="I22" s="23">
        <f t="shared" si="4"/>
        <v>7.2149999999999999</v>
      </c>
      <c r="J22" s="23" t="e">
        <f t="shared" ref="J22:O22" si="5">AVERAGE(J7:J8)</f>
        <v>#N/A</v>
      </c>
      <c r="K22" s="23">
        <f t="shared" si="5"/>
        <v>7.35</v>
      </c>
      <c r="L22" s="23" t="e">
        <f t="shared" si="5"/>
        <v>#N/A</v>
      </c>
      <c r="M22" s="23">
        <f t="shared" si="5"/>
        <v>7.4399999999999995</v>
      </c>
      <c r="N22" s="23" t="e">
        <f t="shared" si="5"/>
        <v>#N/A</v>
      </c>
      <c r="O22" s="61">
        <f t="shared" si="5"/>
        <v>7.5549999999999997</v>
      </c>
    </row>
    <row r="23" spans="1:15" x14ac:dyDescent="0.25">
      <c r="A23" s="47" t="s">
        <v>135</v>
      </c>
      <c r="B23" s="23">
        <f>AVERAGE(B9:B10)</f>
        <v>6.87</v>
      </c>
      <c r="C23" s="23">
        <f t="shared" ref="C23:I23" si="6">AVERAGE(C9:C10)</f>
        <v>5.0549999999999997</v>
      </c>
      <c r="D23" s="23">
        <f t="shared" si="6"/>
        <v>5.665</v>
      </c>
      <c r="E23" s="23">
        <f t="shared" si="6"/>
        <v>5.0549999999999997</v>
      </c>
      <c r="F23" s="23">
        <f t="shared" si="6"/>
        <v>7.0350000000000001</v>
      </c>
      <c r="G23" s="23">
        <f t="shared" si="6"/>
        <v>5.9550000000000001</v>
      </c>
      <c r="H23" s="23">
        <f t="shared" si="6"/>
        <v>7.08</v>
      </c>
      <c r="I23" s="23">
        <f t="shared" si="6"/>
        <v>6.6349999999999998</v>
      </c>
      <c r="J23" s="23">
        <f t="shared" ref="J23:O23" si="7">AVERAGE(J9:J10)</f>
        <v>7.41</v>
      </c>
      <c r="K23" s="23">
        <f t="shared" si="7"/>
        <v>6.82</v>
      </c>
      <c r="L23" s="23">
        <f t="shared" si="7"/>
        <v>7.4399999999999995</v>
      </c>
      <c r="M23" s="23">
        <f t="shared" si="7"/>
        <v>6.94</v>
      </c>
      <c r="N23" s="23">
        <f t="shared" si="7"/>
        <v>7.5649999999999995</v>
      </c>
      <c r="O23" s="61">
        <f t="shared" si="7"/>
        <v>6.8550000000000004</v>
      </c>
    </row>
    <row r="24" spans="1:15" x14ac:dyDescent="0.25">
      <c r="A24" s="47" t="s">
        <v>17</v>
      </c>
      <c r="B24" s="23">
        <f>AVERAGE(B11:B12)</f>
        <v>6.8599999999999994</v>
      </c>
      <c r="C24" s="23">
        <f t="shared" ref="C24:I24" si="8">AVERAGE(C11:C12)</f>
        <v>6.1950000000000003</v>
      </c>
      <c r="D24" s="23" t="e">
        <f t="shared" si="8"/>
        <v>#N/A</v>
      </c>
      <c r="E24" s="23">
        <f t="shared" si="8"/>
        <v>7.63</v>
      </c>
      <c r="F24" s="23" t="e">
        <f t="shared" si="8"/>
        <v>#N/A</v>
      </c>
      <c r="G24" s="23">
        <f t="shared" si="8"/>
        <v>8.25</v>
      </c>
      <c r="H24" s="23" t="e">
        <f t="shared" si="8"/>
        <v>#N/A</v>
      </c>
      <c r="I24" s="23">
        <f t="shared" si="8"/>
        <v>8.3699999999999992</v>
      </c>
      <c r="J24" s="23" t="e">
        <f t="shared" ref="J24:O24" si="9">AVERAGE(J11:J12)</f>
        <v>#N/A</v>
      </c>
      <c r="K24" s="23">
        <f t="shared" si="9"/>
        <v>8.36</v>
      </c>
      <c r="L24" s="23" t="e">
        <f t="shared" si="9"/>
        <v>#N/A</v>
      </c>
      <c r="M24" s="23">
        <f t="shared" si="9"/>
        <v>8.1900000000000013</v>
      </c>
      <c r="N24" s="23" t="e">
        <f t="shared" si="9"/>
        <v>#N/A</v>
      </c>
      <c r="O24" s="61">
        <f t="shared" si="9"/>
        <v>8.1950000000000003</v>
      </c>
    </row>
    <row r="25" spans="1:15" x14ac:dyDescent="0.25">
      <c r="A25" s="47" t="s">
        <v>136</v>
      </c>
      <c r="B25" s="23">
        <f>AVERAGE(B13:B14)</f>
        <v>6.7750000000000004</v>
      </c>
      <c r="C25" s="23">
        <f t="shared" ref="C25:I25" si="10">AVERAGE(C13:C14)</f>
        <v>5.05</v>
      </c>
      <c r="D25" s="23">
        <f t="shared" si="10"/>
        <v>6.1449999999999996</v>
      </c>
      <c r="E25" s="23">
        <f t="shared" si="10"/>
        <v>5.23</v>
      </c>
      <c r="F25" s="23">
        <f t="shared" si="10"/>
        <v>7.81</v>
      </c>
      <c r="G25" s="23">
        <f t="shared" si="10"/>
        <v>6.3849999999999998</v>
      </c>
      <c r="H25" s="23">
        <f t="shared" si="10"/>
        <v>8.2100000000000009</v>
      </c>
      <c r="I25" s="23">
        <f t="shared" si="10"/>
        <v>6.76</v>
      </c>
      <c r="J25" s="23">
        <f t="shared" ref="J25:O25" si="11">AVERAGE(J13:J14)</f>
        <v>8.39</v>
      </c>
      <c r="K25" s="23">
        <f t="shared" si="11"/>
        <v>6.9350000000000005</v>
      </c>
      <c r="L25" s="23">
        <f t="shared" si="11"/>
        <v>8.3500000000000014</v>
      </c>
      <c r="M25" s="23">
        <f t="shared" si="11"/>
        <v>7.2</v>
      </c>
      <c r="N25" s="23">
        <f t="shared" si="11"/>
        <v>8.254999999999999</v>
      </c>
      <c r="O25" s="61">
        <f t="shared" si="11"/>
        <v>6.93</v>
      </c>
    </row>
    <row r="26" spans="1:15" ht="15.75" thickBot="1" x14ac:dyDescent="0.3">
      <c r="A26" s="50" t="s">
        <v>67</v>
      </c>
      <c r="B26" s="41">
        <f>AVERAGE(B15:B16)</f>
        <v>6.8049999999999997</v>
      </c>
      <c r="C26" s="41">
        <f t="shared" ref="C26:I26" si="12">AVERAGE(C15:C16)</f>
        <v>5.1449999999999996</v>
      </c>
      <c r="D26" s="41" t="e">
        <f t="shared" si="12"/>
        <v>#N/A</v>
      </c>
      <c r="E26" s="41">
        <f t="shared" si="12"/>
        <v>4.9399999999999995</v>
      </c>
      <c r="F26" s="41" t="e">
        <f t="shared" si="12"/>
        <v>#N/A</v>
      </c>
      <c r="G26" s="41">
        <f t="shared" si="12"/>
        <v>5.1750000000000007</v>
      </c>
      <c r="H26" s="41" t="e">
        <f t="shared" si="12"/>
        <v>#N/A</v>
      </c>
      <c r="I26" s="41">
        <f t="shared" si="12"/>
        <v>5.4749999999999996</v>
      </c>
      <c r="J26" s="41" t="e">
        <f t="shared" ref="J26:O26" si="13">AVERAGE(J15:J16)</f>
        <v>#N/A</v>
      </c>
      <c r="K26" s="41">
        <f t="shared" si="13"/>
        <v>5.6850000000000005</v>
      </c>
      <c r="L26" s="41" t="e">
        <f t="shared" si="13"/>
        <v>#N/A</v>
      </c>
      <c r="M26" s="41">
        <f t="shared" si="13"/>
        <v>5.8450000000000006</v>
      </c>
      <c r="N26" s="41" t="e">
        <f t="shared" si="13"/>
        <v>#N/A</v>
      </c>
      <c r="O26" s="62">
        <f t="shared" si="13"/>
        <v>5.9450000000000003</v>
      </c>
    </row>
    <row r="27" spans="1:15" ht="15.75" thickBot="1" x14ac:dyDescent="0.3"/>
    <row r="28" spans="1:15" x14ac:dyDescent="0.25">
      <c r="A28" s="44" t="s">
        <v>140</v>
      </c>
      <c r="B28" s="68">
        <v>0</v>
      </c>
      <c r="C28" s="68">
        <v>1</v>
      </c>
      <c r="D28" s="68">
        <v>1.0001</v>
      </c>
      <c r="E28" s="68">
        <v>2</v>
      </c>
      <c r="F28" s="68">
        <v>2.0001000000000002</v>
      </c>
      <c r="G28" s="68">
        <v>3</v>
      </c>
      <c r="H28" s="68">
        <v>3.0001000000000002</v>
      </c>
      <c r="I28" s="68">
        <v>4</v>
      </c>
      <c r="J28" s="68">
        <v>4.0000999999999998</v>
      </c>
      <c r="K28" s="68">
        <v>5</v>
      </c>
      <c r="L28" s="68">
        <v>5.0000999999999998</v>
      </c>
      <c r="M28" s="68">
        <v>6</v>
      </c>
      <c r="N28" s="68">
        <v>6.0000999999999998</v>
      </c>
      <c r="O28" s="69">
        <v>7</v>
      </c>
    </row>
    <row r="29" spans="1:15" x14ac:dyDescent="0.25">
      <c r="A29" s="47" t="s">
        <v>15</v>
      </c>
      <c r="B29" s="23">
        <f>_xlfn.STDEV.P(B3:B4)</f>
        <v>8.4999999999999964E-2</v>
      </c>
      <c r="C29" s="23">
        <f t="shared" ref="C29:O29" si="14">_xlfn.STDEV.P(C3:C4)</f>
        <v>5.500000000000016E-2</v>
      </c>
      <c r="D29" s="23" t="e">
        <f t="shared" si="14"/>
        <v>#N/A</v>
      </c>
      <c r="E29" s="23">
        <f t="shared" si="14"/>
        <v>6.0000000000000053E-2</v>
      </c>
      <c r="F29" s="23" t="e">
        <f t="shared" si="14"/>
        <v>#N/A</v>
      </c>
      <c r="G29" s="23">
        <f t="shared" si="14"/>
        <v>0.10499999999999998</v>
      </c>
      <c r="H29" s="23" t="e">
        <f t="shared" si="14"/>
        <v>#N/A</v>
      </c>
      <c r="I29" s="23">
        <f t="shared" si="14"/>
        <v>5.500000000000016E-2</v>
      </c>
      <c r="J29" s="23" t="e">
        <f t="shared" si="14"/>
        <v>#N/A</v>
      </c>
      <c r="K29" s="23">
        <f t="shared" si="14"/>
        <v>0.12000000000000011</v>
      </c>
      <c r="L29" s="23" t="e">
        <f t="shared" si="14"/>
        <v>#N/A</v>
      </c>
      <c r="M29" s="23">
        <f t="shared" si="14"/>
        <v>5.500000000000016E-2</v>
      </c>
      <c r="N29" s="23" t="e">
        <f t="shared" si="14"/>
        <v>#N/A</v>
      </c>
      <c r="O29" s="61">
        <f t="shared" si="14"/>
        <v>8.9999999999999858E-2</v>
      </c>
    </row>
    <row r="30" spans="1:15" x14ac:dyDescent="0.25">
      <c r="A30" s="47" t="s">
        <v>134</v>
      </c>
      <c r="B30" s="23">
        <f>_xlfn.STDEV.P(B5:B6)</f>
        <v>3.4999999999999698E-2</v>
      </c>
      <c r="C30" s="23">
        <f t="shared" ref="C30:O30" si="15">_xlfn.STDEV.P(C5:C6)</f>
        <v>4.9999999999998934E-3</v>
      </c>
      <c r="D30" s="23">
        <f t="shared" si="15"/>
        <v>6.999999999999984E-2</v>
      </c>
      <c r="E30" s="23">
        <f t="shared" si="15"/>
        <v>2.0000000000000018E-2</v>
      </c>
      <c r="F30" s="23">
        <f t="shared" si="15"/>
        <v>6.4999999999999947E-2</v>
      </c>
      <c r="G30" s="23">
        <f t="shared" si="15"/>
        <v>0.34999999999999964</v>
      </c>
      <c r="H30" s="23">
        <f t="shared" si="15"/>
        <v>0.11499999999999977</v>
      </c>
      <c r="I30" s="23">
        <f t="shared" si="15"/>
        <v>6.4999999999999947E-2</v>
      </c>
      <c r="J30" s="23" t="e">
        <f t="shared" si="15"/>
        <v>#N/A</v>
      </c>
      <c r="K30" s="23">
        <f t="shared" si="15"/>
        <v>0.16500000000000004</v>
      </c>
      <c r="L30" s="23" t="e">
        <f t="shared" si="15"/>
        <v>#N/A</v>
      </c>
      <c r="M30" s="23">
        <f t="shared" si="15"/>
        <v>0.18000000000000016</v>
      </c>
      <c r="N30" s="23" t="e">
        <f t="shared" si="15"/>
        <v>#N/A</v>
      </c>
      <c r="O30" s="61">
        <f t="shared" si="15"/>
        <v>0.14000000000000012</v>
      </c>
    </row>
    <row r="31" spans="1:15" x14ac:dyDescent="0.25">
      <c r="A31" s="47" t="s">
        <v>16</v>
      </c>
      <c r="B31" s="23">
        <f>_xlfn.STDEV.P(B7:B8)</f>
        <v>5.0000000000003375E-3</v>
      </c>
      <c r="C31" s="23">
        <f t="shared" ref="C31:O31" si="16">_xlfn.STDEV.P(C7:C8)</f>
        <v>6.0000000000000053E-2</v>
      </c>
      <c r="D31" s="23" t="e">
        <f t="shared" si="16"/>
        <v>#N/A</v>
      </c>
      <c r="E31" s="23">
        <f t="shared" si="16"/>
        <v>2.4999999999999911E-2</v>
      </c>
      <c r="F31" s="23" t="e">
        <f t="shared" si="16"/>
        <v>#N/A</v>
      </c>
      <c r="G31" s="23">
        <f t="shared" si="16"/>
        <v>2.0000000000000018E-2</v>
      </c>
      <c r="H31" s="23" t="e">
        <f t="shared" si="16"/>
        <v>#N/A</v>
      </c>
      <c r="I31" s="23">
        <f t="shared" si="16"/>
        <v>2.4999999999999911E-2</v>
      </c>
      <c r="J31" s="23" t="e">
        <f t="shared" si="16"/>
        <v>#N/A</v>
      </c>
      <c r="K31" s="23">
        <f t="shared" si="16"/>
        <v>5.0000000000000266E-2</v>
      </c>
      <c r="L31" s="23" t="e">
        <f t="shared" si="16"/>
        <v>#N/A</v>
      </c>
      <c r="M31" s="23">
        <f t="shared" si="16"/>
        <v>6.0000000000000053E-2</v>
      </c>
      <c r="N31" s="23" t="e">
        <f t="shared" si="16"/>
        <v>#N/A</v>
      </c>
      <c r="O31" s="61">
        <f t="shared" si="16"/>
        <v>5.500000000000016E-2</v>
      </c>
    </row>
    <row r="32" spans="1:15" x14ac:dyDescent="0.25">
      <c r="A32" s="47" t="s">
        <v>135</v>
      </c>
      <c r="B32" s="23">
        <f>_xlfn.STDEV.P(B9:B10)</f>
        <v>4.9999999999999822E-2</v>
      </c>
      <c r="C32" s="23">
        <f t="shared" ref="C32:O32" si="17">_xlfn.STDEV.P(C9:C10)</f>
        <v>1.5000000000000124E-2</v>
      </c>
      <c r="D32" s="23">
        <f t="shared" si="17"/>
        <v>6.5000000000000391E-2</v>
      </c>
      <c r="E32" s="23">
        <f t="shared" si="17"/>
        <v>3.5000000000000142E-2</v>
      </c>
      <c r="F32" s="23">
        <f t="shared" si="17"/>
        <v>8.4999999999999964E-2</v>
      </c>
      <c r="G32" s="23">
        <f t="shared" si="17"/>
        <v>0.14500000000000002</v>
      </c>
      <c r="H32" s="23">
        <f t="shared" si="17"/>
        <v>0.12000000000000011</v>
      </c>
      <c r="I32" s="23">
        <f t="shared" si="17"/>
        <v>6.4999999999999947E-2</v>
      </c>
      <c r="J32" s="23">
        <f t="shared" si="17"/>
        <v>8.9999999999999858E-2</v>
      </c>
      <c r="K32" s="23">
        <f t="shared" si="17"/>
        <v>2.9999999999999805E-2</v>
      </c>
      <c r="L32" s="23">
        <f t="shared" si="17"/>
        <v>1.0000000000000231E-2</v>
      </c>
      <c r="M32" s="23">
        <f t="shared" si="17"/>
        <v>0</v>
      </c>
      <c r="N32" s="23">
        <f t="shared" si="17"/>
        <v>2.4999999999999911E-2</v>
      </c>
      <c r="O32" s="61">
        <f t="shared" si="17"/>
        <v>0.33500000000000041</v>
      </c>
    </row>
    <row r="33" spans="1:15" x14ac:dyDescent="0.25">
      <c r="A33" s="47" t="s">
        <v>17</v>
      </c>
      <c r="B33" s="23">
        <f>_xlfn.STDEV.P(B11:B12)</f>
        <v>1.0000000000000231E-2</v>
      </c>
      <c r="C33" s="23">
        <f t="shared" ref="C33:O33" si="18">_xlfn.STDEV.P(C11:C12)</f>
        <v>0.16500000000000004</v>
      </c>
      <c r="D33" s="23" t="e">
        <f t="shared" si="18"/>
        <v>#N/A</v>
      </c>
      <c r="E33" s="23">
        <f t="shared" si="18"/>
        <v>0.37999999999999989</v>
      </c>
      <c r="F33" s="23" t="e">
        <f t="shared" si="18"/>
        <v>#N/A</v>
      </c>
      <c r="G33" s="23">
        <f t="shared" si="18"/>
        <v>0.19999999999999929</v>
      </c>
      <c r="H33" s="23" t="e">
        <f t="shared" si="18"/>
        <v>#N/A</v>
      </c>
      <c r="I33" s="23">
        <f t="shared" si="18"/>
        <v>8.0000000000000071E-2</v>
      </c>
      <c r="J33" s="23" t="e">
        <f t="shared" si="18"/>
        <v>#N/A</v>
      </c>
      <c r="K33" s="23">
        <f t="shared" si="18"/>
        <v>2.0000000000000462E-2</v>
      </c>
      <c r="L33" s="23" t="e">
        <f t="shared" si="18"/>
        <v>#N/A</v>
      </c>
      <c r="M33" s="23">
        <f t="shared" si="18"/>
        <v>4.0000000000000036E-2</v>
      </c>
      <c r="N33" s="23" t="e">
        <f t="shared" si="18"/>
        <v>#N/A</v>
      </c>
      <c r="O33" s="61">
        <f t="shared" si="18"/>
        <v>4.9999999999998934E-3</v>
      </c>
    </row>
    <row r="34" spans="1:15" x14ac:dyDescent="0.25">
      <c r="A34" s="47" t="s">
        <v>136</v>
      </c>
      <c r="B34" s="23">
        <f>_xlfn.STDEV.P(B13:B14)</f>
        <v>4.4999999999999929E-2</v>
      </c>
      <c r="C34" s="23">
        <f t="shared" ref="C34:O34" si="19">_xlfn.STDEV.P(C13:C14)</f>
        <v>9.9999999999997868E-3</v>
      </c>
      <c r="D34" s="23">
        <f t="shared" si="19"/>
        <v>5.500000000000016E-2</v>
      </c>
      <c r="E34" s="23">
        <f t="shared" si="19"/>
        <v>2.9999999999999805E-2</v>
      </c>
      <c r="F34" s="23">
        <f t="shared" si="19"/>
        <v>0</v>
      </c>
      <c r="G34" s="23">
        <f t="shared" si="19"/>
        <v>2.4999999999999911E-2</v>
      </c>
      <c r="H34" s="23">
        <f t="shared" si="19"/>
        <v>5.9999999999999609E-2</v>
      </c>
      <c r="I34" s="23">
        <f t="shared" si="19"/>
        <v>4.0000000000000036E-2</v>
      </c>
      <c r="J34" s="23">
        <f t="shared" si="19"/>
        <v>3.0000000000000249E-2</v>
      </c>
      <c r="K34" s="23">
        <f t="shared" si="19"/>
        <v>5.0000000000003375E-3</v>
      </c>
      <c r="L34" s="23">
        <f t="shared" si="19"/>
        <v>4.9999999999999822E-2</v>
      </c>
      <c r="M34" s="23">
        <f t="shared" si="19"/>
        <v>8.9999999999999858E-2</v>
      </c>
      <c r="N34" s="23">
        <f t="shared" si="19"/>
        <v>5.5000000000000604E-2</v>
      </c>
      <c r="O34" s="61">
        <f t="shared" si="19"/>
        <v>0.35000000000000009</v>
      </c>
    </row>
    <row r="35" spans="1:15" ht="15.75" thickBot="1" x14ac:dyDescent="0.3">
      <c r="A35" s="50" t="s">
        <v>67</v>
      </c>
      <c r="B35" s="41">
        <f>_xlfn.STDEV.P(B15:B16)</f>
        <v>0.11499999999999977</v>
      </c>
      <c r="C35" s="41">
        <f t="shared" ref="C35:O35" si="20">_xlfn.STDEV.P(C15:C16)</f>
        <v>1.5000000000000124E-2</v>
      </c>
      <c r="D35" s="41" t="e">
        <f t="shared" si="20"/>
        <v>#N/A</v>
      </c>
      <c r="E35" s="41">
        <f t="shared" si="20"/>
        <v>2.0000000000000018E-2</v>
      </c>
      <c r="F35" s="41" t="e">
        <f t="shared" si="20"/>
        <v>#N/A</v>
      </c>
      <c r="G35" s="41">
        <f t="shared" si="20"/>
        <v>0.18500000000000005</v>
      </c>
      <c r="H35" s="41" t="e">
        <f t="shared" si="20"/>
        <v>#N/A</v>
      </c>
      <c r="I35" s="41">
        <f t="shared" si="20"/>
        <v>0.17500000000000027</v>
      </c>
      <c r="J35" s="41" t="e">
        <f t="shared" si="20"/>
        <v>#N/A</v>
      </c>
      <c r="K35" s="41">
        <f t="shared" si="20"/>
        <v>5.500000000000016E-2</v>
      </c>
      <c r="L35" s="41" t="e">
        <f t="shared" si="20"/>
        <v>#N/A</v>
      </c>
      <c r="M35" s="41">
        <f t="shared" si="20"/>
        <v>6.4999999999999947E-2</v>
      </c>
      <c r="N35" s="41" t="e">
        <f t="shared" si="20"/>
        <v>#N/A</v>
      </c>
      <c r="O35" s="62">
        <f t="shared" si="20"/>
        <v>4.9999999999998934E-3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60"/>
  <sheetViews>
    <sheetView topLeftCell="A36" workbookViewId="0">
      <selection activeCell="E25" sqref="E25"/>
    </sheetView>
  </sheetViews>
  <sheetFormatPr defaultRowHeight="15" x14ac:dyDescent="0.25"/>
  <cols>
    <col min="1" max="1" width="10.85546875" customWidth="1"/>
    <col min="4" max="4" width="10.42578125" customWidth="1"/>
    <col min="5" max="5" width="12" bestFit="1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6.6879999999999997</v>
      </c>
      <c r="C5" s="13">
        <v>1197</v>
      </c>
      <c r="D5" s="13">
        <v>6123</v>
      </c>
      <c r="E5" s="13">
        <v>12191</v>
      </c>
      <c r="F5" s="14">
        <v>53</v>
      </c>
      <c r="G5" s="14">
        <v>263</v>
      </c>
      <c r="H5" s="14">
        <v>525</v>
      </c>
      <c r="I5">
        <f>LINEST(C5:E5, F5:H5)</f>
        <v>23.287010324026607</v>
      </c>
      <c r="J5">
        <f>INTERCEPT(C5:E5, F5:H5)</f>
        <v>-24.458560835459139</v>
      </c>
      <c r="K5">
        <f>RSQ(C5:E5,F5:H5)</f>
        <v>0.999986892818989</v>
      </c>
    </row>
    <row r="6" spans="1:20" ht="15.75" x14ac:dyDescent="0.25">
      <c r="A6" s="3" t="s">
        <v>33</v>
      </c>
      <c r="B6" s="13">
        <v>7.68</v>
      </c>
      <c r="C6" s="13">
        <v>2004</v>
      </c>
      <c r="D6" s="13">
        <v>9642</v>
      </c>
      <c r="E6" s="13">
        <v>19482</v>
      </c>
      <c r="F6" s="14">
        <v>49</v>
      </c>
      <c r="G6" s="14">
        <v>247</v>
      </c>
      <c r="H6" s="14">
        <v>495</v>
      </c>
      <c r="I6">
        <f t="shared" ref="I6:I12" si="0">LINEST(C6:E6, F6:H6)</f>
        <v>39.208581422048972</v>
      </c>
      <c r="J6">
        <f>INTERCEPT(C6:E6, F6:H6)</f>
        <v>38.004031719756313</v>
      </c>
      <c r="K6">
        <f t="shared" ref="K6:K12" si="1">RSQ(C6:E6,F6:H6)</f>
        <v>0.9999363924772745</v>
      </c>
    </row>
    <row r="7" spans="1:20" ht="15.75" x14ac:dyDescent="0.25">
      <c r="A7" s="3" t="s">
        <v>34</v>
      </c>
      <c r="B7" s="13">
        <v>8.0299999999999994</v>
      </c>
      <c r="C7" s="13">
        <v>2219</v>
      </c>
      <c r="D7" s="13">
        <v>10967</v>
      </c>
      <c r="E7" s="13">
        <v>21989</v>
      </c>
      <c r="F7" s="14">
        <v>47</v>
      </c>
      <c r="G7" s="14">
        <v>235</v>
      </c>
      <c r="H7" s="14">
        <v>469</v>
      </c>
      <c r="I7">
        <f t="shared" si="0"/>
        <v>46.858544879634891</v>
      </c>
      <c r="J7">
        <f t="shared" ref="J7:J12" si="2">INTERCEPT(C7:E7, F7:H7)</f>
        <v>-5.2557348686004843</v>
      </c>
      <c r="K7">
        <f t="shared" si="1"/>
        <v>0.99998802822396526</v>
      </c>
    </row>
    <row r="8" spans="1:20" ht="15.75" x14ac:dyDescent="0.25">
      <c r="A8" s="3" t="s">
        <v>35</v>
      </c>
      <c r="B8" s="13">
        <v>8.76</v>
      </c>
      <c r="C8" s="13">
        <v>2205</v>
      </c>
      <c r="D8" s="13">
        <v>11192</v>
      </c>
      <c r="E8" s="13">
        <v>22764</v>
      </c>
      <c r="F8" s="14">
        <v>45</v>
      </c>
      <c r="G8" s="14">
        <v>227</v>
      </c>
      <c r="H8" s="14">
        <v>453</v>
      </c>
      <c r="I8">
        <f t="shared" si="0"/>
        <v>50.421991191395655</v>
      </c>
      <c r="J8">
        <f t="shared" si="2"/>
        <v>-131.64787125395014</v>
      </c>
      <c r="K8">
        <f>RSQ(C8:E8,F8:H8)</f>
        <v>0.99989425490968797</v>
      </c>
    </row>
    <row r="9" spans="1:20" ht="15.75" x14ac:dyDescent="0.25">
      <c r="A9" s="3" t="s">
        <v>36</v>
      </c>
      <c r="B9" s="13">
        <v>9.2349999999999994</v>
      </c>
      <c r="C9" s="13">
        <v>2360</v>
      </c>
      <c r="D9" s="13">
        <v>12086</v>
      </c>
      <c r="E9" s="13">
        <v>24637</v>
      </c>
      <c r="F9" s="14">
        <v>46</v>
      </c>
      <c r="G9" s="14">
        <v>228</v>
      </c>
      <c r="H9" s="14">
        <v>455</v>
      </c>
      <c r="I9">
        <f t="shared" si="0"/>
        <v>54.500392960060964</v>
      </c>
      <c r="J9">
        <f t="shared" si="2"/>
        <v>-215.92882262814965</v>
      </c>
      <c r="K9">
        <f t="shared" si="1"/>
        <v>0.99990693127578278</v>
      </c>
    </row>
    <row r="10" spans="1:20" ht="15.75" x14ac:dyDescent="0.25">
      <c r="A10" s="3" t="s">
        <v>37</v>
      </c>
      <c r="B10" s="13">
        <v>10.023</v>
      </c>
      <c r="C10" s="13">
        <v>2424</v>
      </c>
      <c r="D10" s="13">
        <v>12242</v>
      </c>
      <c r="E10" s="13">
        <v>25167</v>
      </c>
      <c r="F10" s="14">
        <v>44</v>
      </c>
      <c r="G10" s="14">
        <v>221</v>
      </c>
      <c r="H10" s="14">
        <v>443</v>
      </c>
      <c r="I10">
        <f t="shared" si="0"/>
        <v>57.050851910230413</v>
      </c>
      <c r="J10">
        <f t="shared" si="2"/>
        <v>-186.33438414771445</v>
      </c>
      <c r="K10">
        <f t="shared" si="1"/>
        <v>0.99981265119733453</v>
      </c>
    </row>
    <row r="11" spans="1:20" ht="15.75" x14ac:dyDescent="0.25">
      <c r="A11" s="3" t="s">
        <v>38</v>
      </c>
      <c r="B11" s="13">
        <v>11.208</v>
      </c>
      <c r="C11" s="13">
        <v>2478</v>
      </c>
      <c r="D11" s="13">
        <v>12635</v>
      </c>
      <c r="E11" s="13">
        <v>26404</v>
      </c>
      <c r="F11" s="14">
        <v>44</v>
      </c>
      <c r="G11" s="14">
        <v>222</v>
      </c>
      <c r="H11" s="14">
        <v>444</v>
      </c>
      <c r="I11">
        <f t="shared" si="0"/>
        <v>59.904485242853823</v>
      </c>
      <c r="J11">
        <f t="shared" si="2"/>
        <v>-338.3948408087399</v>
      </c>
      <c r="K11">
        <f t="shared" si="1"/>
        <v>0.99944705766898712</v>
      </c>
    </row>
    <row r="12" spans="1:20" ht="15.75" x14ac:dyDescent="0.25">
      <c r="A12" s="3" t="s">
        <v>39</v>
      </c>
      <c r="B12" s="13">
        <v>12.337</v>
      </c>
      <c r="C12" s="13">
        <v>2630</v>
      </c>
      <c r="D12" s="13">
        <v>13531</v>
      </c>
      <c r="E12" s="13">
        <v>28622</v>
      </c>
      <c r="F12" s="14">
        <v>47</v>
      </c>
      <c r="G12" s="14">
        <v>234</v>
      </c>
      <c r="H12" s="14">
        <v>467</v>
      </c>
      <c r="I12">
        <f t="shared" si="0"/>
        <v>62.002010103215419</v>
      </c>
      <c r="J12">
        <f t="shared" si="2"/>
        <v>-531.50118573504733</v>
      </c>
      <c r="K12">
        <f t="shared" si="1"/>
        <v>0.99912089880951827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19172</v>
      </c>
      <c r="C16">
        <v>1</v>
      </c>
      <c r="D16">
        <f>IF(B16=0,0,(B16-$J$5)/$I$5)*C16</f>
        <v>824.34190966237179</v>
      </c>
      <c r="E16">
        <f>1.07*D16/1000</f>
        <v>0.88204584333873792</v>
      </c>
      <c r="F16" s="3" t="s">
        <v>32</v>
      </c>
      <c r="G16">
        <v>20954</v>
      </c>
      <c r="H16">
        <v>1</v>
      </c>
      <c r="I16">
        <f>IF(G16=0,0,(G16-$J$5)/$I$5)*H16</f>
        <v>900.86525788115989</v>
      </c>
      <c r="J16">
        <f>1.07*I16/1000</f>
        <v>0.96392582593284115</v>
      </c>
      <c r="K16" s="3" t="s">
        <v>32</v>
      </c>
      <c r="L16">
        <v>16814</v>
      </c>
      <c r="M16">
        <v>1</v>
      </c>
      <c r="N16">
        <f>IF(L16=0,0,(L16-$J$5)/$I$5)*M16</f>
        <v>723.08374181730881</v>
      </c>
      <c r="O16">
        <f>1.07*N16/1000</f>
        <v>0.77369960374452051</v>
      </c>
      <c r="P16" s="3" t="s">
        <v>32</v>
      </c>
      <c r="Q16">
        <v>16390</v>
      </c>
      <c r="R16">
        <v>1</v>
      </c>
      <c r="S16">
        <f>IF(Q16=0,0,(Q16-$J$5)/$I$5)*R16</f>
        <v>704.87616625907867</v>
      </c>
      <c r="T16">
        <f>1.07*S16/1000</f>
        <v>0.75421749789721426</v>
      </c>
    </row>
    <row r="17" spans="1:20" x14ac:dyDescent="0.25">
      <c r="A17" s="3" t="s">
        <v>33</v>
      </c>
      <c r="B17">
        <v>18032</v>
      </c>
      <c r="C17">
        <v>1</v>
      </c>
      <c r="D17">
        <f>IF(B17=0,0,(B17-$J$6)/$I$6)*C17</f>
        <v>458.9300432624504</v>
      </c>
      <c r="E17">
        <f>1.51*D17/1000</f>
        <v>0.69298436532630014</v>
      </c>
      <c r="F17" s="3" t="s">
        <v>33</v>
      </c>
      <c r="G17">
        <v>14002</v>
      </c>
      <c r="H17">
        <v>1</v>
      </c>
      <c r="I17">
        <f>IF(G17=0,0,(G17-$J$6)/$I$6)*H17</f>
        <v>356.14642156952868</v>
      </c>
      <c r="J17">
        <f>1.51*I17/1000</f>
        <v>0.53778109656998829</v>
      </c>
      <c r="K17" s="3" t="s">
        <v>33</v>
      </c>
      <c r="L17">
        <v>4611</v>
      </c>
      <c r="M17">
        <v>1</v>
      </c>
      <c r="N17">
        <f>IF(L17=0,0,(L17-$J$6)/$I$6)*M17</f>
        <v>116.63252794217686</v>
      </c>
      <c r="O17">
        <f>1.51*N17/1000</f>
        <v>0.17611511719268705</v>
      </c>
      <c r="P17" s="3" t="s">
        <v>33</v>
      </c>
      <c r="Q17">
        <v>3276</v>
      </c>
      <c r="R17">
        <v>1</v>
      </c>
      <c r="S17">
        <f>IF(Q17=0,0,(Q17-$J$6)/$I$6)*R17</f>
        <v>82.583859217598587</v>
      </c>
      <c r="T17">
        <f>1.51*S17/1000</f>
        <v>0.12470162741857387</v>
      </c>
    </row>
    <row r="18" spans="1:20" x14ac:dyDescent="0.25">
      <c r="A18" s="3" t="s">
        <v>34</v>
      </c>
      <c r="C18">
        <v>1</v>
      </c>
      <c r="D18">
        <f>IF(B18=0,0,(B18-$J$7)/$I$7)*C18</f>
        <v>0</v>
      </c>
      <c r="E18">
        <f>1.82*D18/1000</f>
        <v>0</v>
      </c>
      <c r="F18" s="3" t="s">
        <v>34</v>
      </c>
      <c r="H18">
        <v>1</v>
      </c>
      <c r="I18">
        <f>IF(G18=0,0,(G18-$J$7)/$I$7)*H18</f>
        <v>0</v>
      </c>
      <c r="J18">
        <f>1.82*I18/1000</f>
        <v>0</v>
      </c>
      <c r="K18" s="3" t="s">
        <v>34</v>
      </c>
      <c r="M18">
        <v>1</v>
      </c>
      <c r="N18">
        <f>IF(L18=0,0,(L18-$J$7)/$I$7)*M18</f>
        <v>0</v>
      </c>
      <c r="O18">
        <f>1.82*N18/1000</f>
        <v>0</v>
      </c>
      <c r="P18" s="3" t="s">
        <v>34</v>
      </c>
      <c r="R18">
        <v>1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35</v>
      </c>
      <c r="B19">
        <v>9747</v>
      </c>
      <c r="C19">
        <v>1</v>
      </c>
      <c r="D19">
        <f>IF(B19=0,0,(B19-$J$8)/$I$8)*C19</f>
        <v>195.91943193508209</v>
      </c>
      <c r="E19">
        <f>1.82*D19/1000</f>
        <v>0.35657336612184942</v>
      </c>
      <c r="F19" s="3" t="s">
        <v>35</v>
      </c>
      <c r="G19">
        <v>13563</v>
      </c>
      <c r="H19">
        <v>1</v>
      </c>
      <c r="I19">
        <f>IF(G19=0,0,(G19-$J$8)/$I$8)*H19</f>
        <v>271.60069540432778</v>
      </c>
      <c r="J19">
        <f>1.82*I19/1000</f>
        <v>0.49431326563587658</v>
      </c>
      <c r="K19" s="3" t="s">
        <v>35</v>
      </c>
      <c r="L19">
        <v>2550</v>
      </c>
      <c r="M19">
        <v>1</v>
      </c>
      <c r="N19">
        <f>IF(L19=0,0,(L19-$J$8)/$I$8)*M19</f>
        <v>53.184093049295612</v>
      </c>
      <c r="O19">
        <f>1.82*N19/1000</f>
        <v>9.6795049349718013E-2</v>
      </c>
      <c r="P19" s="3" t="s">
        <v>35</v>
      </c>
      <c r="Q19">
        <v>2302</v>
      </c>
      <c r="R19">
        <v>1</v>
      </c>
      <c r="S19">
        <f>IF(Q19=0,0,(Q19-$J$8)/$I$8)*R19</f>
        <v>48.265604228443166</v>
      </c>
      <c r="T19">
        <f>1.82*S19/1000</f>
        <v>8.7843399695766558E-2</v>
      </c>
    </row>
    <row r="20" spans="1:20" x14ac:dyDescent="0.25">
      <c r="A20" s="3" t="s">
        <v>36</v>
      </c>
      <c r="C20">
        <v>1</v>
      </c>
      <c r="D20">
        <f>IF(B20=0,0,(B20-$J$9)/$I$9)*C20</f>
        <v>0</v>
      </c>
      <c r="E20">
        <f>2.04*D20/1000</f>
        <v>0</v>
      </c>
      <c r="F20" s="3" t="s">
        <v>36</v>
      </c>
      <c r="H20">
        <v>1</v>
      </c>
      <c r="I20">
        <f>IF(G20=0,0,(G20-$J$9)/$I$9)*H20</f>
        <v>0</v>
      </c>
      <c r="J20">
        <f>2.04*I20/1000</f>
        <v>0</v>
      </c>
      <c r="K20" s="3" t="s">
        <v>36</v>
      </c>
      <c r="M20">
        <v>1</v>
      </c>
      <c r="N20">
        <f>IF(L20=0,0,(L20-$J$9)/$I$9)*M20</f>
        <v>0</v>
      </c>
      <c r="O20">
        <f>2.04*N20/1000</f>
        <v>0</v>
      </c>
      <c r="P20" s="3" t="s">
        <v>36</v>
      </c>
      <c r="R20">
        <v>1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37</v>
      </c>
      <c r="C21">
        <v>1</v>
      </c>
      <c r="D21">
        <f>IF(B21=0,0,(B21-$J$10)/$I$10)*C21</f>
        <v>0</v>
      </c>
      <c r="E21">
        <f>2.04*D21/1000</f>
        <v>0</v>
      </c>
      <c r="F21" s="3" t="s">
        <v>37</v>
      </c>
      <c r="H21">
        <v>1</v>
      </c>
      <c r="I21">
        <f>IF(G21=0,0,(G21-$J$10)/$I$10)*H21</f>
        <v>0</v>
      </c>
      <c r="J21">
        <f>2.04*I21/1000</f>
        <v>0</v>
      </c>
      <c r="K21" s="3" t="s">
        <v>37</v>
      </c>
      <c r="M21">
        <v>1</v>
      </c>
      <c r="N21">
        <f>IF(L21=0,0,(L21-$J$10)/$I$10)*M21</f>
        <v>0</v>
      </c>
      <c r="O21">
        <f>2.04*N21/1000</f>
        <v>0</v>
      </c>
      <c r="P21" s="3" t="s">
        <v>37</v>
      </c>
      <c r="R21">
        <v>1</v>
      </c>
      <c r="S21">
        <f>IF(Q21=0,0,(Q21-$J$10)/$I$10)*R21</f>
        <v>0</v>
      </c>
      <c r="T21">
        <f>2.04*S21/1000</f>
        <v>0</v>
      </c>
    </row>
    <row r="22" spans="1:20" x14ac:dyDescent="0.25">
      <c r="A22" s="3" t="s">
        <v>38</v>
      </c>
      <c r="C22">
        <v>1</v>
      </c>
      <c r="D22">
        <f>IF(B22=0,0,(B22-$J$11)/$I$11)*1</f>
        <v>0</v>
      </c>
      <c r="E22">
        <f>2.21*D22/1000</f>
        <v>0</v>
      </c>
      <c r="F22" s="3" t="s">
        <v>38</v>
      </c>
      <c r="H22">
        <v>1</v>
      </c>
      <c r="I22">
        <f>IF(G22=0,0,(G22-$J$11)/$I$11)*1</f>
        <v>0</v>
      </c>
      <c r="J22">
        <f>2.21*I22/1000</f>
        <v>0</v>
      </c>
      <c r="K22" s="3" t="s">
        <v>38</v>
      </c>
      <c r="M22">
        <v>1</v>
      </c>
      <c r="N22">
        <f>IF(L22=0,0,(L22-$J$11)/$I$11)*1</f>
        <v>0</v>
      </c>
      <c r="O22">
        <f>2.21*N22/1000</f>
        <v>0</v>
      </c>
      <c r="P22" s="3" t="s">
        <v>38</v>
      </c>
      <c r="R22">
        <v>1</v>
      </c>
      <c r="S22">
        <f>IF(Q22=0,0,(Q22-$J$11)/$I$11)*1</f>
        <v>0</v>
      </c>
      <c r="T22">
        <f>2.21*S22/1000</f>
        <v>0</v>
      </c>
    </row>
    <row r="23" spans="1:20" x14ac:dyDescent="0.25">
      <c r="A23" s="3" t="s">
        <v>39</v>
      </c>
      <c r="C23">
        <v>1</v>
      </c>
      <c r="D23">
        <f>IF(B23=0,0,(B23-$J$12)/$I$12)*1</f>
        <v>0</v>
      </c>
      <c r="E23">
        <f>2.34*D23/1000</f>
        <v>0</v>
      </c>
      <c r="F23" s="3" t="s">
        <v>39</v>
      </c>
      <c r="H23">
        <v>1</v>
      </c>
      <c r="I23">
        <f>IF(G23=0,0,(G23-$J$12)/$I$12)*1</f>
        <v>0</v>
      </c>
      <c r="J23">
        <f>2.34*I23/1000</f>
        <v>0</v>
      </c>
      <c r="K23" s="3" t="s">
        <v>39</v>
      </c>
      <c r="M23">
        <v>1</v>
      </c>
      <c r="N23">
        <f>IF(L23=0,0,(L23-$J$12)/$I$12)*1</f>
        <v>0</v>
      </c>
      <c r="O23">
        <f>2.34*N23/1000</f>
        <v>0</v>
      </c>
      <c r="P23" s="3" t="s">
        <v>39</v>
      </c>
      <c r="R23">
        <v>1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62</v>
      </c>
      <c r="C24" s="3"/>
      <c r="D24" s="3">
        <f>SUM(D16:D23)</f>
        <v>1479.1913848599042</v>
      </c>
      <c r="E24" s="3">
        <f>SUM(E16:E23)</f>
        <v>1.9316035747868874</v>
      </c>
      <c r="G24" s="3" t="s">
        <v>62</v>
      </c>
      <c r="H24" s="3"/>
      <c r="I24" s="3">
        <f>SUM(I16:I23)</f>
        <v>1528.6123748550162</v>
      </c>
      <c r="J24" s="3">
        <f>SUM(J16:J23)</f>
        <v>1.9960201881387061</v>
      </c>
      <c r="L24" s="3" t="s">
        <v>62</v>
      </c>
      <c r="M24" s="3"/>
      <c r="N24" s="3">
        <f>SUM(N16:N23)</f>
        <v>892.90036280878121</v>
      </c>
      <c r="O24" s="3">
        <f>SUM(O16:O23)</f>
        <v>1.0466097702869255</v>
      </c>
      <c r="Q24" s="3" t="s">
        <v>62</v>
      </c>
      <c r="R24" s="3"/>
      <c r="S24" s="3">
        <f>SUM(S16:S23)</f>
        <v>835.72562970512047</v>
      </c>
      <c r="T24" s="3">
        <f>SUM(T16:T23)</f>
        <v>0.96676252501155469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20402</v>
      </c>
      <c r="C28">
        <v>1</v>
      </c>
      <c r="D28">
        <f>IF(B28=0,0,(B28-$J$5)/$I$5)*C28</f>
        <v>877.16105573931304</v>
      </c>
      <c r="E28">
        <f>1.07*D28/1000</f>
        <v>0.93856232964106501</v>
      </c>
      <c r="F28" s="3" t="s">
        <v>32</v>
      </c>
      <c r="G28">
        <v>25814</v>
      </c>
      <c r="H28">
        <v>1</v>
      </c>
      <c r="I28">
        <f>IF(G28=0,0,(G28-$J$5)/$I$5)*H28</f>
        <v>1109.5652984778544</v>
      </c>
      <c r="J28">
        <f>1.07*I28/1000</f>
        <v>1.1872348693713042</v>
      </c>
      <c r="K28" s="3" t="s">
        <v>32</v>
      </c>
      <c r="L28">
        <v>17332</v>
      </c>
      <c r="M28">
        <v>1</v>
      </c>
      <c r="N28">
        <f>IF(L28=0,0,(L28-$J$5)/$I$5)*M28</f>
        <v>745.32790252288248</v>
      </c>
      <c r="O28">
        <f>1.07*N28/1000</f>
        <v>0.79750085569948426</v>
      </c>
      <c r="P28" s="3" t="s">
        <v>32</v>
      </c>
      <c r="Q28">
        <v>16864</v>
      </c>
      <c r="R28">
        <v>1</v>
      </c>
      <c r="S28">
        <f>IF(Q28=0,0,(Q28-$J$5)/$I$5)*R28</f>
        <v>725.23086157653415</v>
      </c>
      <c r="T28">
        <f>1.07*S28/1000</f>
        <v>0.77599702188689157</v>
      </c>
    </row>
    <row r="29" spans="1:20" x14ac:dyDescent="0.25">
      <c r="A29" s="3" t="s">
        <v>33</v>
      </c>
      <c r="B29">
        <v>10988</v>
      </c>
      <c r="C29">
        <v>1</v>
      </c>
      <c r="D29">
        <f>IF(B29=0,0,(B29-$J$6)/$I$6)*C29</f>
        <v>279.27549457636093</v>
      </c>
      <c r="E29">
        <f>1.51*D29/1000</f>
        <v>0.42170599681030502</v>
      </c>
      <c r="F29" s="3" t="s">
        <v>33</v>
      </c>
      <c r="G29">
        <v>37755</v>
      </c>
      <c r="H29">
        <v>1</v>
      </c>
      <c r="I29">
        <f>IF(G29=0,0,(G29-$J$6)/$I$6)*H29</f>
        <v>961.95767865934738</v>
      </c>
      <c r="J29">
        <f>1.51*I29/1000</f>
        <v>1.4525560947756146</v>
      </c>
      <c r="K29" s="3" t="s">
        <v>33</v>
      </c>
      <c r="L29">
        <v>7431</v>
      </c>
      <c r="M29">
        <v>1</v>
      </c>
      <c r="N29">
        <f>IF(L29=0,0,(L29-$J$6)/$I$6)*M29</f>
        <v>188.55555850645459</v>
      </c>
      <c r="O29">
        <f>1.51*N29/1000</f>
        <v>0.28471889334474643</v>
      </c>
      <c r="P29" s="3" t="s">
        <v>33</v>
      </c>
      <c r="Q29">
        <v>5277</v>
      </c>
      <c r="R29">
        <v>1</v>
      </c>
      <c r="S29">
        <f>IF(Q29=0,0,(Q29-$J$6)/$I$6)*R29</f>
        <v>133.61860537331481</v>
      </c>
      <c r="T29">
        <f>1.51*S29/1000</f>
        <v>0.20176409411370536</v>
      </c>
    </row>
    <row r="30" spans="1:20" x14ac:dyDescent="0.25">
      <c r="A30" s="3" t="s">
        <v>34</v>
      </c>
      <c r="C30">
        <v>1</v>
      </c>
      <c r="D30">
        <f>IF(B30=0,0,(B30-$J$7)/$I$7)*C30</f>
        <v>0</v>
      </c>
      <c r="E30">
        <f>1.82*D30/1000</f>
        <v>0</v>
      </c>
      <c r="F30" s="3" t="s">
        <v>34</v>
      </c>
      <c r="H30">
        <v>1</v>
      </c>
      <c r="I30">
        <f>IF(G30=0,0,(G30-$J$7)/$I$7)*H30</f>
        <v>0</v>
      </c>
      <c r="J30">
        <f>1.82*I30/1000</f>
        <v>0</v>
      </c>
      <c r="K30" s="3" t="s">
        <v>34</v>
      </c>
      <c r="M30">
        <v>1</v>
      </c>
      <c r="N30">
        <f>IF(L30=0,0,(L30-$J$7)/$I$7)*M30</f>
        <v>0</v>
      </c>
      <c r="O30">
        <f>1.82*N30/1000</f>
        <v>0</v>
      </c>
      <c r="P30" s="3" t="s">
        <v>34</v>
      </c>
      <c r="R30">
        <v>1</v>
      </c>
      <c r="S30">
        <f>IF(Q30=0,0,(Q30-$J$7)/$I$7)*R30</f>
        <v>0</v>
      </c>
      <c r="T30">
        <f>1.82*S30/1000</f>
        <v>0</v>
      </c>
    </row>
    <row r="31" spans="1:20" x14ac:dyDescent="0.25">
      <c r="A31" s="3" t="s">
        <v>35</v>
      </c>
      <c r="B31">
        <v>24404</v>
      </c>
      <c r="C31">
        <v>1</v>
      </c>
      <c r="D31">
        <f>IF(B31=0,0,(B31-$J$8)/$I$8)*C31</f>
        <v>486.60608777070422</v>
      </c>
      <c r="E31">
        <f>1.82*D31/1000</f>
        <v>0.88562307974268173</v>
      </c>
      <c r="F31" s="3" t="s">
        <v>35</v>
      </c>
      <c r="G31">
        <v>19571</v>
      </c>
      <c r="H31">
        <v>1</v>
      </c>
      <c r="I31">
        <f>IF(G31=0,0,(G31-$J$8)/$I$8)*H31</f>
        <v>390.75505361272087</v>
      </c>
      <c r="J31">
        <f>1.82*I31/1000</f>
        <v>0.71117419757515199</v>
      </c>
      <c r="K31" s="3" t="s">
        <v>35</v>
      </c>
      <c r="L31">
        <v>3528</v>
      </c>
      <c r="M31">
        <v>1</v>
      </c>
      <c r="N31">
        <f>IF(L31=0,0,(L31-$J$8)/$I$8)*M31</f>
        <v>72.58039170572178</v>
      </c>
      <c r="O31">
        <f>1.82*N31/1000</f>
        <v>0.13209631290441365</v>
      </c>
      <c r="P31" s="3" t="s">
        <v>35</v>
      </c>
      <c r="Q31">
        <v>1462</v>
      </c>
      <c r="R31">
        <v>1</v>
      </c>
      <c r="S31">
        <f>IF(Q31=0,0,(Q31-$J$8)/$I$8)*R31</f>
        <v>31.606206609426817</v>
      </c>
      <c r="T31">
        <f>1.82*S31/1000</f>
        <v>5.752329602915681E-2</v>
      </c>
    </row>
    <row r="32" spans="1:20" x14ac:dyDescent="0.25">
      <c r="A32" s="3" t="s">
        <v>36</v>
      </c>
      <c r="C32">
        <v>1</v>
      </c>
      <c r="D32">
        <f>IF(B32=0,0,(B32-$J$9)/$I$9)*C32</f>
        <v>0</v>
      </c>
      <c r="E32">
        <f>2.04*D32/1000</f>
        <v>0</v>
      </c>
      <c r="F32" s="3" t="s">
        <v>36</v>
      </c>
      <c r="H32">
        <v>1</v>
      </c>
      <c r="I32">
        <f>IF(G32=0,0,(G32-$J$9)/$I$9)*H32</f>
        <v>0</v>
      </c>
      <c r="J32">
        <f>2.04*I32/1000</f>
        <v>0</v>
      </c>
      <c r="K32" s="3" t="s">
        <v>36</v>
      </c>
      <c r="M32">
        <v>1</v>
      </c>
      <c r="N32">
        <f>IF(L32=0,0,(L32-$J$9)/$I$9)*M32</f>
        <v>0</v>
      </c>
      <c r="O32">
        <f>2.04*N32/1000</f>
        <v>0</v>
      </c>
      <c r="P32" s="3" t="s">
        <v>36</v>
      </c>
      <c r="R32">
        <v>1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37</v>
      </c>
      <c r="C33">
        <v>1</v>
      </c>
      <c r="D33">
        <f>IF(B33=0,0,(B33-$J$10)/$I$10)*C33</f>
        <v>0</v>
      </c>
      <c r="E33">
        <f>2.04*D33/1000</f>
        <v>0</v>
      </c>
      <c r="F33" s="3" t="s">
        <v>37</v>
      </c>
      <c r="H33">
        <v>1</v>
      </c>
      <c r="I33">
        <f>IF(G33=0,0,(G33-$J$10)/$I$10)*H33</f>
        <v>0</v>
      </c>
      <c r="J33">
        <f>2.04*I33/1000</f>
        <v>0</v>
      </c>
      <c r="K33" s="3" t="s">
        <v>37</v>
      </c>
      <c r="M33">
        <v>1</v>
      </c>
      <c r="N33">
        <f>IF(L33=0,0,(L33-$J$10)/$I$10)*M33</f>
        <v>0</v>
      </c>
      <c r="O33">
        <f>2.04*N33/1000</f>
        <v>0</v>
      </c>
      <c r="P33" s="3" t="s">
        <v>37</v>
      </c>
      <c r="R33">
        <v>1</v>
      </c>
      <c r="S33">
        <f>IF(Q33=0,0,(Q33-$J$10)/$I$10)*R33</f>
        <v>0</v>
      </c>
      <c r="T33">
        <f>2.04*S33/1000</f>
        <v>0</v>
      </c>
    </row>
    <row r="34" spans="1:20" x14ac:dyDescent="0.25">
      <c r="A34" s="3" t="s">
        <v>38</v>
      </c>
      <c r="C34">
        <v>1</v>
      </c>
      <c r="D34">
        <f>IF(B34=0,0,(B34-$J$11)/$I$11)*1</f>
        <v>0</v>
      </c>
      <c r="E34">
        <f>2.21*D34/1000</f>
        <v>0</v>
      </c>
      <c r="F34" s="3" t="s">
        <v>38</v>
      </c>
      <c r="H34">
        <v>1</v>
      </c>
      <c r="I34">
        <f>IF(G34=0,0,(G34-$J$11)/$I$11)*1</f>
        <v>0</v>
      </c>
      <c r="J34">
        <f>2.21*I34/1000</f>
        <v>0</v>
      </c>
      <c r="K34" s="3" t="s">
        <v>38</v>
      </c>
      <c r="M34">
        <v>1</v>
      </c>
      <c r="N34">
        <f>IF(L34=0,0,(L34-$J$11)/$I$11)*1</f>
        <v>0</v>
      </c>
      <c r="O34">
        <f>2.21*N34/1000</f>
        <v>0</v>
      </c>
      <c r="P34" s="3" t="s">
        <v>38</v>
      </c>
      <c r="R34">
        <v>1</v>
      </c>
      <c r="S34">
        <f>IF(Q34=0,0,(Q34-$J$11)/$I$11)*1</f>
        <v>0</v>
      </c>
      <c r="T34">
        <f>2.21*S34/1000</f>
        <v>0</v>
      </c>
    </row>
    <row r="35" spans="1:20" x14ac:dyDescent="0.25">
      <c r="A35" s="3" t="s">
        <v>39</v>
      </c>
      <c r="C35">
        <v>1</v>
      </c>
      <c r="D35">
        <f>IF(B35=0,0,(B35-$J$12)/$I$12)*1</f>
        <v>0</v>
      </c>
      <c r="E35">
        <f>2.34*D35/1000</f>
        <v>0</v>
      </c>
      <c r="F35" s="3" t="s">
        <v>39</v>
      </c>
      <c r="H35">
        <v>1</v>
      </c>
      <c r="I35">
        <f>IF(G35=0,0,(G35-$J$12)/$I$12)*1</f>
        <v>0</v>
      </c>
      <c r="J35">
        <f>2.34*I35/1000</f>
        <v>0</v>
      </c>
      <c r="K35" s="3" t="s">
        <v>39</v>
      </c>
      <c r="M35">
        <v>1</v>
      </c>
      <c r="N35">
        <f>IF(L35=0,0,(L35-$J$12)/$I$12)*1</f>
        <v>0</v>
      </c>
      <c r="O35">
        <f>2.34*N35/1000</f>
        <v>0</v>
      </c>
      <c r="P35" s="3" t="s">
        <v>39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62</v>
      </c>
      <c r="C36" s="3"/>
      <c r="D36" s="3">
        <f>SUM(D28:D35)</f>
        <v>1643.0426380863782</v>
      </c>
      <c r="E36" s="3">
        <f>SUM(E28:E35)</f>
        <v>2.2458914061940516</v>
      </c>
      <c r="G36" s="3" t="s">
        <v>62</v>
      </c>
      <c r="H36" s="3"/>
      <c r="I36" s="3">
        <f>SUM(I28:I35)</f>
        <v>2462.2780307499229</v>
      </c>
      <c r="J36" s="3">
        <f>SUM(J28:J35)</f>
        <v>3.3509651617220708</v>
      </c>
      <c r="L36" s="3" t="s">
        <v>62</v>
      </c>
      <c r="M36" s="3"/>
      <c r="N36" s="3">
        <f>SUM(N28:N35)</f>
        <v>1006.4638527350588</v>
      </c>
      <c r="O36" s="3">
        <f>SUM(O28:O35)</f>
        <v>1.2143160619486444</v>
      </c>
      <c r="Q36" s="3" t="s">
        <v>62</v>
      </c>
      <c r="R36" s="3"/>
      <c r="S36" s="3">
        <f>SUM(S28:S35)</f>
        <v>890.45567355927585</v>
      </c>
      <c r="T36" s="3">
        <f>SUM(T28:T35)</f>
        <v>1.0352844120297537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3" t="s">
        <v>58</v>
      </c>
      <c r="M38" s="3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3" t="s">
        <v>47</v>
      </c>
      <c r="M39" s="3" t="s">
        <v>68</v>
      </c>
      <c r="N39" s="3" t="s">
        <v>48</v>
      </c>
      <c r="O39" s="3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45590</v>
      </c>
      <c r="C40">
        <v>1</v>
      </c>
      <c r="D40">
        <f>IF(B40=0,0,(B40-$J$5)/$I$5)*C40</f>
        <v>1958.7941056466268</v>
      </c>
      <c r="E40">
        <f>1.07*D40/1000</f>
        <v>2.0959096930418908</v>
      </c>
      <c r="F40" s="3" t="s">
        <v>32</v>
      </c>
      <c r="G40">
        <v>53513</v>
      </c>
      <c r="H40">
        <v>1</v>
      </c>
      <c r="I40">
        <f>IF(G40=0,0,(G40-$J$5)/$I$5)*H40</f>
        <v>2299.0267026934603</v>
      </c>
      <c r="J40">
        <f>1.07*I40/1000</f>
        <v>2.4599585718820025</v>
      </c>
      <c r="K40" s="3" t="s">
        <v>32</v>
      </c>
      <c r="L40">
        <v>18577</v>
      </c>
      <c r="M40">
        <v>1</v>
      </c>
      <c r="N40">
        <f>IF(L40=0,0,(L40-$J$5)/$I$5)*M40</f>
        <v>798.79118452759133</v>
      </c>
      <c r="O40">
        <f>1.07*N40/1000</f>
        <v>0.85470656744452278</v>
      </c>
      <c r="P40" s="3" t="s">
        <v>32</v>
      </c>
      <c r="Q40">
        <v>16653</v>
      </c>
      <c r="R40">
        <v>1</v>
      </c>
      <c r="S40">
        <f>IF(Q40=0,0,(Q40-$J$5)/$I$5)*R40</f>
        <v>716.1700161926035</v>
      </c>
      <c r="T40">
        <f>1.07*S40/1000</f>
        <v>0.76630191732608577</v>
      </c>
    </row>
    <row r="41" spans="1:20" x14ac:dyDescent="0.25">
      <c r="A41" s="3" t="s">
        <v>33</v>
      </c>
      <c r="B41">
        <v>91246</v>
      </c>
      <c r="C41">
        <v>1</v>
      </c>
      <c r="D41">
        <f>IF(B41=0,0,(B41-$J$6)/$I$6)*C41</f>
        <v>2326.2253481323191</v>
      </c>
      <c r="E41">
        <f>1.51*D41/1000</f>
        <v>3.512600275679802</v>
      </c>
      <c r="F41" s="3" t="s">
        <v>33</v>
      </c>
      <c r="G41">
        <v>95647</v>
      </c>
      <c r="H41">
        <v>1</v>
      </c>
      <c r="I41">
        <f>IF(G41=0,0,(G41-$J$6)/$I$6)*H41</f>
        <v>2438.4711841299736</v>
      </c>
      <c r="J41">
        <f>1.51*I41/1000</f>
        <v>3.6820914880362601</v>
      </c>
      <c r="K41" s="3" t="s">
        <v>33</v>
      </c>
      <c r="L41">
        <v>8617</v>
      </c>
      <c r="M41">
        <v>1</v>
      </c>
      <c r="N41">
        <f>IF(L41=0,0,(L41-$J$6)/$I$6)*M41</f>
        <v>218.80403873667919</v>
      </c>
      <c r="O41">
        <f>1.51*N41/1000</f>
        <v>0.3303940984923856</v>
      </c>
      <c r="P41" s="3" t="s">
        <v>33</v>
      </c>
      <c r="Q41">
        <v>4619</v>
      </c>
      <c r="R41">
        <v>1</v>
      </c>
      <c r="S41">
        <f>IF(Q41=0,0,(Q41-$J$6)/$I$6)*R41</f>
        <v>116.83656490831666</v>
      </c>
      <c r="T41">
        <f>1.51*S41/1000</f>
        <v>0.17642321301155814</v>
      </c>
    </row>
    <row r="42" spans="1:20" x14ac:dyDescent="0.25">
      <c r="A42" s="3" t="s">
        <v>34</v>
      </c>
      <c r="C42">
        <v>1</v>
      </c>
      <c r="D42">
        <f>IF(B42=0,0,(B42-$J$7)/$I$7)*C42</f>
        <v>0</v>
      </c>
      <c r="E42">
        <f>1.82*D42/1000</f>
        <v>0</v>
      </c>
      <c r="F42" s="3" t="s">
        <v>34</v>
      </c>
      <c r="H42">
        <v>1</v>
      </c>
      <c r="I42">
        <f>IF(G42=0,0,(G42-$J$7)/$I$7)*H42</f>
        <v>0</v>
      </c>
      <c r="J42">
        <f>1.82*I42/1000</f>
        <v>0</v>
      </c>
      <c r="K42" s="3" t="s">
        <v>34</v>
      </c>
      <c r="M42">
        <v>1</v>
      </c>
      <c r="N42">
        <f>IF(L42=0,0,(L42-$J$7)/$I$7)*M42</f>
        <v>0</v>
      </c>
      <c r="O42">
        <f>1.82*N42/1000</f>
        <v>0</v>
      </c>
      <c r="P42" s="3" t="s">
        <v>34</v>
      </c>
      <c r="R42">
        <v>1</v>
      </c>
      <c r="S42">
        <f>IF(Q42=0,0,(Q42-$J$7)/$I$7)*R42</f>
        <v>0</v>
      </c>
      <c r="T42">
        <f>1.82*S42/1000</f>
        <v>0</v>
      </c>
    </row>
    <row r="43" spans="1:20" x14ac:dyDescent="0.25">
      <c r="A43" s="3" t="s">
        <v>35</v>
      </c>
      <c r="B43">
        <v>20290</v>
      </c>
      <c r="C43">
        <v>1</v>
      </c>
      <c r="D43">
        <f>IF(B43=0,0,(B43-$J$8)/$I$8)*C43</f>
        <v>405.01470466995039</v>
      </c>
      <c r="E43">
        <f>1.82*D43/1000</f>
        <v>0.73712676249930975</v>
      </c>
      <c r="F43" s="3" t="s">
        <v>35</v>
      </c>
      <c r="G43">
        <v>20656</v>
      </c>
      <c r="H43">
        <v>1</v>
      </c>
      <c r="I43">
        <f>IF(G43=0,0,(G43-$J$8)/$I$8)*H43</f>
        <v>412.27344220395037</v>
      </c>
      <c r="J43">
        <f>1.82*I43/1000</f>
        <v>0.75033766481118969</v>
      </c>
      <c r="K43" s="3" t="s">
        <v>35</v>
      </c>
      <c r="L43">
        <v>3034</v>
      </c>
      <c r="M43">
        <v>1</v>
      </c>
      <c r="N43">
        <f>IF(L43=0,0,(L43-$J$8)/$I$8)*M43</f>
        <v>62.783079296443127</v>
      </c>
      <c r="O43">
        <f>1.82*N43/1000</f>
        <v>0.11426520431952648</v>
      </c>
      <c r="P43" s="3" t="s">
        <v>35</v>
      </c>
      <c r="Q43">
        <v>1633</v>
      </c>
      <c r="R43">
        <v>1</v>
      </c>
      <c r="S43">
        <f>IF(Q43=0,0,(Q43-$J$8)/$I$8)*R43</f>
        <v>34.997583981869433</v>
      </c>
      <c r="T43">
        <f>1.82*S43/1000</f>
        <v>6.3695602847002375E-2</v>
      </c>
    </row>
    <row r="44" spans="1:20" x14ac:dyDescent="0.25">
      <c r="A44" s="3" t="s">
        <v>36</v>
      </c>
      <c r="C44">
        <v>1</v>
      </c>
      <c r="D44">
        <f>IF(B44=0,0,(B44-$J$9)/$I$9)*C44</f>
        <v>0</v>
      </c>
      <c r="E44">
        <f>2.04*D44/1000</f>
        <v>0</v>
      </c>
      <c r="F44" s="3" t="s">
        <v>36</v>
      </c>
      <c r="H44">
        <v>1</v>
      </c>
      <c r="I44">
        <f>IF(G44=0,0,(G44-$J$9)/$I$9)*H44</f>
        <v>0</v>
      </c>
      <c r="J44">
        <f>2.04*I44/1000</f>
        <v>0</v>
      </c>
      <c r="K44" s="3" t="s">
        <v>36</v>
      </c>
      <c r="M44">
        <v>1</v>
      </c>
      <c r="N44">
        <f>IF(L44=0,0,(L44-$J$9)/$I$9)*M44</f>
        <v>0</v>
      </c>
      <c r="O44">
        <f>2.04*N44/1000</f>
        <v>0</v>
      </c>
      <c r="P44" s="3" t="s">
        <v>36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37</v>
      </c>
      <c r="C45">
        <v>1</v>
      </c>
      <c r="D45">
        <f>IF(B45=0,0,(B45-$J$10)/$I$10)*C45</f>
        <v>0</v>
      </c>
      <c r="E45">
        <f>2.04*D45/1000</f>
        <v>0</v>
      </c>
      <c r="F45" s="3" t="s">
        <v>37</v>
      </c>
      <c r="H45">
        <v>1</v>
      </c>
      <c r="I45">
        <f>IF(G45=0,0,(G45-$J$10)/$I$10)*H45</f>
        <v>0</v>
      </c>
      <c r="J45">
        <f>2.04*I45/1000</f>
        <v>0</v>
      </c>
      <c r="K45" s="3" t="s">
        <v>37</v>
      </c>
      <c r="M45">
        <v>1</v>
      </c>
      <c r="N45">
        <f>IF(L45=0,0,(L45-$J$10)/$I$10)*M45</f>
        <v>0</v>
      </c>
      <c r="O45">
        <f>2.04*N45/1000</f>
        <v>0</v>
      </c>
      <c r="P45" s="3" t="s">
        <v>37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38</v>
      </c>
      <c r="C46">
        <v>1</v>
      </c>
      <c r="D46">
        <f>IF(B46=0,0,(B46-$J$11)/$I$11)*1</f>
        <v>0</v>
      </c>
      <c r="E46">
        <f>2.21*D46/1000</f>
        <v>0</v>
      </c>
      <c r="F46" s="3" t="s">
        <v>38</v>
      </c>
      <c r="H46">
        <v>1</v>
      </c>
      <c r="I46">
        <f>IF(G46=0,0,(G46-$J$11)/$I$11)*1</f>
        <v>0</v>
      </c>
      <c r="J46">
        <f>2.21*I46/1000</f>
        <v>0</v>
      </c>
      <c r="K46" s="3" t="s">
        <v>38</v>
      </c>
      <c r="M46">
        <v>1</v>
      </c>
      <c r="N46">
        <f>IF(L46=0,0,(L46-$J$11)/$I$11)*1</f>
        <v>0</v>
      </c>
      <c r="O46">
        <f>2.21*N46/1000</f>
        <v>0</v>
      </c>
      <c r="P46" s="3" t="s">
        <v>38</v>
      </c>
      <c r="R46">
        <v>1</v>
      </c>
      <c r="S46">
        <f>IF(Q46=0,0,(Q46-$J$11)/$I$11)*1</f>
        <v>0</v>
      </c>
      <c r="T46">
        <f>2.21*S46/1000</f>
        <v>0</v>
      </c>
    </row>
    <row r="47" spans="1:20" x14ac:dyDescent="0.25">
      <c r="A47" s="3" t="s">
        <v>39</v>
      </c>
      <c r="C47">
        <v>1</v>
      </c>
      <c r="D47">
        <f>IF(B47=0,0,(B47-$J$12)/$I$12)*1</f>
        <v>0</v>
      </c>
      <c r="E47">
        <f>2.34*D47/1000</f>
        <v>0</v>
      </c>
      <c r="F47" s="3" t="s">
        <v>39</v>
      </c>
      <c r="H47">
        <v>1</v>
      </c>
      <c r="I47">
        <f>IF(G47=0,0,(G47-$J$12)/$I$12)*1</f>
        <v>0</v>
      </c>
      <c r="J47">
        <f>2.34*I47/1000</f>
        <v>0</v>
      </c>
      <c r="K47" s="3" t="s">
        <v>39</v>
      </c>
      <c r="M47">
        <v>1</v>
      </c>
      <c r="N47">
        <f>IF(L47=0,0,(L47-$J$12)/$I$12)*1</f>
        <v>0</v>
      </c>
      <c r="O47">
        <f>2.34*N47/1000</f>
        <v>0</v>
      </c>
      <c r="P47" s="3" t="s">
        <v>39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4690.0341584488961</v>
      </c>
      <c r="E48" s="3">
        <f>SUM(E40:E47)</f>
        <v>6.3456367312210027</v>
      </c>
      <c r="F48" s="3"/>
      <c r="G48" s="3" t="s">
        <v>62</v>
      </c>
      <c r="H48" s="3"/>
      <c r="I48" s="3">
        <f>SUM(I40:I47)</f>
        <v>5149.7713290273841</v>
      </c>
      <c r="J48" s="3">
        <f>SUM(J40:J47)</f>
        <v>6.8923877247294527</v>
      </c>
      <c r="K48" s="3"/>
      <c r="L48" s="3" t="s">
        <v>62</v>
      </c>
      <c r="M48" s="3"/>
      <c r="N48" s="3">
        <f>SUM(N40:N47)</f>
        <v>1080.3783025607136</v>
      </c>
      <c r="O48" s="3">
        <f>SUM(O40:O47)</f>
        <v>1.2993658702564348</v>
      </c>
      <c r="P48" s="3"/>
      <c r="Q48" s="3" t="s">
        <v>62</v>
      </c>
      <c r="R48" s="3"/>
      <c r="S48" s="3">
        <f>SUM(S40:S47)</f>
        <v>868.00416508278954</v>
      </c>
      <c r="T48" s="3">
        <f>SUM(T40:T47)</f>
        <v>1.0064207331846462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15520</v>
      </c>
      <c r="C52">
        <v>1</v>
      </c>
      <c r="D52">
        <f>IF(B52=0,0,(B52-$J$5)/$I$5)*C52</f>
        <v>667.5162824485592</v>
      </c>
      <c r="E52">
        <f>1.07*D52/1000</f>
        <v>0.71424242221995837</v>
      </c>
      <c r="F52" s="3" t="s">
        <v>32</v>
      </c>
      <c r="G52">
        <v>16127</v>
      </c>
      <c r="H52">
        <v>1</v>
      </c>
      <c r="I52">
        <f>IF(G52=0,0,(G52-$J$5)/$I$5)*H52</f>
        <v>693.58231632555385</v>
      </c>
      <c r="J52">
        <f>1.07*I52/1000</f>
        <v>0.74213307846834264</v>
      </c>
    </row>
    <row r="53" spans="1:13" x14ac:dyDescent="0.25">
      <c r="A53" s="3" t="s">
        <v>33</v>
      </c>
      <c r="C53">
        <v>1</v>
      </c>
      <c r="D53">
        <f>IF(B53=0,0,(B53-$J$6)/$I$6)*C53</f>
        <v>0</v>
      </c>
      <c r="E53">
        <f>1.51*D53/1000</f>
        <v>0</v>
      </c>
      <c r="F53" s="3" t="s">
        <v>33</v>
      </c>
      <c r="H53">
        <v>1</v>
      </c>
      <c r="I53">
        <f>IF(G53=0,0,(G53-$J$6)/$I$6)*H53</f>
        <v>0</v>
      </c>
      <c r="J53">
        <f>1.51*I53/1000</f>
        <v>0</v>
      </c>
    </row>
    <row r="54" spans="1:13" x14ac:dyDescent="0.25">
      <c r="A54" s="3" t="s">
        <v>34</v>
      </c>
      <c r="C54">
        <v>1</v>
      </c>
      <c r="D54">
        <f>IF(B54=0,0,(B54-$J$7)/$I$7)*C54</f>
        <v>0</v>
      </c>
      <c r="E54">
        <f>1.82*D54/1000</f>
        <v>0</v>
      </c>
      <c r="F54" s="3" t="s">
        <v>34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35</v>
      </c>
      <c r="C55">
        <v>1</v>
      </c>
      <c r="D55">
        <f>IF(B55=0,0,(B55-$J$8)/$I$8)*C55</f>
        <v>0</v>
      </c>
      <c r="E55">
        <f>1.82*D55/1000</f>
        <v>0</v>
      </c>
      <c r="F55" s="3" t="s">
        <v>35</v>
      </c>
      <c r="H55">
        <v>1</v>
      </c>
      <c r="I55">
        <f>IF(G55=0,0,(G55-$J$8)/$I$8)*H55</f>
        <v>0</v>
      </c>
      <c r="J55">
        <f>1.82*I55/1000</f>
        <v>0</v>
      </c>
    </row>
    <row r="56" spans="1:13" x14ac:dyDescent="0.25">
      <c r="A56" s="3" t="s">
        <v>36</v>
      </c>
      <c r="C56">
        <v>1</v>
      </c>
      <c r="D56">
        <f>IF(B56=0,0,(B56-$J$9)/$I$9)*C56</f>
        <v>0</v>
      </c>
      <c r="E56">
        <f>2.04*D56/1000</f>
        <v>0</v>
      </c>
      <c r="F56" s="3" t="s">
        <v>36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37</v>
      </c>
      <c r="C57">
        <v>1</v>
      </c>
      <c r="D57">
        <f>IF(B57=0,0,(B57-$J$10)/$I$10)*C57</f>
        <v>0</v>
      </c>
      <c r="E57">
        <f>2.04*D57/1000</f>
        <v>0</v>
      </c>
      <c r="F57" s="3" t="s">
        <v>37</v>
      </c>
      <c r="H57">
        <v>1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38</v>
      </c>
      <c r="C58">
        <v>1</v>
      </c>
      <c r="D58">
        <f>IF(B58=0,0,(B58-$J$11)/$I$11)*1</f>
        <v>0</v>
      </c>
      <c r="E58">
        <f>2.21*D58/1000</f>
        <v>0</v>
      </c>
      <c r="F58" s="3" t="s">
        <v>38</v>
      </c>
      <c r="H58">
        <v>1</v>
      </c>
      <c r="I58">
        <f>IF(G58=0,0,(G58-$J$11)/$I$11)*1</f>
        <v>0</v>
      </c>
      <c r="J58">
        <f>2.21*I58/1000</f>
        <v>0</v>
      </c>
    </row>
    <row r="59" spans="1:13" x14ac:dyDescent="0.25">
      <c r="A59" s="3" t="s">
        <v>39</v>
      </c>
      <c r="C59">
        <v>1</v>
      </c>
      <c r="D59">
        <f>IF(B59=0,0,(B59-$J$12)/$I$12)*1</f>
        <v>0</v>
      </c>
      <c r="E59">
        <f>2.34*D59/1000</f>
        <v>0</v>
      </c>
      <c r="F59" s="3" t="s">
        <v>39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62</v>
      </c>
      <c r="C60" s="3"/>
      <c r="D60" s="3">
        <f>SUM(D52:D59)</f>
        <v>667.5162824485592</v>
      </c>
      <c r="E60" s="3">
        <f>SUM(E52:E59)</f>
        <v>0.71424242221995837</v>
      </c>
      <c r="G60" s="3" t="s">
        <v>62</v>
      </c>
      <c r="H60" s="3"/>
      <c r="I60" s="3">
        <f>SUM(I52:I59)</f>
        <v>693.58231632555385</v>
      </c>
      <c r="J60" s="3">
        <f>SUM(J52:J59)</f>
        <v>0.74213307846834264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T60"/>
  <sheetViews>
    <sheetView topLeftCell="A27" zoomScale="90" zoomScaleNormal="90" workbookViewId="0">
      <selection activeCell="M61" sqref="M61"/>
    </sheetView>
  </sheetViews>
  <sheetFormatPr defaultRowHeight="15" x14ac:dyDescent="0.25"/>
  <cols>
    <col min="1" max="1" width="10.855468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6.6840000000000002</v>
      </c>
      <c r="C5" s="13">
        <v>1301</v>
      </c>
      <c r="D5" s="13">
        <v>6296</v>
      </c>
      <c r="E5" s="13">
        <v>12438</v>
      </c>
      <c r="F5" s="14">
        <v>53</v>
      </c>
      <c r="G5" s="14">
        <v>263</v>
      </c>
      <c r="H5" s="14">
        <v>525</v>
      </c>
      <c r="I5">
        <f>LINEST(C5:E5, F5:H5)</f>
        <v>23.589143081948457</v>
      </c>
      <c r="J5">
        <f>INTERCEPT(C5:E5, F5:H5)</f>
        <v>65.510222693783362</v>
      </c>
      <c r="K5">
        <f>RSQ(C5:E5,F5:H5)</f>
        <v>0.99998294798194443</v>
      </c>
    </row>
    <row r="6" spans="1:20" ht="15.75" x14ac:dyDescent="0.25">
      <c r="A6" s="3" t="s">
        <v>33</v>
      </c>
      <c r="B6" s="13">
        <v>7.6660000000000004</v>
      </c>
      <c r="C6" s="13">
        <v>2100</v>
      </c>
      <c r="D6" s="13">
        <v>9724</v>
      </c>
      <c r="E6" s="13">
        <v>19331</v>
      </c>
      <c r="F6" s="14">
        <v>49</v>
      </c>
      <c r="G6" s="14">
        <v>247</v>
      </c>
      <c r="H6" s="14">
        <v>495</v>
      </c>
      <c r="I6">
        <f t="shared" ref="I6:I12" si="0">LINEST(C6:E6, F6:H6)</f>
        <v>38.638807305155787</v>
      </c>
      <c r="J6">
        <f>INTERCEPT(C6:E6, F6:H6)</f>
        <v>197.23447387392116</v>
      </c>
      <c r="K6">
        <f t="shared" ref="K6:K12" si="1">RSQ(C6:E6,F6:H6)</f>
        <v>0.99999707372093716</v>
      </c>
    </row>
    <row r="7" spans="1:20" ht="15.75" x14ac:dyDescent="0.25">
      <c r="A7" s="3" t="s">
        <v>34</v>
      </c>
      <c r="B7" s="13">
        <v>8.0250000000000004</v>
      </c>
      <c r="C7" s="13">
        <v>2207</v>
      </c>
      <c r="D7" s="13">
        <v>11104</v>
      </c>
      <c r="E7" s="13">
        <v>21875</v>
      </c>
      <c r="F7" s="14">
        <v>47</v>
      </c>
      <c r="G7" s="14">
        <v>235</v>
      </c>
      <c r="H7" s="14">
        <v>469</v>
      </c>
      <c r="I7">
        <f t="shared" si="0"/>
        <v>46.583487456373241</v>
      </c>
      <c r="J7">
        <f t="shared" ref="J7:J12" si="2">INTERCEPT(C7:E7, F7:H7)</f>
        <v>67.266973421230432</v>
      </c>
      <c r="K7">
        <f t="shared" si="1"/>
        <v>0.99993766213671265</v>
      </c>
    </row>
    <row r="8" spans="1:20" ht="15.75" x14ac:dyDescent="0.25">
      <c r="A8" s="3" t="s">
        <v>35</v>
      </c>
      <c r="B8" s="13">
        <v>8.7609999999999992</v>
      </c>
      <c r="C8" s="13">
        <v>2300</v>
      </c>
      <c r="D8" s="13">
        <v>11385</v>
      </c>
      <c r="E8" s="13">
        <v>23010</v>
      </c>
      <c r="F8" s="14">
        <v>45</v>
      </c>
      <c r="G8" s="14">
        <v>227</v>
      </c>
      <c r="H8" s="14">
        <v>453</v>
      </c>
      <c r="I8">
        <f t="shared" si="0"/>
        <v>50.786710496920179</v>
      </c>
      <c r="J8">
        <f t="shared" si="2"/>
        <v>-41.788370089045202</v>
      </c>
      <c r="K8">
        <f>RSQ(C8:E8,F8:H8)</f>
        <v>0.99992760285064053</v>
      </c>
    </row>
    <row r="9" spans="1:20" ht="15.75" x14ac:dyDescent="0.25">
      <c r="A9" s="3" t="s">
        <v>36</v>
      </c>
      <c r="B9" s="13">
        <v>9.2360000000000007</v>
      </c>
      <c r="C9" s="13">
        <v>2598</v>
      </c>
      <c r="D9" s="13">
        <v>12361</v>
      </c>
      <c r="E9" s="13">
        <v>24645</v>
      </c>
      <c r="F9" s="14">
        <v>46</v>
      </c>
      <c r="G9" s="14">
        <v>228</v>
      </c>
      <c r="H9" s="14">
        <v>455</v>
      </c>
      <c r="I9">
        <f t="shared" si="0"/>
        <v>53.913155826525994</v>
      </c>
      <c r="J9">
        <f t="shared" si="2"/>
        <v>100.4364674875178</v>
      </c>
      <c r="K9">
        <f t="shared" si="1"/>
        <v>0.999993824879017</v>
      </c>
    </row>
    <row r="10" spans="1:20" ht="15.75" x14ac:dyDescent="0.25">
      <c r="A10" s="3" t="s">
        <v>37</v>
      </c>
      <c r="B10" s="13">
        <v>10.023</v>
      </c>
      <c r="C10" s="13">
        <v>2473</v>
      </c>
      <c r="D10" s="13">
        <v>12266</v>
      </c>
      <c r="E10" s="13">
        <v>25002</v>
      </c>
      <c r="F10" s="14">
        <v>44</v>
      </c>
      <c r="G10" s="14">
        <v>221</v>
      </c>
      <c r="H10" s="14">
        <v>443</v>
      </c>
      <c r="I10">
        <f t="shared" si="0"/>
        <v>56.501388576146503</v>
      </c>
      <c r="J10">
        <f t="shared" si="2"/>
        <v>-87.327703970577204</v>
      </c>
      <c r="K10">
        <f t="shared" si="1"/>
        <v>0.99989484291149444</v>
      </c>
    </row>
    <row r="11" spans="1:20" ht="15.75" x14ac:dyDescent="0.25">
      <c r="A11" s="3" t="s">
        <v>38</v>
      </c>
      <c r="B11" s="13">
        <v>11.209</v>
      </c>
      <c r="C11" s="13">
        <v>2546</v>
      </c>
      <c r="D11" s="13">
        <v>12472</v>
      </c>
      <c r="E11" s="13">
        <v>25852</v>
      </c>
      <c r="F11" s="14">
        <v>44</v>
      </c>
      <c r="G11" s="14">
        <v>222</v>
      </c>
      <c r="H11" s="14">
        <v>444</v>
      </c>
      <c r="I11">
        <f t="shared" si="0"/>
        <v>58.346286643869725</v>
      </c>
      <c r="J11">
        <f t="shared" si="2"/>
        <v>-185.28783904916781</v>
      </c>
      <c r="K11">
        <f t="shared" si="1"/>
        <v>0.99951900685737716</v>
      </c>
    </row>
    <row r="12" spans="1:20" ht="15.75" x14ac:dyDescent="0.25">
      <c r="A12" s="3" t="s">
        <v>39</v>
      </c>
      <c r="B12" s="13">
        <v>12.339</v>
      </c>
      <c r="C12" s="13">
        <v>2804</v>
      </c>
      <c r="D12" s="13">
        <v>13101</v>
      </c>
      <c r="E12" s="13">
        <v>27631</v>
      </c>
      <c r="F12" s="14">
        <v>47</v>
      </c>
      <c r="G12" s="14">
        <v>234</v>
      </c>
      <c r="H12" s="14">
        <v>467</v>
      </c>
      <c r="I12">
        <f t="shared" si="0"/>
        <v>59.242970285103411</v>
      </c>
      <c r="J12">
        <f t="shared" si="2"/>
        <v>-259.24725775245133</v>
      </c>
      <c r="K12">
        <f t="shared" si="1"/>
        <v>0.9987774231432025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47228</v>
      </c>
      <c r="C16">
        <v>1</v>
      </c>
      <c r="D16">
        <f>IF(B16=0,0,(B16-$J$5)/$I$5)*C16</f>
        <v>1999.3303535217105</v>
      </c>
      <c r="E16">
        <f>1.07*D16/1000</f>
        <v>2.1392834782682302</v>
      </c>
      <c r="F16" s="3" t="s">
        <v>32</v>
      </c>
      <c r="G16">
        <v>36885</v>
      </c>
      <c r="H16">
        <v>1</v>
      </c>
      <c r="I16">
        <f>IF(G16=0,0,(G16-$J$5)/$I$5)*H16</f>
        <v>1560.8659309664476</v>
      </c>
      <c r="J16">
        <f>1.07*I16/1000</f>
        <v>1.6701265461340991</v>
      </c>
      <c r="K16" s="3" t="s">
        <v>32</v>
      </c>
      <c r="L16">
        <v>31625</v>
      </c>
      <c r="M16">
        <v>1</v>
      </c>
      <c r="N16">
        <f>IF(L16=0,0,(L16-$J$5)/$I$5)*M16</f>
        <v>1337.88199374894</v>
      </c>
      <c r="O16">
        <f>1.07*N16/1000</f>
        <v>1.431533733311366</v>
      </c>
      <c r="P16" s="3" t="s">
        <v>32</v>
      </c>
      <c r="Q16">
        <v>29692</v>
      </c>
      <c r="R16">
        <v>1</v>
      </c>
      <c r="S16">
        <f>IF(Q16=0,0,(Q16-$J$5)/$I$5)*R16</f>
        <v>1255.9375164406811</v>
      </c>
      <c r="T16">
        <f>1.07*S16/1000</f>
        <v>1.343853142591529</v>
      </c>
    </row>
    <row r="17" spans="1:20" x14ac:dyDescent="0.25">
      <c r="A17" s="3" t="s">
        <v>33</v>
      </c>
      <c r="B17">
        <v>90657</v>
      </c>
      <c r="C17">
        <v>1</v>
      </c>
      <c r="D17">
        <f>IF(B17=0,0,(B17-$J$6)/$I$6)*C17</f>
        <v>2341.1635046523688</v>
      </c>
      <c r="E17">
        <f>1.51*D17/1000</f>
        <v>3.5351568920250771</v>
      </c>
      <c r="F17" s="3" t="s">
        <v>33</v>
      </c>
      <c r="G17">
        <v>39933</v>
      </c>
      <c r="H17">
        <v>1</v>
      </c>
      <c r="I17">
        <f>IF(G17=0,0,(G17-$J$6)/$I$6)*H17</f>
        <v>1028.3900642249876</v>
      </c>
      <c r="J17">
        <f>1.51*I17/1000</f>
        <v>1.5528689969797314</v>
      </c>
      <c r="K17" s="3" t="s">
        <v>33</v>
      </c>
      <c r="L17">
        <v>10041</v>
      </c>
      <c r="M17">
        <v>1</v>
      </c>
      <c r="N17">
        <f>IF(L17=0,0,(L17-$J$6)/$I$6)*M17</f>
        <v>254.76370034880895</v>
      </c>
      <c r="O17">
        <f>1.51*N17/1000</f>
        <v>0.38469318752670156</v>
      </c>
      <c r="P17" s="3" t="s">
        <v>33</v>
      </c>
      <c r="Q17">
        <v>7012</v>
      </c>
      <c r="R17">
        <v>1</v>
      </c>
      <c r="S17">
        <f>IF(Q17=0,0,(Q17-$J$6)/$I$6)*R17</f>
        <v>176.37101146278778</v>
      </c>
      <c r="T17">
        <f>1.51*S17/1000</f>
        <v>0.26632022730880955</v>
      </c>
    </row>
    <row r="18" spans="1:20" x14ac:dyDescent="0.25">
      <c r="A18" s="3" t="s">
        <v>34</v>
      </c>
      <c r="C18">
        <v>1</v>
      </c>
      <c r="D18">
        <f>IF(B18=0,0,(B18-$J$7)/$I$7)*C18</f>
        <v>0</v>
      </c>
      <c r="E18">
        <f>1.82*D18/1000</f>
        <v>0</v>
      </c>
      <c r="F18" s="3" t="s">
        <v>34</v>
      </c>
      <c r="H18">
        <v>1</v>
      </c>
      <c r="I18">
        <f>IF(G18=0,0,(G18-$J$7)/$I$7)*H18</f>
        <v>0</v>
      </c>
      <c r="J18">
        <f>1.82*I18/1000</f>
        <v>0</v>
      </c>
      <c r="K18" s="3" t="s">
        <v>34</v>
      </c>
      <c r="M18">
        <v>1</v>
      </c>
      <c r="N18">
        <f>IF(L18=0,0,(L18-$J$7)/$I$7)*M18</f>
        <v>0</v>
      </c>
      <c r="O18">
        <f>1.82*N18/1000</f>
        <v>0</v>
      </c>
      <c r="P18" s="3" t="s">
        <v>34</v>
      </c>
      <c r="R18">
        <v>1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35</v>
      </c>
      <c r="B19">
        <v>32065</v>
      </c>
      <c r="C19">
        <v>1</v>
      </c>
      <c r="D19">
        <f>IF(B19=0,0,(B19-$J$8)/$I$8)*C19</f>
        <v>632.18877647206693</v>
      </c>
      <c r="E19">
        <f>1.82*D19/1000</f>
        <v>1.1505835731791618</v>
      </c>
      <c r="F19" s="3" t="s">
        <v>35</v>
      </c>
      <c r="G19">
        <v>28048</v>
      </c>
      <c r="H19">
        <v>1</v>
      </c>
      <c r="I19">
        <f>IF(G19=0,0,(G19-$J$8)/$I$8)*H19</f>
        <v>553.09328159366555</v>
      </c>
      <c r="J19">
        <f>1.82*I19/1000</f>
        <v>1.0066297725004714</v>
      </c>
      <c r="K19" s="3" t="s">
        <v>35</v>
      </c>
      <c r="L19">
        <v>10831</v>
      </c>
      <c r="M19">
        <v>1</v>
      </c>
      <c r="N19">
        <f>IF(L19=0,0,(L19-$J$8)/$I$8)*M19</f>
        <v>214.08727329856097</v>
      </c>
      <c r="O19">
        <f>1.82*N19/1000</f>
        <v>0.38963883740338101</v>
      </c>
      <c r="P19" s="3" t="s">
        <v>35</v>
      </c>
      <c r="Q19">
        <v>9147</v>
      </c>
      <c r="R19">
        <v>1</v>
      </c>
      <c r="S19">
        <f>IF(Q19=0,0,(Q19-$J$8)/$I$8)*R19</f>
        <v>180.92899264752094</v>
      </c>
      <c r="T19">
        <f>1.82*S19/1000</f>
        <v>0.32929076661848816</v>
      </c>
    </row>
    <row r="20" spans="1:20" x14ac:dyDescent="0.25">
      <c r="A20" s="3" t="s">
        <v>36</v>
      </c>
      <c r="B20">
        <v>388</v>
      </c>
      <c r="C20">
        <v>1</v>
      </c>
      <c r="D20">
        <f>IF(B20=0,0,(B20-$J$9)/$I$9)*C20</f>
        <v>5.3338286009033267</v>
      </c>
      <c r="E20">
        <f>2.04*D20/1000</f>
        <v>1.0881010345842787E-2</v>
      </c>
      <c r="F20" s="3" t="s">
        <v>36</v>
      </c>
      <c r="G20">
        <v>244</v>
      </c>
      <c r="H20">
        <v>1</v>
      </c>
      <c r="I20">
        <f>IF(G20=0,0,(G20-$J$9)/$I$9)*H20</f>
        <v>2.6628664249301286</v>
      </c>
      <c r="J20">
        <f>2.04*I20/1000</f>
        <v>5.4322475068574617E-3</v>
      </c>
      <c r="K20" s="3" t="s">
        <v>36</v>
      </c>
      <c r="M20">
        <v>1</v>
      </c>
      <c r="N20">
        <f>IF(L20=0,0,(L20-$J$9)/$I$9)*M20</f>
        <v>0</v>
      </c>
      <c r="O20">
        <f>2.04*N20/1000</f>
        <v>0</v>
      </c>
      <c r="P20" s="3" t="s">
        <v>36</v>
      </c>
      <c r="R20">
        <v>1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37</v>
      </c>
      <c r="B21">
        <v>520</v>
      </c>
      <c r="C21">
        <v>1</v>
      </c>
      <c r="D21">
        <f>IF(B21=0,0,(B21-$J$10)/$I$10)*C21</f>
        <v>10.748898731083152</v>
      </c>
      <c r="E21">
        <f>2.04*D21/1000</f>
        <v>2.192775341140963E-2</v>
      </c>
      <c r="F21" s="3" t="s">
        <v>37</v>
      </c>
      <c r="G21">
        <v>368</v>
      </c>
      <c r="H21">
        <v>1</v>
      </c>
      <c r="I21">
        <f>IF(G21=0,0,(G21-$J$10)/$I$10)*H21</f>
        <v>8.0586993602278536</v>
      </c>
      <c r="J21">
        <f>2.04*I21/1000</f>
        <v>1.6439746694864824E-2</v>
      </c>
      <c r="K21" s="3" t="s">
        <v>37</v>
      </c>
      <c r="M21">
        <v>1</v>
      </c>
      <c r="N21">
        <f>IF(L21=0,0,(L21-$J$10)/$I$10)*M21</f>
        <v>0</v>
      </c>
      <c r="O21">
        <f>2.04*N21/1000</f>
        <v>0</v>
      </c>
      <c r="P21" s="3" t="s">
        <v>37</v>
      </c>
      <c r="Q21">
        <v>257</v>
      </c>
      <c r="R21">
        <v>1</v>
      </c>
      <c r="S21">
        <f>IF(Q21=0,0,(Q21-$J$10)/$I$10)*R21</f>
        <v>6.0941458723006301</v>
      </c>
      <c r="T21">
        <f>2.04*S21/1000</f>
        <v>1.2432057579493287E-2</v>
      </c>
    </row>
    <row r="22" spans="1:20" x14ac:dyDescent="0.25">
      <c r="A22" s="3" t="s">
        <v>38</v>
      </c>
      <c r="B22">
        <v>778</v>
      </c>
      <c r="C22">
        <v>1</v>
      </c>
      <c r="D22">
        <f>IF(B22=0,0,(B22-$J$11)/$I$11)*1</f>
        <v>16.509839690892782</v>
      </c>
      <c r="E22">
        <f>2.21*D22/1000</f>
        <v>3.6486745716873048E-2</v>
      </c>
      <c r="F22" s="3" t="s">
        <v>38</v>
      </c>
      <c r="G22">
        <v>480</v>
      </c>
      <c r="H22">
        <v>1</v>
      </c>
      <c r="I22">
        <f>IF(G22=0,0,(G22-$J$11)/$I$11)*1</f>
        <v>11.402402403256758</v>
      </c>
      <c r="J22">
        <f>2.21*I22/1000</f>
        <v>2.5199309311197435E-2</v>
      </c>
      <c r="K22" s="3" t="s">
        <v>38</v>
      </c>
      <c r="L22">
        <v>375</v>
      </c>
      <c r="M22">
        <v>1</v>
      </c>
      <c r="N22">
        <f>IF(L22=0,0,(L22-$J$11)/$I$11)*1</f>
        <v>9.6028020166735946</v>
      </c>
      <c r="O22">
        <f>2.21*N22/1000</f>
        <v>2.1222192456848643E-2</v>
      </c>
      <c r="P22" s="3" t="s">
        <v>38</v>
      </c>
      <c r="Q22">
        <v>257</v>
      </c>
      <c r="R22">
        <v>1</v>
      </c>
      <c r="S22">
        <f>IF(Q22=0,0,(Q22-$J$11)/$I$11)*1</f>
        <v>7.5803939631801356</v>
      </c>
      <c r="T22">
        <f>2.21*S22/1000</f>
        <v>1.6752670658628097E-2</v>
      </c>
    </row>
    <row r="23" spans="1:20" x14ac:dyDescent="0.25">
      <c r="A23" s="3" t="s">
        <v>39</v>
      </c>
      <c r="B23">
        <v>1092</v>
      </c>
      <c r="C23">
        <v>1</v>
      </c>
      <c r="D23">
        <f>IF(B23=0,0,(B23-$J$12)/$I$12)*1</f>
        <v>22.808567012248897</v>
      </c>
      <c r="E23">
        <f>2.34*D23/1000</f>
        <v>5.3372046808662421E-2</v>
      </c>
      <c r="F23" s="3" t="s">
        <v>39</v>
      </c>
      <c r="G23">
        <v>569</v>
      </c>
      <c r="H23">
        <v>1</v>
      </c>
      <c r="I23">
        <f>IF(G23=0,0,(G23-$J$12)/$I$12)*1</f>
        <v>13.980515388856411</v>
      </c>
      <c r="J23">
        <f>2.34*I23/1000</f>
        <v>3.2714406009924001E-2</v>
      </c>
      <c r="K23" s="3" t="s">
        <v>39</v>
      </c>
      <c r="L23">
        <v>276</v>
      </c>
      <c r="M23">
        <v>1</v>
      </c>
      <c r="N23">
        <f>IF(L23=0,0,(L23-$J$12)/$I$12)*1</f>
        <v>9.0347809229787845</v>
      </c>
      <c r="O23">
        <f>2.34*N23/1000</f>
        <v>2.1141387359770357E-2</v>
      </c>
      <c r="P23" s="3" t="s">
        <v>39</v>
      </c>
      <c r="R23">
        <v>1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62</v>
      </c>
      <c r="C24" s="3"/>
      <c r="D24" s="3">
        <f>SUM(D16:D23)</f>
        <v>5028.0837686812738</v>
      </c>
      <c r="E24" s="3">
        <f>SUM(E16:E23)</f>
        <v>6.9476914997552575</v>
      </c>
      <c r="G24" s="3" t="s">
        <v>62</v>
      </c>
      <c r="H24" s="3"/>
      <c r="I24" s="3">
        <f>SUM(I16:I23)</f>
        <v>3178.4537603623726</v>
      </c>
      <c r="J24" s="3">
        <f>SUM(J16:J23)</f>
        <v>4.3094110251371456</v>
      </c>
      <c r="L24" s="3" t="s">
        <v>62</v>
      </c>
      <c r="M24" s="3"/>
      <c r="N24" s="3">
        <f>SUM(N16:N23)</f>
        <v>1825.3705503359624</v>
      </c>
      <c r="O24" s="3">
        <f>SUM(O16:O23)</f>
        <v>2.2482293380580676</v>
      </c>
      <c r="Q24" s="3" t="s">
        <v>62</v>
      </c>
      <c r="R24" s="3"/>
      <c r="S24" s="3">
        <f>SUM(S16:S23)</f>
        <v>1626.9120603864706</v>
      </c>
      <c r="T24" s="3">
        <f>SUM(T16:T23)</f>
        <v>1.968648864756948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47232</v>
      </c>
      <c r="C28">
        <v>1</v>
      </c>
      <c r="D28">
        <f>IF(B28=0,0,(B28-$J$5)/$I$5)*C28</f>
        <v>1999.4999230557162</v>
      </c>
      <c r="E28">
        <f>1.07*D28/1000</f>
        <v>2.1394649176696166</v>
      </c>
      <c r="F28" s="3" t="s">
        <v>32</v>
      </c>
      <c r="G28">
        <v>55734</v>
      </c>
      <c r="H28">
        <v>1</v>
      </c>
      <c r="I28">
        <f>IF(G28=0,0,(G28-$J$5)/$I$5)*H28</f>
        <v>2359.9199675848513</v>
      </c>
      <c r="J28">
        <f>1.07*I28/1000</f>
        <v>2.5251143653157908</v>
      </c>
      <c r="K28" s="3" t="s">
        <v>32</v>
      </c>
      <c r="L28">
        <v>39689</v>
      </c>
      <c r="M28">
        <v>1</v>
      </c>
      <c r="N28">
        <f>IF(L28=0,0,(L28-$J$5)/$I$5)*M28</f>
        <v>1679.7341743044499</v>
      </c>
      <c r="O28">
        <f>1.07*N28/1000</f>
        <v>1.7973155665057616</v>
      </c>
      <c r="P28" s="3" t="s">
        <v>32</v>
      </c>
      <c r="Q28">
        <v>33760</v>
      </c>
      <c r="R28">
        <v>1</v>
      </c>
      <c r="S28">
        <f>IF(Q28=0,0,(Q28-$J$5)/$I$5)*R28</f>
        <v>1428.3897325244875</v>
      </c>
      <c r="T28">
        <f>1.07*S28/1000</f>
        <v>1.5283770138012016</v>
      </c>
    </row>
    <row r="29" spans="1:20" x14ac:dyDescent="0.25">
      <c r="A29" s="3" t="s">
        <v>33</v>
      </c>
      <c r="B29">
        <v>79341</v>
      </c>
      <c r="C29">
        <v>1</v>
      </c>
      <c r="D29">
        <f>IF(B29=0,0,(B29-$J$6)/$I$6)*C29</f>
        <v>2048.2973219405117</v>
      </c>
      <c r="E29">
        <f>1.51*D29/1000</f>
        <v>3.0929289561301725</v>
      </c>
      <c r="F29" s="3" t="s">
        <v>33</v>
      </c>
      <c r="G29">
        <v>105320</v>
      </c>
      <c r="H29">
        <v>1</v>
      </c>
      <c r="I29">
        <f>IF(G29=0,0,(G29-$J$6)/$I$6)*H29</f>
        <v>2720.6524439510581</v>
      </c>
      <c r="J29">
        <f>1.51*I29/1000</f>
        <v>4.1081851903660977</v>
      </c>
      <c r="K29" s="3" t="s">
        <v>33</v>
      </c>
      <c r="L29">
        <v>40686</v>
      </c>
      <c r="M29">
        <v>1</v>
      </c>
      <c r="N29">
        <f>IF(L29=0,0,(L29-$J$6)/$I$6)*M29</f>
        <v>1047.8782434033217</v>
      </c>
      <c r="O29">
        <f>1.51*N29/1000</f>
        <v>1.5822961475390156</v>
      </c>
      <c r="P29" s="3" t="s">
        <v>33</v>
      </c>
      <c r="Q29">
        <v>25651</v>
      </c>
      <c r="R29">
        <v>1</v>
      </c>
      <c r="S29">
        <f>IF(Q29=0,0,(Q29-$J$6)/$I$6)*R29</f>
        <v>658.76167773764712</v>
      </c>
      <c r="T29">
        <f>1.51*S29/1000</f>
        <v>0.99473013338384719</v>
      </c>
    </row>
    <row r="30" spans="1:20" x14ac:dyDescent="0.25">
      <c r="A30" s="3" t="s">
        <v>34</v>
      </c>
      <c r="C30">
        <v>1</v>
      </c>
      <c r="D30">
        <f>IF(B30=0,0,(B30-$J$7)/$I$7)*C30</f>
        <v>0</v>
      </c>
      <c r="E30">
        <f>1.82*D30/1000</f>
        <v>0</v>
      </c>
      <c r="F30" s="3" t="s">
        <v>34</v>
      </c>
      <c r="H30">
        <v>1</v>
      </c>
      <c r="I30">
        <f>IF(G30=0,0,(G30-$J$7)/$I$7)*H30</f>
        <v>0</v>
      </c>
      <c r="J30">
        <f>1.82*I30/1000</f>
        <v>0</v>
      </c>
      <c r="K30" s="3" t="s">
        <v>34</v>
      </c>
      <c r="M30">
        <v>1</v>
      </c>
      <c r="N30">
        <f>IF(L30=0,0,(L30-$J$7)/$I$7)*M30</f>
        <v>0</v>
      </c>
      <c r="O30">
        <f>1.82*N30/1000</f>
        <v>0</v>
      </c>
      <c r="P30" s="3" t="s">
        <v>34</v>
      </c>
      <c r="Q30">
        <v>208</v>
      </c>
      <c r="R30">
        <v>1</v>
      </c>
      <c r="S30">
        <f>IF(Q30=0,0,(Q30-$J$7)/$I$7)*R30</f>
        <v>3.0210925429438928</v>
      </c>
      <c r="T30">
        <f>1.82*S30/1000</f>
        <v>5.4983884281578858E-3</v>
      </c>
    </row>
    <row r="31" spans="1:20" x14ac:dyDescent="0.25">
      <c r="A31" s="3" t="s">
        <v>35</v>
      </c>
      <c r="B31">
        <v>42333</v>
      </c>
      <c r="C31">
        <v>1</v>
      </c>
      <c r="D31">
        <f>IF(B31=0,0,(B31-$J$8)/$I$8)*C31</f>
        <v>834.36765160560549</v>
      </c>
      <c r="E31">
        <f>1.82*D31/1000</f>
        <v>1.5185491259222019</v>
      </c>
      <c r="F31" s="3" t="s">
        <v>35</v>
      </c>
      <c r="G31">
        <v>42946</v>
      </c>
      <c r="H31">
        <v>1</v>
      </c>
      <c r="I31">
        <f>IF(G31=0,0,(G31-$J$8)/$I$8)*H31</f>
        <v>846.43773832715397</v>
      </c>
      <c r="J31">
        <f>1.82*I31/1000</f>
        <v>1.5405166837554203</v>
      </c>
      <c r="K31" s="3" t="s">
        <v>35</v>
      </c>
      <c r="L31">
        <v>13955</v>
      </c>
      <c r="M31">
        <v>1</v>
      </c>
      <c r="N31">
        <f>IF(L31=0,0,(L31-$J$8)/$I$8)*M31</f>
        <v>275.59942814051408</v>
      </c>
      <c r="O31">
        <f>1.82*N31/1000</f>
        <v>0.50159095921573571</v>
      </c>
      <c r="P31" s="3" t="s">
        <v>35</v>
      </c>
      <c r="Q31">
        <v>11731</v>
      </c>
      <c r="R31">
        <v>1</v>
      </c>
      <c r="S31">
        <f>IF(Q31=0,0,(Q31-$J$8)/$I$8)*R31</f>
        <v>231.80844466788164</v>
      </c>
      <c r="T31">
        <f>1.82*S31/1000</f>
        <v>0.4218913692955446</v>
      </c>
    </row>
    <row r="32" spans="1:20" x14ac:dyDescent="0.25">
      <c r="A32" s="3" t="s">
        <v>36</v>
      </c>
      <c r="C32">
        <v>1</v>
      </c>
      <c r="D32">
        <f>IF(B32=0,0,(B32-$J$9)/$I$9)*C32</f>
        <v>0</v>
      </c>
      <c r="E32">
        <f>2.04*D32/1000</f>
        <v>0</v>
      </c>
      <c r="F32" s="3" t="s">
        <v>36</v>
      </c>
      <c r="H32">
        <v>1</v>
      </c>
      <c r="I32">
        <f>IF(G32=0,0,(G32-$J$9)/$I$9)*H32</f>
        <v>0</v>
      </c>
      <c r="J32">
        <f>2.04*I32/1000</f>
        <v>0</v>
      </c>
      <c r="K32" s="3" t="s">
        <v>36</v>
      </c>
      <c r="L32">
        <v>283</v>
      </c>
      <c r="M32">
        <v>1</v>
      </c>
      <c r="N32">
        <f>IF(L32=0,0,(L32-$J$9)/$I$9)*M32</f>
        <v>3.3862520142562031</v>
      </c>
      <c r="O32">
        <f>2.04*N32/1000</f>
        <v>6.9079541090826544E-3</v>
      </c>
      <c r="P32" s="3" t="s">
        <v>36</v>
      </c>
      <c r="Q32">
        <v>0</v>
      </c>
      <c r="R32">
        <v>1</v>
      </c>
      <c r="S32">
        <f>IF(Q32=0,0,(Q32-$J$9)/$I$9)*R32</f>
        <v>0</v>
      </c>
      <c r="T32">
        <f>2.04*S32/1000</f>
        <v>0</v>
      </c>
    </row>
    <row r="33" spans="1:20" x14ac:dyDescent="0.25">
      <c r="A33" s="3" t="s">
        <v>37</v>
      </c>
      <c r="B33">
        <v>326</v>
      </c>
      <c r="C33">
        <v>1</v>
      </c>
      <c r="D33">
        <f>IF(B33=0,0,(B33-$J$10)/$I$10)*C33</f>
        <v>7.3153547972283643</v>
      </c>
      <c r="E33">
        <f>2.04*D33/1000</f>
        <v>1.4923323786345862E-2</v>
      </c>
      <c r="F33" s="3" t="s">
        <v>37</v>
      </c>
      <c r="G33">
        <v>417</v>
      </c>
      <c r="H33">
        <v>1</v>
      </c>
      <c r="I33">
        <f>IF(G33=0,0,(G33-$J$10)/$I$10)*H33</f>
        <v>8.9259346837272595</v>
      </c>
      <c r="J33">
        <f>2.04*I33/1000</f>
        <v>1.8208906754803609E-2</v>
      </c>
      <c r="K33" s="3" t="s">
        <v>37</v>
      </c>
      <c r="L33">
        <v>218</v>
      </c>
      <c r="M33">
        <v>1</v>
      </c>
      <c r="N33">
        <f>IF(L33=0,0,(L33-$J$10)/$I$10)*M33</f>
        <v>5.4038973495153897</v>
      </c>
      <c r="O33">
        <f>2.04*N33/1000</f>
        <v>1.1023950593011396E-2</v>
      </c>
      <c r="P33" s="3" t="s">
        <v>37</v>
      </c>
      <c r="Q33">
        <v>242</v>
      </c>
      <c r="R33">
        <v>1</v>
      </c>
      <c r="S33">
        <f>IF(Q33=0,0,(Q33-$J$10)/$I$10)*R33</f>
        <v>5.8286656712293841</v>
      </c>
      <c r="T33">
        <f>2.04*S33/1000</f>
        <v>1.1890477969307943E-2</v>
      </c>
    </row>
    <row r="34" spans="1:20" x14ac:dyDescent="0.25">
      <c r="A34" s="3" t="s">
        <v>38</v>
      </c>
      <c r="B34">
        <v>298</v>
      </c>
      <c r="C34">
        <v>1</v>
      </c>
      <c r="D34">
        <f>IF(B34=0,0,(B34-$J$11)/$I$11)*1</f>
        <v>8.2830950665126082</v>
      </c>
      <c r="E34">
        <f>2.21*D34/1000</f>
        <v>1.8305640096992863E-2</v>
      </c>
      <c r="F34" s="3" t="s">
        <v>38</v>
      </c>
      <c r="G34">
        <v>446</v>
      </c>
      <c r="H34">
        <v>1</v>
      </c>
      <c r="I34">
        <f>IF(G34=0,0,(G34-$J$11)/$I$11)*1</f>
        <v>10.819674659029829</v>
      </c>
      <c r="J34">
        <f>2.21*I34/1000</f>
        <v>2.391148099645592E-2</v>
      </c>
      <c r="K34" s="3" t="s">
        <v>38</v>
      </c>
      <c r="L34">
        <v>287</v>
      </c>
      <c r="M34">
        <v>1</v>
      </c>
      <c r="N34">
        <f>IF(L34=0,0,(L34-$J$11)/$I$11)*1</f>
        <v>8.0945655022038956</v>
      </c>
      <c r="O34">
        <f>2.21*N34/1000</f>
        <v>1.7888989759870608E-2</v>
      </c>
      <c r="P34" s="3" t="s">
        <v>38</v>
      </c>
      <c r="Q34">
        <v>229</v>
      </c>
      <c r="R34">
        <v>1</v>
      </c>
      <c r="S34">
        <f>IF(Q34=0,0,(Q34-$J$11)/$I$11)*1</f>
        <v>7.1005005267579584</v>
      </c>
      <c r="T34">
        <f>2.21*S34/1000</f>
        <v>1.5692106164135088E-2</v>
      </c>
    </row>
    <row r="35" spans="1:20" x14ac:dyDescent="0.25">
      <c r="A35" s="3" t="s">
        <v>39</v>
      </c>
      <c r="C35">
        <v>1</v>
      </c>
      <c r="D35">
        <f>IF(B35=0,0,(B35-$J$12)/$I$12)*1</f>
        <v>0</v>
      </c>
      <c r="E35">
        <f>2.34*D35/1000</f>
        <v>0</v>
      </c>
      <c r="F35" s="3" t="s">
        <v>39</v>
      </c>
      <c r="H35">
        <v>1</v>
      </c>
      <c r="I35">
        <f>IF(G35=0,0,(G35-$J$12)/$I$12)*1</f>
        <v>0</v>
      </c>
      <c r="J35">
        <f>2.34*I35/1000</f>
        <v>0</v>
      </c>
      <c r="K35" s="3" t="s">
        <v>39</v>
      </c>
      <c r="M35">
        <v>1</v>
      </c>
      <c r="N35">
        <f>IF(L35=0,0,(L35-$J$12)/$I$12)*1</f>
        <v>0</v>
      </c>
      <c r="O35">
        <f>2.34*N35/1000</f>
        <v>0</v>
      </c>
      <c r="P35" s="3" t="s">
        <v>39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62</v>
      </c>
      <c r="C36" s="3"/>
      <c r="D36" s="3">
        <f>SUM(D28:D35)</f>
        <v>4897.7633464655755</v>
      </c>
      <c r="E36" s="3">
        <f>SUM(E28:E35)</f>
        <v>6.7841719636053295</v>
      </c>
      <c r="G36" s="3" t="s">
        <v>62</v>
      </c>
      <c r="H36" s="3"/>
      <c r="I36" s="3">
        <f>SUM(I28:I35)</f>
        <v>5946.7557592058211</v>
      </c>
      <c r="J36" s="3">
        <f>SUM(J28:J35)</f>
        <v>8.2159366271885688</v>
      </c>
      <c r="L36" s="3" t="s">
        <v>62</v>
      </c>
      <c r="M36" s="3"/>
      <c r="N36" s="3">
        <f>SUM(N28:N35)</f>
        <v>3020.0965607142612</v>
      </c>
      <c r="O36" s="3">
        <f>SUM(O28:O35)</f>
        <v>3.9170235677224778</v>
      </c>
      <c r="Q36" s="3" t="s">
        <v>62</v>
      </c>
      <c r="R36" s="3"/>
      <c r="S36" s="3">
        <f>SUM(S28:S35)</f>
        <v>2334.9101136709473</v>
      </c>
      <c r="T36" s="3">
        <f>SUM(T28:T35)</f>
        <v>2.978079489042194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16" t="s">
        <v>58</v>
      </c>
      <c r="M38" s="16"/>
      <c r="N38" s="17"/>
      <c r="O38" s="17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16" t="s">
        <v>47</v>
      </c>
      <c r="M39" s="16" t="s">
        <v>68</v>
      </c>
      <c r="N39" s="16" t="s">
        <v>48</v>
      </c>
      <c r="O39" s="16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67639</v>
      </c>
      <c r="C40">
        <v>1</v>
      </c>
      <c r="D40">
        <f>IF(B40=0,0,(B40-$J$5)/$I$5)*C40</f>
        <v>2864.6012931693431</v>
      </c>
      <c r="E40">
        <f>1.07*D40/1000</f>
        <v>3.0651233836911973</v>
      </c>
      <c r="F40" s="3" t="s">
        <v>32</v>
      </c>
      <c r="G40">
        <v>74722</v>
      </c>
      <c r="H40">
        <v>1</v>
      </c>
      <c r="I40">
        <f>IF(G40=0,0,(G40-$J$5)/$I$5)*H40</f>
        <v>3164.8665455099526</v>
      </c>
      <c r="J40">
        <f>1.07*I40/1000</f>
        <v>3.3864072036956494</v>
      </c>
      <c r="K40" s="3" t="s">
        <v>32</v>
      </c>
      <c r="L40" s="17">
        <v>0</v>
      </c>
      <c r="M40" s="17">
        <v>1</v>
      </c>
      <c r="N40" s="17">
        <f>IF(L40=0,0,(L40-$J$5)/$I$5)*M40</f>
        <v>0</v>
      </c>
      <c r="O40" s="17">
        <f>1.07*N40/1000</f>
        <v>0</v>
      </c>
      <c r="P40" s="3" t="s">
        <v>32</v>
      </c>
      <c r="Q40">
        <v>71472</v>
      </c>
      <c r="R40">
        <v>1</v>
      </c>
      <c r="S40">
        <f>IF('VFA day 3'!Q40=0,0,('VFA day 3'!Q40-$J$5)/$I$5)*R40</f>
        <v>1620.9359383879703</v>
      </c>
      <c r="T40">
        <f>1.07*S40/1000</f>
        <v>1.7344014540751285</v>
      </c>
    </row>
    <row r="41" spans="1:20" x14ac:dyDescent="0.25">
      <c r="A41" s="3" t="s">
        <v>33</v>
      </c>
      <c r="B41">
        <v>108097</v>
      </c>
      <c r="C41">
        <v>1</v>
      </c>
      <c r="D41">
        <f>IF(B41=0,0,(B41-$J$6)/$I$6)*C41</f>
        <v>2792.5231923949273</v>
      </c>
      <c r="E41">
        <f>1.51*D41/1000</f>
        <v>4.2167100205163406</v>
      </c>
      <c r="F41" s="3" t="s">
        <v>33</v>
      </c>
      <c r="G41">
        <v>109755</v>
      </c>
      <c r="H41">
        <v>1</v>
      </c>
      <c r="I41">
        <f>IF(G41=0,0,(G41-$J$6)/$I$6)*H41</f>
        <v>2835.4334195897186</v>
      </c>
      <c r="J41">
        <f>1.51*I41/1000</f>
        <v>4.2815044635804753</v>
      </c>
      <c r="K41" s="3" t="s">
        <v>33</v>
      </c>
      <c r="L41" s="17">
        <v>0</v>
      </c>
      <c r="M41" s="17">
        <v>1</v>
      </c>
      <c r="N41" s="17">
        <f>IF(L41=0,0,(L41-$J$6)/$I$6)*M41</f>
        <v>0</v>
      </c>
      <c r="O41" s="17">
        <f>1.51*N41/1000</f>
        <v>0</v>
      </c>
      <c r="P41" s="3" t="s">
        <v>33</v>
      </c>
      <c r="Q41">
        <v>101350</v>
      </c>
      <c r="R41">
        <v>1</v>
      </c>
      <c r="S41">
        <f>IF('VFA day 3'!Q41=0,0,('VFA day 3'!Q41-$J$6)/$I$6)*R41</f>
        <v>1567.7183057884724</v>
      </c>
      <c r="T41">
        <f>1.51*S41/1000</f>
        <v>2.3672546417405935</v>
      </c>
    </row>
    <row r="42" spans="1:20" x14ac:dyDescent="0.25">
      <c r="A42" s="3" t="s">
        <v>34</v>
      </c>
      <c r="B42">
        <v>0</v>
      </c>
      <c r="C42">
        <v>1</v>
      </c>
      <c r="D42">
        <f>IF(B42=0,0,(B42-$J$7)/$I$7)*C42</f>
        <v>0</v>
      </c>
      <c r="E42">
        <f>1.82*D42/1000</f>
        <v>0</v>
      </c>
      <c r="F42" s="3" t="s">
        <v>34</v>
      </c>
      <c r="G42">
        <v>294</v>
      </c>
      <c r="H42">
        <v>1</v>
      </c>
      <c r="I42">
        <f>IF(G42=0,0,(G42-$J$7)/$I$7)*H42</f>
        <v>4.8672402810354525</v>
      </c>
      <c r="J42">
        <f>1.82*I42/1000</f>
        <v>8.8583773114845245E-3</v>
      </c>
      <c r="K42" s="3" t="s">
        <v>34</v>
      </c>
      <c r="L42" s="17">
        <v>8617</v>
      </c>
      <c r="M42" s="17">
        <v>1</v>
      </c>
      <c r="N42" s="17">
        <f>IF(L42=0,0,(L42-$J$7)/$I$7)*M42</f>
        <v>183.53570102680348</v>
      </c>
      <c r="O42" s="17">
        <f>1.82*N42/1000</f>
        <v>0.33403497586878234</v>
      </c>
      <c r="P42" s="3" t="s">
        <v>34</v>
      </c>
      <c r="Q42">
        <v>275</v>
      </c>
      <c r="R42">
        <v>1</v>
      </c>
      <c r="S42">
        <f>IF('VFA day 3'!Q42=0,0,('VFA day 3'!Q42-$J$7)/$I$7)*R42</f>
        <v>0</v>
      </c>
      <c r="T42">
        <f>1.82*S42/1000</f>
        <v>0</v>
      </c>
    </row>
    <row r="43" spans="1:20" x14ac:dyDescent="0.25">
      <c r="A43" s="3" t="s">
        <v>35</v>
      </c>
      <c r="B43">
        <v>29942</v>
      </c>
      <c r="C43">
        <v>1</v>
      </c>
      <c r="D43">
        <f>IF(B43=0,0,(B43-$J$8)/$I$8)*C43</f>
        <v>590.38650223088041</v>
      </c>
      <c r="E43">
        <f>1.82*D43/1000</f>
        <v>1.0745034340602024</v>
      </c>
      <c r="F43" s="3" t="s">
        <v>35</v>
      </c>
      <c r="G43">
        <v>28143</v>
      </c>
      <c r="H43">
        <v>1</v>
      </c>
      <c r="I43">
        <f>IF(G43=0,0,(G43-$J$8)/$I$8)*H43</f>
        <v>554.96384968264942</v>
      </c>
      <c r="J43">
        <f>1.82*I43/1000</f>
        <v>1.0100342064224219</v>
      </c>
      <c r="K43" s="3" t="s">
        <v>35</v>
      </c>
      <c r="L43" s="17">
        <v>0</v>
      </c>
      <c r="M43" s="17">
        <v>1</v>
      </c>
      <c r="N43" s="17">
        <f>IF(L43=0,0,(L43-$J$8)/$I$8)*M43</f>
        <v>0</v>
      </c>
      <c r="O43" s="17">
        <f>1.82*N43/1000</f>
        <v>0</v>
      </c>
      <c r="P43" s="3" t="s">
        <v>35</v>
      </c>
      <c r="Q43">
        <v>29048</v>
      </c>
      <c r="R43">
        <v>1</v>
      </c>
      <c r="S43">
        <f>IF('VFA day 3'!Q43=0,0,('VFA day 3'!Q43-$J$8)/$I$8)*R43</f>
        <v>347.70490542323893</v>
      </c>
      <c r="T43">
        <f>1.82*S43/1000</f>
        <v>0.63282292787029482</v>
      </c>
    </row>
    <row r="44" spans="1:20" x14ac:dyDescent="0.25">
      <c r="A44" s="3" t="s">
        <v>36</v>
      </c>
      <c r="B44">
        <v>399</v>
      </c>
      <c r="C44">
        <v>1</v>
      </c>
      <c r="D44">
        <f>IF(B44=0,0,(B44-$J$9)/$I$9)*C44</f>
        <v>5.5378604337901685</v>
      </c>
      <c r="E44">
        <f>2.04*D44/1000</f>
        <v>1.1297235284931944E-2</v>
      </c>
      <c r="F44" s="3" t="s">
        <v>36</v>
      </c>
      <c r="G44">
        <v>789</v>
      </c>
      <c r="H44">
        <v>1</v>
      </c>
      <c r="I44">
        <f>IF(G44=0,0,(G44-$J$9)/$I$9)*H44</f>
        <v>12.771716327050914</v>
      </c>
      <c r="J44">
        <f>2.04*I44/1000</f>
        <v>2.6054301307183867E-2</v>
      </c>
      <c r="K44" s="3" t="s">
        <v>36</v>
      </c>
      <c r="L44" s="17">
        <v>3034</v>
      </c>
      <c r="M44" s="17">
        <v>1</v>
      </c>
      <c r="N44" s="17">
        <f>IF(L44=0,0,(L44-$J$9)/$I$9)*M44</f>
        <v>54.412758584410852</v>
      </c>
      <c r="O44" s="17">
        <f>2.04*N44/1000</f>
        <v>0.11100202751219813</v>
      </c>
      <c r="P44" s="3" t="s">
        <v>36</v>
      </c>
      <c r="Q44">
        <v>408</v>
      </c>
      <c r="R44">
        <v>1</v>
      </c>
      <c r="S44">
        <f>IF('VFA day 3'!Q44=0,0,('VFA day 3'!Q44-$J$9)/$I$9)*R44</f>
        <v>0</v>
      </c>
      <c r="T44">
        <f>2.04*S44/1000</f>
        <v>0</v>
      </c>
    </row>
    <row r="45" spans="1:20" x14ac:dyDescent="0.25">
      <c r="A45" s="3" t="s">
        <v>37</v>
      </c>
      <c r="B45">
        <v>624</v>
      </c>
      <c r="C45">
        <v>1</v>
      </c>
      <c r="D45">
        <f>IF(B45=0,0,(B45-$J$10)/$I$10)*C45</f>
        <v>12.58956145851046</v>
      </c>
      <c r="E45">
        <f>2.04*D45/1000</f>
        <v>2.5682705375361336E-2</v>
      </c>
      <c r="F45" s="3" t="s">
        <v>37</v>
      </c>
      <c r="G45">
        <v>547</v>
      </c>
      <c r="H45">
        <v>1</v>
      </c>
      <c r="I45">
        <f>IF(G45=0,0,(G45-$J$10)/$I$10)*H45</f>
        <v>11.226763093011394</v>
      </c>
      <c r="J45">
        <f>2.04*I45/1000</f>
        <v>2.2902596709743244E-2</v>
      </c>
      <c r="K45" s="3" t="s">
        <v>37</v>
      </c>
      <c r="L45" s="17">
        <v>0</v>
      </c>
      <c r="M45" s="17">
        <v>1</v>
      </c>
      <c r="N45" s="17">
        <f>IF(L45=0,0,(L45-$J$10)/$I$10)*M45</f>
        <v>0</v>
      </c>
      <c r="O45" s="17">
        <f>2.04*N45/1000</f>
        <v>0</v>
      </c>
      <c r="P45" s="3" t="s">
        <v>37</v>
      </c>
      <c r="Q45">
        <v>499</v>
      </c>
      <c r="R45">
        <v>1</v>
      </c>
      <c r="S45">
        <f>IF('VFA day 3'!Q45=0,0,('VFA day 3'!Q45-$J$10)/$I$10)*R45</f>
        <v>0</v>
      </c>
      <c r="T45">
        <f>2.04*S45/1000</f>
        <v>0</v>
      </c>
    </row>
    <row r="46" spans="1:20" x14ac:dyDescent="0.25">
      <c r="A46" s="3" t="s">
        <v>38</v>
      </c>
      <c r="B46">
        <v>484</v>
      </c>
      <c r="C46">
        <v>1</v>
      </c>
      <c r="D46">
        <f>IF(B46=0,0,(B46-$J$11)/$I$11)*1</f>
        <v>11.470958608459926</v>
      </c>
      <c r="E46">
        <f>2.21*D46/1000</f>
        <v>2.5350818524696436E-2</v>
      </c>
      <c r="F46" s="3" t="s">
        <v>38</v>
      </c>
      <c r="G46">
        <v>375</v>
      </c>
      <c r="H46">
        <v>1</v>
      </c>
      <c r="I46">
        <f>IF(G46=0,0,(G46-$J$11)/$I$11)*1</f>
        <v>9.6028020166735946</v>
      </c>
      <c r="J46">
        <f>2.21*I46/1000</f>
        <v>2.1222192456848643E-2</v>
      </c>
      <c r="K46" s="3" t="s">
        <v>38</v>
      </c>
      <c r="L46" s="17">
        <v>0</v>
      </c>
      <c r="M46" s="17">
        <v>1</v>
      </c>
      <c r="N46" s="17">
        <f>IF(L46=0,0,(L46-$J$11)/$I$11)*1</f>
        <v>0</v>
      </c>
      <c r="O46" s="17">
        <f>2.21*N46/1000</f>
        <v>0</v>
      </c>
      <c r="P46" s="3" t="s">
        <v>38</v>
      </c>
      <c r="Q46">
        <v>466</v>
      </c>
      <c r="R46">
        <v>1</v>
      </c>
      <c r="S46">
        <f>IF('VFA day 3'!Q46=0,0,('VFA day 3'!Q46-$J$11)/$I$11)*1</f>
        <v>7.0833614754571661</v>
      </c>
      <c r="T46">
        <f>2.21*S46/1000</f>
        <v>1.5654228860760337E-2</v>
      </c>
    </row>
    <row r="47" spans="1:20" x14ac:dyDescent="0.25">
      <c r="A47" s="3" t="s">
        <v>39</v>
      </c>
      <c r="B47">
        <v>0</v>
      </c>
      <c r="C47">
        <v>1</v>
      </c>
      <c r="D47">
        <f>IF(B47=0,0,(B47-$J$12)/$I$12)*1</f>
        <v>0</v>
      </c>
      <c r="E47">
        <f>2.34*D47/1000</f>
        <v>0</v>
      </c>
      <c r="F47" s="3" t="s">
        <v>39</v>
      </c>
      <c r="G47">
        <v>0</v>
      </c>
      <c r="H47">
        <v>1</v>
      </c>
      <c r="I47">
        <f>IF(G47=0,0,(G47-$J$12)/$I$12)*1</f>
        <v>0</v>
      </c>
      <c r="J47">
        <f>2.34*I47/1000</f>
        <v>0</v>
      </c>
      <c r="K47" s="3" t="s">
        <v>39</v>
      </c>
      <c r="L47" s="17">
        <v>0</v>
      </c>
      <c r="M47" s="17">
        <v>1</v>
      </c>
      <c r="N47" s="17">
        <f>IF(L47=0,0,(L47-$J$12)/$I$12)*1</f>
        <v>0</v>
      </c>
      <c r="O47" s="17">
        <f>2.34*N47/1000</f>
        <v>0</v>
      </c>
      <c r="P47" s="3" t="s">
        <v>39</v>
      </c>
      <c r="Q47">
        <v>0</v>
      </c>
      <c r="R47">
        <v>1</v>
      </c>
      <c r="S47">
        <f>IF('VFA day 3'!Q47=0,0,('VFA day 3'!Q47-$J$12)/$I$12)*1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6277.1093682959117</v>
      </c>
      <c r="E48" s="3">
        <f>SUM(E40:E47)</f>
        <v>8.4186675974527301</v>
      </c>
      <c r="F48" s="3"/>
      <c r="G48" s="3" t="s">
        <v>62</v>
      </c>
      <c r="H48" s="3"/>
      <c r="I48" s="3">
        <f>SUM(I40:I47)</f>
        <v>6593.7323365000912</v>
      </c>
      <c r="J48" s="3">
        <f>SUM(J40:J47)</f>
        <v>8.7569833414838065</v>
      </c>
      <c r="K48" s="3"/>
      <c r="L48" s="16" t="s">
        <v>62</v>
      </c>
      <c r="M48" s="16"/>
      <c r="N48" s="16">
        <f>SUM(N40:N47)</f>
        <v>237.94845961121433</v>
      </c>
      <c r="O48" s="16">
        <f>SUM(O40:O47)</f>
        <v>0.44503700338098046</v>
      </c>
      <c r="P48" s="3"/>
      <c r="Q48" s="3" t="s">
        <v>62</v>
      </c>
      <c r="R48" s="3"/>
      <c r="S48" s="3">
        <f>SUM(S40:S47)</f>
        <v>3543.4425110751386</v>
      </c>
      <c r="T48" s="3">
        <f>SUM(T40:T47)</f>
        <v>4.7501332525467772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27958</v>
      </c>
      <c r="C52">
        <v>1</v>
      </c>
      <c r="D52">
        <f>IF(B52=0,0,(B52-$J$5)/$I$5)*C52</f>
        <v>1182.4291234492061</v>
      </c>
      <c r="E52">
        <f>1.07*D52/1000</f>
        <v>1.2651991620906506</v>
      </c>
      <c r="F52" s="3" t="s">
        <v>32</v>
      </c>
      <c r="G52">
        <v>28081</v>
      </c>
      <c r="H52">
        <v>1</v>
      </c>
      <c r="I52">
        <f>IF(G52=0,0,(G52-$J$5)/$I$5)*H52</f>
        <v>1187.6433866198818</v>
      </c>
      <c r="J52">
        <f>1.07*I52/1000</f>
        <v>1.2707784236832735</v>
      </c>
    </row>
    <row r="53" spans="1:13" x14ac:dyDescent="0.25">
      <c r="A53" s="3" t="s">
        <v>33</v>
      </c>
      <c r="B53">
        <v>7013</v>
      </c>
      <c r="C53">
        <v>1</v>
      </c>
      <c r="D53">
        <f>IF(B53=0,0,(B53-$J$6)/$I$6)*C53</f>
        <v>176.39689217882804</v>
      </c>
      <c r="E53">
        <f>1.51*D53/1000</f>
        <v>0.26635930719003031</v>
      </c>
      <c r="F53" s="3" t="s">
        <v>33</v>
      </c>
      <c r="G53">
        <v>9081</v>
      </c>
      <c r="H53">
        <v>1</v>
      </c>
      <c r="I53">
        <f>IF(G53=0,0,(G53-$J$6)/$I$6)*H53</f>
        <v>229.918212950136</v>
      </c>
      <c r="J53">
        <f>1.51*I53/1000</f>
        <v>0.34717650155470536</v>
      </c>
    </row>
    <row r="54" spans="1:13" x14ac:dyDescent="0.25">
      <c r="A54" s="3" t="s">
        <v>34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34</v>
      </c>
      <c r="G54">
        <v>0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35</v>
      </c>
      <c r="B55">
        <v>6386</v>
      </c>
      <c r="C55">
        <v>1</v>
      </c>
      <c r="D55">
        <f>IF(B55=0,0,(B55-$J$8)/$I$8)*C55</f>
        <v>126.56437692452715</v>
      </c>
      <c r="E55">
        <f>1.82*D55/1000</f>
        <v>0.23034716600263944</v>
      </c>
      <c r="F55" s="3" t="s">
        <v>35</v>
      </c>
      <c r="G55">
        <v>14283</v>
      </c>
      <c r="H55">
        <v>1</v>
      </c>
      <c r="I55">
        <f>IF(G55=0,0,(G55-$J$8)/$I$8)*H55</f>
        <v>282.05781059511094</v>
      </c>
      <c r="J55">
        <f>1.82*I55/1000</f>
        <v>0.51334521528310184</v>
      </c>
    </row>
    <row r="56" spans="1:13" x14ac:dyDescent="0.25">
      <c r="A56" s="3" t="s">
        <v>36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36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37</v>
      </c>
      <c r="B57">
        <v>202</v>
      </c>
      <c r="C57">
        <v>1</v>
      </c>
      <c r="D57">
        <f>IF(B57=0,0,(B57-$J$10)/$I$10)*C57</f>
        <v>5.1207184683727265</v>
      </c>
      <c r="E57">
        <f>2.04*D57/1000</f>
        <v>1.0446265675480362E-2</v>
      </c>
      <c r="F57" s="3" t="s">
        <v>37</v>
      </c>
      <c r="G57">
        <v>228</v>
      </c>
      <c r="H57">
        <v>1</v>
      </c>
      <c r="I57">
        <f>IF(G57=0,0,(G57-$J$10)/$I$10)*H57</f>
        <v>5.5808841502295543</v>
      </c>
      <c r="J57">
        <f>2.04*I57/1000</f>
        <v>1.1385003666468291E-2</v>
      </c>
    </row>
    <row r="58" spans="1:13" x14ac:dyDescent="0.25">
      <c r="A58" s="3" t="s">
        <v>38</v>
      </c>
      <c r="B58">
        <v>0</v>
      </c>
      <c r="C58">
        <v>1</v>
      </c>
      <c r="D58">
        <f>IF(B58=0,0,(B58-$J$11)/$I$11)*1</f>
        <v>0</v>
      </c>
      <c r="E58">
        <f>2.21*D58/1000</f>
        <v>0</v>
      </c>
      <c r="F58" s="3" t="s">
        <v>38</v>
      </c>
      <c r="G58">
        <v>225</v>
      </c>
      <c r="H58">
        <v>1</v>
      </c>
      <c r="I58">
        <f>IF(G58=0,0,(G58-$J$11)/$I$11)*1</f>
        <v>7.0319443215547901</v>
      </c>
      <c r="J58">
        <f>2.21*I58/1000</f>
        <v>1.5540596950636086E-2</v>
      </c>
    </row>
    <row r="59" spans="1:13" x14ac:dyDescent="0.25">
      <c r="A59" s="3" t="s">
        <v>39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39</v>
      </c>
      <c r="G59">
        <v>214</v>
      </c>
      <c r="H59">
        <v>1</v>
      </c>
      <c r="I59">
        <f>IF(G59=0,0,(G59-$J$12)/$I$12)*1</f>
        <v>7.9882432544313007</v>
      </c>
      <c r="J59">
        <f>2.34*I59/1000</f>
        <v>1.8692489215369243E-2</v>
      </c>
    </row>
    <row r="60" spans="1:13" x14ac:dyDescent="0.25">
      <c r="B60" s="3" t="s">
        <v>62</v>
      </c>
      <c r="C60" s="3"/>
      <c r="D60" s="3">
        <f>SUM(D52:D59)</f>
        <v>1490.5111110209339</v>
      </c>
      <c r="E60" s="3">
        <f>SUM(E52:E59)</f>
        <v>1.7723519009588009</v>
      </c>
      <c r="G60" s="3" t="s">
        <v>62</v>
      </c>
      <c r="H60" s="3"/>
      <c r="I60" s="3">
        <f>SUM(I52:I59)</f>
        <v>1720.2204818913444</v>
      </c>
      <c r="J60" s="3">
        <f>SUM(J52:J59)</f>
        <v>2.1769182303535541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60"/>
  <sheetViews>
    <sheetView topLeftCell="A42" workbookViewId="0">
      <selection activeCell="M58" sqref="M58"/>
    </sheetView>
  </sheetViews>
  <sheetFormatPr defaultRowHeight="15" x14ac:dyDescent="0.25"/>
  <cols>
    <col min="1" max="1" width="10.855468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6.6820000000000004</v>
      </c>
      <c r="C5" s="13">
        <v>1509</v>
      </c>
      <c r="D5" s="13">
        <v>6328</v>
      </c>
      <c r="E5" s="13">
        <v>12326</v>
      </c>
      <c r="F5" s="14">
        <v>53</v>
      </c>
      <c r="G5" s="14">
        <v>263</v>
      </c>
      <c r="H5" s="14">
        <v>525</v>
      </c>
      <c r="I5">
        <f>LINEST(C5:E5, F5:H5)</f>
        <v>22.916388498128327</v>
      </c>
      <c r="J5">
        <f>INTERCEPT(C5:E5, F5:H5)</f>
        <v>296.77242435802782</v>
      </c>
      <c r="K5">
        <f>RSQ(C5:E5,F5:H5)</f>
        <v>0.99999954392693424</v>
      </c>
    </row>
    <row r="6" spans="1:20" ht="15.75" x14ac:dyDescent="0.25">
      <c r="A6" s="3" t="s">
        <v>33</v>
      </c>
      <c r="B6" s="13">
        <v>7.6639999999999997</v>
      </c>
      <c r="C6" s="13">
        <v>2093</v>
      </c>
      <c r="D6" s="13">
        <v>9782</v>
      </c>
      <c r="E6" s="13">
        <v>19570</v>
      </c>
      <c r="F6" s="14">
        <v>49</v>
      </c>
      <c r="G6" s="14">
        <v>247</v>
      </c>
      <c r="H6" s="14">
        <v>495</v>
      </c>
      <c r="I6">
        <f t="shared" ref="I6:I12" si="0">LINEST(C6:E6, F6:H6)</f>
        <v>39.197754518997151</v>
      </c>
      <c r="J6">
        <f>INTERCEPT(C6:E6, F6:H6)</f>
        <v>146.52539182441797</v>
      </c>
      <c r="K6">
        <f t="shared" ref="K6:K12" si="1">RSQ(C6:E6,F6:H6)</f>
        <v>0.99997889388092243</v>
      </c>
    </row>
    <row r="7" spans="1:20" ht="15.75" x14ac:dyDescent="0.25">
      <c r="A7" s="3" t="s">
        <v>34</v>
      </c>
      <c r="B7" s="13">
        <v>8.0229999999999997</v>
      </c>
      <c r="C7" s="13">
        <v>2268</v>
      </c>
      <c r="D7" s="13">
        <v>11124</v>
      </c>
      <c r="E7" s="13">
        <v>21970</v>
      </c>
      <c r="F7" s="14">
        <v>47</v>
      </c>
      <c r="G7" s="14">
        <v>235</v>
      </c>
      <c r="H7" s="14">
        <v>469</v>
      </c>
      <c r="I7">
        <f t="shared" si="0"/>
        <v>46.673686722548709</v>
      </c>
      <c r="J7">
        <f t="shared" ref="J7:J12" si="2">INTERCEPT(C7:E7, F7:H7)</f>
        <v>103.3537571219731</v>
      </c>
      <c r="K7">
        <f t="shared" si="1"/>
        <v>0.99997882408723482</v>
      </c>
    </row>
    <row r="8" spans="1:20" ht="15.75" x14ac:dyDescent="0.25">
      <c r="A8" s="3" t="s">
        <v>35</v>
      </c>
      <c r="B8" s="13">
        <v>8.7590000000000003</v>
      </c>
      <c r="C8" s="13">
        <v>2480</v>
      </c>
      <c r="D8" s="13">
        <v>11505</v>
      </c>
      <c r="E8" s="13">
        <v>22956</v>
      </c>
      <c r="F8" s="14">
        <v>45</v>
      </c>
      <c r="G8" s="14">
        <v>227</v>
      </c>
      <c r="H8" s="14">
        <v>453</v>
      </c>
      <c r="I8">
        <f t="shared" si="0"/>
        <v>50.205390482877476</v>
      </c>
      <c r="J8">
        <f t="shared" si="2"/>
        <v>180.69729997127251</v>
      </c>
      <c r="K8">
        <f>RSQ(C8:E8,F8:H8)</f>
        <v>0.99996260512300905</v>
      </c>
    </row>
    <row r="9" spans="1:20" ht="15.75" x14ac:dyDescent="0.25">
      <c r="A9" s="3" t="s">
        <v>36</v>
      </c>
      <c r="B9" s="13">
        <v>9.2349999999999994</v>
      </c>
      <c r="C9" s="13">
        <v>2444</v>
      </c>
      <c r="D9" s="13">
        <v>12267</v>
      </c>
      <c r="E9" s="13">
        <v>24331</v>
      </c>
      <c r="F9" s="14">
        <v>46</v>
      </c>
      <c r="G9" s="14">
        <v>228</v>
      </c>
      <c r="H9" s="14">
        <v>455</v>
      </c>
      <c r="I9">
        <f t="shared" si="0"/>
        <v>53.49852342280122</v>
      </c>
      <c r="J9">
        <f t="shared" si="2"/>
        <v>13.858808259305079</v>
      </c>
      <c r="K9">
        <f t="shared" si="1"/>
        <v>0.99998071489813556</v>
      </c>
    </row>
    <row r="10" spans="1:20" ht="15.75" x14ac:dyDescent="0.25">
      <c r="A10" s="3" t="s">
        <v>37</v>
      </c>
      <c r="B10" s="13">
        <v>10.022</v>
      </c>
      <c r="C10" s="13">
        <v>2463</v>
      </c>
      <c r="D10" s="13">
        <v>12280</v>
      </c>
      <c r="E10" s="13">
        <v>24763</v>
      </c>
      <c r="F10" s="14">
        <v>44</v>
      </c>
      <c r="G10" s="14">
        <v>221</v>
      </c>
      <c r="H10" s="14">
        <v>443</v>
      </c>
      <c r="I10">
        <f t="shared" si="0"/>
        <v>55.903888013210228</v>
      </c>
      <c r="J10">
        <f t="shared" si="2"/>
        <v>-24.650904450949383</v>
      </c>
      <c r="K10">
        <f t="shared" si="1"/>
        <v>0.99998486072753912</v>
      </c>
    </row>
    <row r="11" spans="1:20" ht="15.75" x14ac:dyDescent="0.25">
      <c r="A11" s="3" t="s">
        <v>38</v>
      </c>
      <c r="B11" s="13">
        <v>11.208</v>
      </c>
      <c r="C11" s="13">
        <v>2552</v>
      </c>
      <c r="D11" s="13">
        <v>12499</v>
      </c>
      <c r="E11" s="13">
        <v>25572</v>
      </c>
      <c r="F11" s="14">
        <v>44</v>
      </c>
      <c r="G11" s="14">
        <v>222</v>
      </c>
      <c r="H11" s="14">
        <v>444</v>
      </c>
      <c r="I11">
        <f t="shared" si="0"/>
        <v>57.604213007536273</v>
      </c>
      <c r="J11">
        <f t="shared" si="2"/>
        <v>-91.997078450252957</v>
      </c>
      <c r="K11">
        <f t="shared" si="1"/>
        <v>0.99978044717475456</v>
      </c>
    </row>
    <row r="12" spans="1:20" ht="15.75" x14ac:dyDescent="0.25">
      <c r="A12" s="3" t="s">
        <v>39</v>
      </c>
      <c r="B12" s="13">
        <v>12.337999999999999</v>
      </c>
      <c r="C12" s="13">
        <v>2602</v>
      </c>
      <c r="D12" s="13">
        <v>13027</v>
      </c>
      <c r="E12" s="13">
        <v>27271</v>
      </c>
      <c r="F12" s="14">
        <v>47</v>
      </c>
      <c r="G12" s="14">
        <v>234</v>
      </c>
      <c r="H12" s="14">
        <v>467</v>
      </c>
      <c r="I12">
        <f t="shared" si="0"/>
        <v>58.832434935142174</v>
      </c>
      <c r="J12">
        <f t="shared" si="2"/>
        <v>-368.88711049545054</v>
      </c>
      <c r="K12">
        <f t="shared" si="1"/>
        <v>0.9993245153641841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52668</v>
      </c>
      <c r="C16">
        <v>1</v>
      </c>
      <c r="D16">
        <f>IF(B16=0,0,(B16-$J$5)/$I$5)*C16</f>
        <v>2285.3176703615118</v>
      </c>
      <c r="E16">
        <f>1.07*D16/1000</f>
        <v>2.4452899072868175</v>
      </c>
      <c r="F16" s="3" t="s">
        <v>32</v>
      </c>
      <c r="G16">
        <v>37388</v>
      </c>
      <c r="H16">
        <v>1</v>
      </c>
      <c r="I16">
        <f>IF(G16=0,0,(G16-$J$5)/$I$5)*H16</f>
        <v>1618.5459405469303</v>
      </c>
      <c r="J16">
        <f>1.07*I16/1000</f>
        <v>1.7318441563852154</v>
      </c>
      <c r="K16" s="3" t="s">
        <v>32</v>
      </c>
      <c r="L16">
        <v>40104</v>
      </c>
      <c r="M16">
        <v>1</v>
      </c>
      <c r="N16">
        <f>IF(L16=0,0,(L16-$J$5)/$I$5)*M16</f>
        <v>1737.0637427836059</v>
      </c>
      <c r="O16">
        <f>1.07*N16/1000</f>
        <v>1.8586582047784583</v>
      </c>
      <c r="P16" s="3" t="s">
        <v>32</v>
      </c>
      <c r="Q16">
        <v>32600</v>
      </c>
      <c r="R16">
        <v>1</v>
      </c>
      <c r="S16">
        <f>IF(Q16=0,0,(Q16-$J$5)/$I$5)*R16</f>
        <v>1409.6124953668116</v>
      </c>
      <c r="T16">
        <f>1.07*S16/1000</f>
        <v>1.5082853700424885</v>
      </c>
    </row>
    <row r="17" spans="1:20" x14ac:dyDescent="0.25">
      <c r="A17" s="3" t="s">
        <v>33</v>
      </c>
      <c r="B17">
        <v>98434</v>
      </c>
      <c r="C17">
        <v>1</v>
      </c>
      <c r="D17">
        <f>IF(B17=0,0,(B17-$J$6)/$I$6)*C17</f>
        <v>2507.4771709318366</v>
      </c>
      <c r="E17">
        <f>1.51*D17/1000</f>
        <v>3.7862905281070733</v>
      </c>
      <c r="F17" s="3" t="s">
        <v>33</v>
      </c>
      <c r="G17">
        <v>55984</v>
      </c>
      <c r="H17">
        <v>1</v>
      </c>
      <c r="I17">
        <f>IF(G17=0,0,(G17-$J$6)/$I$6)*H17</f>
        <v>1424.5069722326571</v>
      </c>
      <c r="J17">
        <f>1.51*I17/1000</f>
        <v>2.1510055280713121</v>
      </c>
      <c r="K17" s="3" t="s">
        <v>33</v>
      </c>
      <c r="L17">
        <v>14141</v>
      </c>
      <c r="M17">
        <v>1</v>
      </c>
      <c r="N17">
        <f>IF(L17=0,0,(L17-$J$6)/$I$6)*M17</f>
        <v>357.02235446658494</v>
      </c>
      <c r="O17">
        <f>1.51*N17/1000</f>
        <v>0.53910375524454335</v>
      </c>
      <c r="P17" s="3" t="s">
        <v>33</v>
      </c>
      <c r="Q17">
        <v>16431</v>
      </c>
      <c r="R17">
        <v>1</v>
      </c>
      <c r="S17">
        <f>IF(Q17=0,0,(Q17-$J$6)/$I$6)*R17</f>
        <v>415.44406836578685</v>
      </c>
      <c r="T17">
        <f>1.51*S17/1000</f>
        <v>0.62732054323233821</v>
      </c>
    </row>
    <row r="18" spans="1:20" x14ac:dyDescent="0.25">
      <c r="A18" s="3" t="s">
        <v>34</v>
      </c>
      <c r="B18">
        <v>0</v>
      </c>
      <c r="C18">
        <v>1</v>
      </c>
      <c r="D18">
        <f>IF(B18=0,0,(B18-$J$7)/$I$7)*C18</f>
        <v>0</v>
      </c>
      <c r="E18">
        <f>1.82*D18/1000</f>
        <v>0</v>
      </c>
      <c r="F18" s="3" t="s">
        <v>34</v>
      </c>
      <c r="G18">
        <v>549</v>
      </c>
      <c r="H18">
        <v>1</v>
      </c>
      <c r="I18">
        <f>IF(G18=0,0,(G18-$J$7)/$I$7)*H18</f>
        <v>9.5481260249949145</v>
      </c>
      <c r="J18">
        <f>1.82*I18/1000</f>
        <v>1.7377589365490744E-2</v>
      </c>
      <c r="K18" s="3" t="s">
        <v>34</v>
      </c>
      <c r="L18">
        <v>200</v>
      </c>
      <c r="M18">
        <v>1</v>
      </c>
      <c r="N18">
        <f>IF(L18=0,0,(L18-$J$7)/$I$7)*M18</f>
        <v>2.0706794269871924</v>
      </c>
      <c r="O18">
        <f>1.82*N18/1000</f>
        <v>3.7686365571166906E-3</v>
      </c>
      <c r="P18" s="3" t="s">
        <v>34</v>
      </c>
      <c r="Q18">
        <v>0</v>
      </c>
      <c r="R18">
        <v>1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35</v>
      </c>
      <c r="B19">
        <v>34331</v>
      </c>
      <c r="C19">
        <v>1</v>
      </c>
      <c r="D19">
        <f>IF(B19=0,0,(B19-$J$8)/$I$8)*C19</f>
        <v>680.21187309907828</v>
      </c>
      <c r="E19">
        <f>1.82*D19/1000</f>
        <v>1.2379856090403225</v>
      </c>
      <c r="F19" s="3" t="s">
        <v>35</v>
      </c>
      <c r="G19">
        <v>101679</v>
      </c>
      <c r="H19">
        <v>1</v>
      </c>
      <c r="I19">
        <f>IF(G19=0,0,(G19-$J$8)/$I$8)*H19</f>
        <v>2021.661453557356</v>
      </c>
      <c r="J19">
        <f>1.82*I19/1000</f>
        <v>3.6794238454743882</v>
      </c>
      <c r="K19" s="3" t="s">
        <v>35</v>
      </c>
      <c r="L19">
        <v>54308</v>
      </c>
      <c r="M19">
        <v>1</v>
      </c>
      <c r="N19">
        <f>IF(L19=0,0,(L19-$J$8)/$I$8)*M19</f>
        <v>1078.1173531254342</v>
      </c>
      <c r="O19">
        <f>1.82*N19/1000</f>
        <v>1.9621735826882902</v>
      </c>
      <c r="P19" s="3" t="s">
        <v>35</v>
      </c>
      <c r="Q19">
        <v>93586</v>
      </c>
      <c r="R19">
        <v>1</v>
      </c>
      <c r="S19">
        <f>IF(Q19=0,0,(Q19-$J$8)/$I$8)*R19</f>
        <v>1860.4636235601943</v>
      </c>
      <c r="T19">
        <f>1.82*S19/1000</f>
        <v>3.3860437948795536</v>
      </c>
    </row>
    <row r="20" spans="1:20" x14ac:dyDescent="0.25">
      <c r="A20" s="3" t="s">
        <v>36</v>
      </c>
      <c r="B20">
        <v>407</v>
      </c>
      <c r="C20">
        <v>1</v>
      </c>
      <c r="D20">
        <f>IF(B20=0,0,(B20-$J$9)/$I$9)*C20</f>
        <v>7.3486363097105043</v>
      </c>
      <c r="E20">
        <f>2.04*D20/1000</f>
        <v>1.4991218071809429E-2</v>
      </c>
      <c r="F20" s="3" t="s">
        <v>36</v>
      </c>
      <c r="G20">
        <v>242</v>
      </c>
      <c r="H20">
        <v>1</v>
      </c>
      <c r="I20">
        <f>IF(G20=0,0,(G20-$J$9)/$I$9)*H20</f>
        <v>4.2644390376475423</v>
      </c>
      <c r="J20">
        <f>2.04*I20/1000</f>
        <v>8.6994556368009852E-3</v>
      </c>
      <c r="K20" s="3" t="s">
        <v>36</v>
      </c>
      <c r="L20">
        <v>0</v>
      </c>
      <c r="M20">
        <v>1</v>
      </c>
      <c r="N20">
        <f>IF(L20=0,0,(L20-$J$9)/$I$9)*M20</f>
        <v>0</v>
      </c>
      <c r="O20">
        <f>2.04*N20/1000</f>
        <v>0</v>
      </c>
      <c r="P20" s="3" t="s">
        <v>36</v>
      </c>
      <c r="Q20">
        <v>326</v>
      </c>
      <c r="R20">
        <v>1</v>
      </c>
      <c r="S20">
        <f>IF(Q20=0,0,(Q20-$J$9)/$I$9)*R20</f>
        <v>5.8345758306977773</v>
      </c>
      <c r="T20">
        <f>2.04*S20/1000</f>
        <v>1.1902534694623466E-2</v>
      </c>
    </row>
    <row r="21" spans="1:20" x14ac:dyDescent="0.25">
      <c r="A21" s="3" t="s">
        <v>37</v>
      </c>
      <c r="B21">
        <v>739</v>
      </c>
      <c r="C21">
        <v>1</v>
      </c>
      <c r="D21">
        <f>IF(B21=0,0,(B21-$J$10)/$I$10)*C21</f>
        <v>13.660067869885843</v>
      </c>
      <c r="E21">
        <f>2.04*D21/1000</f>
        <v>2.786653845456712E-2</v>
      </c>
      <c r="F21" s="3" t="s">
        <v>37</v>
      </c>
      <c r="G21">
        <v>978</v>
      </c>
      <c r="H21">
        <v>1</v>
      </c>
      <c r="I21">
        <f>IF(G21=0,0,(G21-$J$10)/$I$10)*H21</f>
        <v>17.935262467147552</v>
      </c>
      <c r="J21">
        <f>2.04*I21/1000</f>
        <v>3.6587935432981007E-2</v>
      </c>
      <c r="K21" s="3" t="s">
        <v>37</v>
      </c>
      <c r="L21">
        <v>470</v>
      </c>
      <c r="M21">
        <v>1</v>
      </c>
      <c r="N21">
        <f>IF(L21=0,0,(L21-$J$10)/$I$10)*M21</f>
        <v>8.8482379675285223</v>
      </c>
      <c r="O21">
        <f>2.04*N21/1000</f>
        <v>1.8050405453758186E-2</v>
      </c>
      <c r="P21" s="3" t="s">
        <v>37</v>
      </c>
      <c r="Q21">
        <v>25246</v>
      </c>
      <c r="R21">
        <v>1</v>
      </c>
      <c r="S21">
        <f>IF(Q21=0,0,(Q21-$J$10)/$I$10)*R21</f>
        <v>452.03744860249134</v>
      </c>
      <c r="T21">
        <f>2.04*S21/1000</f>
        <v>0.92215639514908232</v>
      </c>
    </row>
    <row r="22" spans="1:20" x14ac:dyDescent="0.25">
      <c r="A22" s="3" t="s">
        <v>38</v>
      </c>
      <c r="B22">
        <v>883</v>
      </c>
      <c r="C22">
        <v>1</v>
      </c>
      <c r="D22">
        <f>IF(B22=0,0,(B22-$J$11)/$I$11)*1</f>
        <v>16.925794617187037</v>
      </c>
      <c r="E22">
        <f>2.21*D22/1000</f>
        <v>3.7406006103983348E-2</v>
      </c>
      <c r="F22" s="3" t="s">
        <v>38</v>
      </c>
      <c r="G22">
        <v>701</v>
      </c>
      <c r="H22">
        <v>1</v>
      </c>
      <c r="I22">
        <f>IF(G22=0,0,(G22-$J$11)/$I$11)*1</f>
        <v>13.766303488019293</v>
      </c>
      <c r="J22">
        <f>2.21*I22/1000</f>
        <v>3.0423530708522637E-2</v>
      </c>
      <c r="K22" s="3" t="s">
        <v>38</v>
      </c>
      <c r="L22">
        <v>392</v>
      </c>
      <c r="M22">
        <v>1</v>
      </c>
      <c r="N22">
        <f>IF(L22=0,0,(L22-$J$11)/$I$11)*1</f>
        <v>8.4021125049817513</v>
      </c>
      <c r="O22">
        <f>2.21*N22/1000</f>
        <v>1.8568668636009669E-2</v>
      </c>
      <c r="P22" s="3" t="s">
        <v>38</v>
      </c>
      <c r="Q22">
        <v>3317</v>
      </c>
      <c r="R22">
        <v>1</v>
      </c>
      <c r="S22">
        <f>IF(Q22=0,0,(Q22-$J$11)/$I$11)*1</f>
        <v>59.179648509463341</v>
      </c>
      <c r="T22">
        <f>2.21*S22/1000</f>
        <v>0.13078702320591398</v>
      </c>
    </row>
    <row r="23" spans="1:20" x14ac:dyDescent="0.25">
      <c r="A23" s="3" t="s">
        <v>39</v>
      </c>
      <c r="B23">
        <v>965</v>
      </c>
      <c r="C23">
        <v>1</v>
      </c>
      <c r="D23">
        <f>IF(B23=0,0,(B23-$J$12)/$I$12)*1</f>
        <v>22.672648377819975</v>
      </c>
      <c r="E23">
        <f>2.34*D23/1000</f>
        <v>5.3053997204098736E-2</v>
      </c>
      <c r="F23" s="3" t="s">
        <v>39</v>
      </c>
      <c r="G23">
        <v>432</v>
      </c>
      <c r="H23">
        <v>1</v>
      </c>
      <c r="I23">
        <f>IF(G23=0,0,(G23-$J$12)/$I$12)*1</f>
        <v>13.613019950276772</v>
      </c>
      <c r="J23">
        <f>2.34*I23/1000</f>
        <v>3.1854466683647643E-2</v>
      </c>
      <c r="K23" s="3" t="s">
        <v>39</v>
      </c>
      <c r="L23">
        <v>337</v>
      </c>
      <c r="M23">
        <v>1</v>
      </c>
      <c r="N23">
        <f>IF(L23=0,0,(L23-$J$12)/$I$12)*1</f>
        <v>11.998264414410722</v>
      </c>
      <c r="O23">
        <f>2.34*N23/1000</f>
        <v>2.8075938729721087E-2</v>
      </c>
      <c r="P23" s="3" t="s">
        <v>39</v>
      </c>
      <c r="Q23">
        <v>0</v>
      </c>
      <c r="R23">
        <v>1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62</v>
      </c>
      <c r="C24" s="3"/>
      <c r="D24" s="3">
        <f>SUM(D16:D23)</f>
        <v>5533.6138615670307</v>
      </c>
      <c r="E24" s="3">
        <f>SUM(E16:E23)</f>
        <v>7.6028838042686724</v>
      </c>
      <c r="G24" s="3" t="s">
        <v>62</v>
      </c>
      <c r="H24" s="3"/>
      <c r="I24" s="3">
        <f>SUM(I16:I23)</f>
        <v>5123.8415173050289</v>
      </c>
      <c r="J24" s="3">
        <f>SUM(J16:J23)</f>
        <v>7.6872165077583574</v>
      </c>
      <c r="L24" s="3" t="s">
        <v>62</v>
      </c>
      <c r="M24" s="3"/>
      <c r="N24" s="3">
        <f>SUM(N16:N23)</f>
        <v>3203.5227446895328</v>
      </c>
      <c r="O24" s="3">
        <f>SUM(O16:O23)</f>
        <v>4.4283991920878973</v>
      </c>
      <c r="Q24" s="3" t="s">
        <v>62</v>
      </c>
      <c r="R24" s="3"/>
      <c r="S24" s="3">
        <f>SUM(S16:S23)</f>
        <v>4202.5718602354455</v>
      </c>
      <c r="T24" s="3">
        <f>SUM(T16:T23)</f>
        <v>6.5864956612040011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68417</v>
      </c>
      <c r="C28">
        <v>1</v>
      </c>
      <c r="D28">
        <f>IF(B28=0,0,(B28-$J$5)/$I$5)*C28</f>
        <v>2972.5551031396426</v>
      </c>
      <c r="E28">
        <f>1.07*D28/1000</f>
        <v>3.180633960359418</v>
      </c>
      <c r="F28" s="3" t="s">
        <v>32</v>
      </c>
      <c r="G28">
        <v>71037</v>
      </c>
      <c r="H28">
        <v>1</v>
      </c>
      <c r="I28">
        <f>IF(G28=0,0,(G28-$J$5)/$I$5)*H28</f>
        <v>3086.8837636183207</v>
      </c>
      <c r="J28">
        <f>1.07*I28/1000</f>
        <v>3.302965627071603</v>
      </c>
      <c r="K28" s="3" t="s">
        <v>32</v>
      </c>
      <c r="L28">
        <v>67507</v>
      </c>
      <c r="M28">
        <v>1</v>
      </c>
      <c r="N28">
        <f>IF(L28=0,0,(L28-$J$5)/$I$5)*M28</f>
        <v>2932.8455302252924</v>
      </c>
      <c r="O28">
        <f>1.07*N28/1000</f>
        <v>3.138144717341063</v>
      </c>
      <c r="P28" s="3" t="s">
        <v>32</v>
      </c>
      <c r="Q28">
        <v>75576</v>
      </c>
      <c r="R28">
        <v>1</v>
      </c>
      <c r="S28">
        <f>IF(Q28=0,0,(Q28-$J$5)/$I$5)*R28</f>
        <v>3284.9516223636338</v>
      </c>
      <c r="T28">
        <f>1.07*S28/1000</f>
        <v>3.5148982359290883</v>
      </c>
    </row>
    <row r="29" spans="1:20" x14ac:dyDescent="0.25">
      <c r="A29" s="3" t="s">
        <v>33</v>
      </c>
      <c r="B29">
        <v>103825</v>
      </c>
      <c r="C29">
        <v>1</v>
      </c>
      <c r="D29">
        <f>IF(B29=0,0,(B29-$J$6)/$I$6)*C29</f>
        <v>2645.0105594168135</v>
      </c>
      <c r="E29">
        <f>1.51*D29/1000</f>
        <v>3.9939659447193887</v>
      </c>
      <c r="F29" s="3" t="s">
        <v>33</v>
      </c>
      <c r="G29">
        <v>113290</v>
      </c>
      <c r="H29">
        <v>1</v>
      </c>
      <c r="I29">
        <f>IF(G29=0,0,(G29-$J$6)/$I$6)*H29</f>
        <v>2886.4784729783619</v>
      </c>
      <c r="J29">
        <f>1.51*I29/1000</f>
        <v>4.3585824941973259</v>
      </c>
      <c r="K29" s="3" t="s">
        <v>33</v>
      </c>
      <c r="L29">
        <v>85782</v>
      </c>
      <c r="M29">
        <v>1</v>
      </c>
      <c r="N29">
        <f>IF(L29=0,0,(L29-$J$6)/$I$6)*M29</f>
        <v>2184.7035795551105</v>
      </c>
      <c r="O29">
        <f>1.51*N29/1000</f>
        <v>3.2989024051282168</v>
      </c>
      <c r="P29" s="3" t="s">
        <v>33</v>
      </c>
      <c r="Q29">
        <v>91675</v>
      </c>
      <c r="R29">
        <v>1</v>
      </c>
      <c r="S29">
        <f>IF(Q29=0,0,(Q29-$J$6)/$I$6)*R29</f>
        <v>2335.0438241000875</v>
      </c>
      <c r="T29">
        <f>1.51*S29/1000</f>
        <v>3.5259161743911323</v>
      </c>
    </row>
    <row r="30" spans="1:20" x14ac:dyDescent="0.25">
      <c r="A30" s="3" t="s">
        <v>34</v>
      </c>
      <c r="B30">
        <v>638</v>
      </c>
      <c r="C30">
        <v>1</v>
      </c>
      <c r="D30">
        <f>IF(B30=0,0,(B30-$J$7)/$I$7)*C30</f>
        <v>11.454982034228975</v>
      </c>
      <c r="E30">
        <f>1.82*D30/1000</f>
        <v>2.0848067302296734E-2</v>
      </c>
      <c r="F30" s="3" t="s">
        <v>34</v>
      </c>
      <c r="G30">
        <v>604</v>
      </c>
      <c r="H30">
        <v>1</v>
      </c>
      <c r="I30">
        <f>IF(G30=0,0,(G30-$J$7)/$I$7)*H30</f>
        <v>10.726520188004727</v>
      </c>
      <c r="J30">
        <f>1.82*I30/1000</f>
        <v>1.9522266742168604E-2</v>
      </c>
      <c r="K30" s="3" t="s">
        <v>34</v>
      </c>
      <c r="L30">
        <v>799</v>
      </c>
      <c r="M30">
        <v>1</v>
      </c>
      <c r="N30">
        <f>IF(L30=0,0,(L30-$J$7)/$I$7)*M30</f>
        <v>14.904463129584972</v>
      </c>
      <c r="O30">
        <f>1.82*N30/1000</f>
        <v>2.7126122895844648E-2</v>
      </c>
      <c r="P30" s="3" t="s">
        <v>34</v>
      </c>
      <c r="Q30">
        <v>219</v>
      </c>
      <c r="R30">
        <v>1</v>
      </c>
      <c r="S30">
        <f>IF(Q30=0,0,(Q30-$J$7)/$I$7)*R30</f>
        <v>2.4777610469360369</v>
      </c>
      <c r="T30">
        <f>1.82*S30/1000</f>
        <v>4.5095251054235869E-3</v>
      </c>
    </row>
    <row r="31" spans="1:20" x14ac:dyDescent="0.25">
      <c r="A31" s="3" t="s">
        <v>35</v>
      </c>
      <c r="B31">
        <v>55177</v>
      </c>
      <c r="C31">
        <v>1</v>
      </c>
      <c r="D31">
        <f>IF(B31=0,0,(B31-$J$8)/$I$8)*C31</f>
        <v>1095.4262514656705</v>
      </c>
      <c r="E31">
        <f>1.82*D31/1000</f>
        <v>1.9936757776675205</v>
      </c>
      <c r="F31" s="3" t="s">
        <v>35</v>
      </c>
      <c r="G31">
        <v>47911</v>
      </c>
      <c r="H31">
        <v>1</v>
      </c>
      <c r="I31">
        <f>IF(G31=0,0,(G31-$J$8)/$I$8)*H31</f>
        <v>950.7007562526004</v>
      </c>
      <c r="J31">
        <f>1.82*I31/1000</f>
        <v>1.7302753763797327</v>
      </c>
      <c r="K31" s="3" t="s">
        <v>35</v>
      </c>
      <c r="L31">
        <v>21518</v>
      </c>
      <c r="M31">
        <v>1</v>
      </c>
      <c r="N31">
        <f>IF(L31=0,0,(L31-$J$8)/$I$8)*M31</f>
        <v>425.00023393515488</v>
      </c>
      <c r="O31">
        <f>1.82*N31/1000</f>
        <v>0.77350042576198186</v>
      </c>
      <c r="P31" s="3" t="s">
        <v>35</v>
      </c>
      <c r="Q31">
        <v>15885</v>
      </c>
      <c r="R31">
        <v>1</v>
      </c>
      <c r="S31">
        <f>IF(Q31=0,0,(Q31-$J$8)/$I$8)*R31</f>
        <v>312.80112651219537</v>
      </c>
      <c r="T31">
        <f>1.82*S31/1000</f>
        <v>0.5692980502521956</v>
      </c>
    </row>
    <row r="32" spans="1:20" x14ac:dyDescent="0.25">
      <c r="A32" s="3" t="s">
        <v>36</v>
      </c>
      <c r="B32">
        <v>1819</v>
      </c>
      <c r="C32">
        <v>1</v>
      </c>
      <c r="D32">
        <f>IF(B32=0,0,(B32-$J$9)/$I$9)*C32</f>
        <v>33.741888116697794</v>
      </c>
      <c r="E32">
        <f>2.04*D32/1000</f>
        <v>6.8833451758063505E-2</v>
      </c>
      <c r="F32" s="3" t="s">
        <v>36</v>
      </c>
      <c r="G32">
        <v>1820</v>
      </c>
      <c r="H32">
        <v>1</v>
      </c>
      <c r="I32">
        <f>IF(G32=0,0,(G32-$J$9)/$I$9)*H32</f>
        <v>33.760580221376962</v>
      </c>
      <c r="J32">
        <f>2.04*I32/1000</f>
        <v>6.8871583651609003E-2</v>
      </c>
      <c r="K32" s="3" t="s">
        <v>36</v>
      </c>
      <c r="L32">
        <v>919</v>
      </c>
      <c r="M32">
        <v>1</v>
      </c>
      <c r="N32">
        <f>IF(L32=0,0,(L32-$J$9)/$I$9)*M32</f>
        <v>16.918993905445269</v>
      </c>
      <c r="O32">
        <f>2.04*N32/1000</f>
        <v>3.4514747567108352E-2</v>
      </c>
      <c r="P32" s="3" t="s">
        <v>36</v>
      </c>
      <c r="Q32">
        <v>257</v>
      </c>
      <c r="R32">
        <v>1</v>
      </c>
      <c r="S32">
        <f>IF(Q32=0,0,(Q32-$J$9)/$I$9)*R32</f>
        <v>4.5448206078350841</v>
      </c>
      <c r="T32">
        <f>2.04*S32/1000</f>
        <v>9.2714340399835705E-3</v>
      </c>
    </row>
    <row r="33" spans="1:20" x14ac:dyDescent="0.25">
      <c r="A33" s="3" t="s">
        <v>37</v>
      </c>
      <c r="B33">
        <v>1306</v>
      </c>
      <c r="C33">
        <v>1</v>
      </c>
      <c r="D33">
        <f>IF(B33=0,0,(B33-$J$10)/$I$10)*C33</f>
        <v>23.802475136192911</v>
      </c>
      <c r="E33">
        <f>2.04*D33/1000</f>
        <v>4.8557049277833532E-2</v>
      </c>
      <c r="F33" s="3" t="s">
        <v>37</v>
      </c>
      <c r="G33">
        <v>940</v>
      </c>
      <c r="H33">
        <v>1</v>
      </c>
      <c r="I33">
        <f>IF(G33=0,0,(G33-$J$10)/$I$10)*H33</f>
        <v>17.255524414026443</v>
      </c>
      <c r="J33">
        <f>2.04*I33/1000</f>
        <v>3.5201269804613945E-2</v>
      </c>
      <c r="K33" s="3" t="s">
        <v>37</v>
      </c>
      <c r="L33">
        <v>8759</v>
      </c>
      <c r="M33">
        <v>1</v>
      </c>
      <c r="N33">
        <f>IF(L33=0,0,(L33-$J$10)/$I$10)*M33</f>
        <v>157.12057276544613</v>
      </c>
      <c r="O33">
        <f>2.04*N33/1000</f>
        <v>0.3205259684415101</v>
      </c>
      <c r="P33" s="3" t="s">
        <v>37</v>
      </c>
      <c r="Q33">
        <v>1011</v>
      </c>
      <c r="R33">
        <v>1</v>
      </c>
      <c r="S33">
        <f>IF(Q33=0,0,(Q33-$J$10)/$I$10)*R33</f>
        <v>18.525561302752727</v>
      </c>
      <c r="T33">
        <f>2.04*S33/1000</f>
        <v>3.7792145057615564E-2</v>
      </c>
    </row>
    <row r="34" spans="1:20" x14ac:dyDescent="0.25">
      <c r="A34" s="3" t="s">
        <v>38</v>
      </c>
      <c r="B34">
        <v>601</v>
      </c>
      <c r="C34">
        <v>1</v>
      </c>
      <c r="D34">
        <f>IF(B34=0,0,(B34-$J$11)/$I$11)*1</f>
        <v>12.03031935111394</v>
      </c>
      <c r="E34">
        <f>2.21*D34/1000</f>
        <v>2.6587005765961805E-2</v>
      </c>
      <c r="F34" s="3" t="s">
        <v>38</v>
      </c>
      <c r="G34">
        <v>553</v>
      </c>
      <c r="H34">
        <v>1</v>
      </c>
      <c r="I34">
        <f>IF(G34=0,0,(G34-$J$11)/$I$11)*1</f>
        <v>11.19704696539937</v>
      </c>
      <c r="J34">
        <f>2.21*I34/1000</f>
        <v>2.4745473793532608E-2</v>
      </c>
      <c r="K34" s="3" t="s">
        <v>38</v>
      </c>
      <c r="L34">
        <v>482</v>
      </c>
      <c r="M34">
        <v>1</v>
      </c>
      <c r="N34">
        <f>IF(L34=0,0,(L34-$J$11)/$I$11)*1</f>
        <v>9.9644982281965699</v>
      </c>
      <c r="O34">
        <f>2.21*N34/1000</f>
        <v>2.2021541084314419E-2</v>
      </c>
      <c r="P34" s="3" t="s">
        <v>38</v>
      </c>
      <c r="Q34">
        <v>368</v>
      </c>
      <c r="R34">
        <v>1</v>
      </c>
      <c r="S34">
        <f>IF(Q34=0,0,(Q34-$J$11)/$I$11)*1</f>
        <v>7.9854763121244661</v>
      </c>
      <c r="T34">
        <f>2.21*S34/1000</f>
        <v>1.7647902649795072E-2</v>
      </c>
    </row>
    <row r="35" spans="1:20" x14ac:dyDescent="0.25">
      <c r="A35" s="3" t="s">
        <v>39</v>
      </c>
      <c r="B35">
        <v>0</v>
      </c>
      <c r="C35">
        <v>1</v>
      </c>
      <c r="D35">
        <f>IF(B35=0,0,(B35-$J$12)/$I$12)*1</f>
        <v>0</v>
      </c>
      <c r="E35">
        <f>2.34*D35/1000</f>
        <v>0</v>
      </c>
      <c r="F35" s="3" t="s">
        <v>39</v>
      </c>
      <c r="G35">
        <v>0</v>
      </c>
      <c r="H35">
        <v>1</v>
      </c>
      <c r="I35">
        <f>IF(G35=0,0,(G35-$J$12)/$I$12)*1</f>
        <v>0</v>
      </c>
      <c r="J35">
        <f>2.34*I35/1000</f>
        <v>0</v>
      </c>
      <c r="K35" s="3" t="s">
        <v>39</v>
      </c>
      <c r="L35">
        <v>0</v>
      </c>
      <c r="M35">
        <v>1</v>
      </c>
      <c r="N35">
        <f>IF(L35=0,0,(L35-$J$12)/$I$12)*1</f>
        <v>0</v>
      </c>
      <c r="O35">
        <f>2.34*N35/1000</f>
        <v>0</v>
      </c>
      <c r="P35" s="3" t="s">
        <v>39</v>
      </c>
      <c r="Q35">
        <v>0</v>
      </c>
      <c r="R35">
        <v>1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62</v>
      </c>
      <c r="C36" s="3"/>
      <c r="D36" s="3">
        <f>SUM(D28:D35)</f>
        <v>6794.0215786603594</v>
      </c>
      <c r="E36" s="3">
        <f>SUM(E28:E35)</f>
        <v>9.3331012568504832</v>
      </c>
      <c r="G36" s="3" t="s">
        <v>62</v>
      </c>
      <c r="H36" s="3"/>
      <c r="I36" s="3">
        <f>SUM(I28:I35)</f>
        <v>6997.0026646380902</v>
      </c>
      <c r="J36" s="3">
        <f>SUM(J28:J35)</f>
        <v>9.5401640916405839</v>
      </c>
      <c r="L36" s="3" t="s">
        <v>62</v>
      </c>
      <c r="M36" s="3"/>
      <c r="N36" s="3">
        <f>SUM(N28:N35)</f>
        <v>5741.4578717442291</v>
      </c>
      <c r="O36" s="3">
        <f>SUM(O28:O35)</f>
        <v>7.6147359282200391</v>
      </c>
      <c r="Q36" s="3" t="s">
        <v>62</v>
      </c>
      <c r="R36" s="3"/>
      <c r="S36" s="3">
        <f>SUM(S28:S35)</f>
        <v>5966.3301922455657</v>
      </c>
      <c r="T36" s="3">
        <f>SUM(T28:T35)</f>
        <v>7.6793334674252334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3" t="s">
        <v>58</v>
      </c>
      <c r="M38" s="3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3" t="s">
        <v>47</v>
      </c>
      <c r="M39" s="3" t="s">
        <v>68</v>
      </c>
      <c r="N39" s="3" t="s">
        <v>48</v>
      </c>
      <c r="O39" s="3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39707</v>
      </c>
      <c r="C40">
        <v>2</v>
      </c>
      <c r="D40">
        <f>IF(B40=0,0,(B40-$J$5)/$I$5)*C40</f>
        <v>3439.4797922771086</v>
      </c>
      <c r="E40">
        <f>1.07*D40/1000</f>
        <v>3.6802433777365064</v>
      </c>
      <c r="F40" s="3" t="s">
        <v>32</v>
      </c>
      <c r="G40">
        <v>46110</v>
      </c>
      <c r="H40">
        <v>2</v>
      </c>
      <c r="I40">
        <f>IF(G40=0,0,(G40-$J$5)/$I$5)*H40</f>
        <v>3998.2938480366324</v>
      </c>
      <c r="J40">
        <f>1.07*I40/1000</f>
        <v>4.2781744173991969</v>
      </c>
      <c r="K40" s="3" t="s">
        <v>32</v>
      </c>
      <c r="L40">
        <v>63557</v>
      </c>
      <c r="M40">
        <v>1</v>
      </c>
      <c r="N40">
        <f>IF(L40=0,0,(L40-$J$5)/$I$5)*M40</f>
        <v>2760.4798016410259</v>
      </c>
      <c r="O40">
        <f>1.07*N40/1000</f>
        <v>2.9537133877558981</v>
      </c>
      <c r="P40" s="3" t="s">
        <v>32</v>
      </c>
      <c r="Q40">
        <v>38302</v>
      </c>
      <c r="R40">
        <v>1</v>
      </c>
      <c r="S40">
        <f>IF(Q40=0,0,(Q40-$J$5)/$I$5)*R40</f>
        <v>1658.4300610345304</v>
      </c>
      <c r="T40">
        <f>1.07*S40/1000</f>
        <v>1.7745201653069476</v>
      </c>
    </row>
    <row r="41" spans="1:20" x14ac:dyDescent="0.25">
      <c r="A41" s="3" t="s">
        <v>33</v>
      </c>
      <c r="B41">
        <v>54279</v>
      </c>
      <c r="C41">
        <v>2</v>
      </c>
      <c r="D41">
        <f>IF(B41=0,0,(B41-$J$6)/$I$6)*C41</f>
        <v>2762.0191652529652</v>
      </c>
      <c r="E41">
        <f>1.51*D41/1000</f>
        <v>4.1706489395319775</v>
      </c>
      <c r="F41" s="3" t="s">
        <v>33</v>
      </c>
      <c r="G41">
        <v>56057</v>
      </c>
      <c r="H41">
        <v>2</v>
      </c>
      <c r="I41">
        <f>IF(G41=0,0,(G41-$J$6)/$I$6)*H41</f>
        <v>2852.7386476222064</v>
      </c>
      <c r="J41">
        <f>1.51*I41/1000</f>
        <v>4.3076353579095308</v>
      </c>
      <c r="K41" s="3" t="s">
        <v>33</v>
      </c>
      <c r="L41">
        <v>79410</v>
      </c>
      <c r="M41">
        <v>1</v>
      </c>
      <c r="N41">
        <f>IF(L41=0,0,(L41-$J$6)/$I$6)*M41</f>
        <v>2022.1432472556719</v>
      </c>
      <c r="O41">
        <f>1.51*N41/1000</f>
        <v>3.0534363033560643</v>
      </c>
      <c r="P41" s="3" t="s">
        <v>33</v>
      </c>
      <c r="Q41">
        <v>60772</v>
      </c>
      <c r="R41">
        <v>1</v>
      </c>
      <c r="S41">
        <f>IF(Q41=0,0,(Q41-$J$6)/$I$6)*R41</f>
        <v>1546.6568264463594</v>
      </c>
      <c r="T41">
        <f>1.51*S41/1000</f>
        <v>2.3354518079340028</v>
      </c>
    </row>
    <row r="42" spans="1:20" x14ac:dyDescent="0.25">
      <c r="A42" s="3" t="s">
        <v>34</v>
      </c>
      <c r="B42">
        <v>438</v>
      </c>
      <c r="C42">
        <v>2</v>
      </c>
      <c r="D42">
        <f>IF(B42=0,0,(B42-$J$7)/$I$7)*C42</f>
        <v>14.339824701113857</v>
      </c>
      <c r="E42">
        <f>1.82*D42/1000</f>
        <v>2.6098480956027219E-2</v>
      </c>
      <c r="F42" s="3" t="s">
        <v>34</v>
      </c>
      <c r="G42">
        <v>596</v>
      </c>
      <c r="H42">
        <v>2</v>
      </c>
      <c r="I42">
        <f>IF(G42=0,0,(G42-$J$7)/$I$7)*H42</f>
        <v>21.110234801315691</v>
      </c>
      <c r="J42">
        <f>1.82*I42/1000</f>
        <v>3.8420627338394561E-2</v>
      </c>
      <c r="K42" s="3" t="s">
        <v>34</v>
      </c>
      <c r="L42">
        <v>423</v>
      </c>
      <c r="M42">
        <v>1</v>
      </c>
      <c r="N42">
        <f>IF(L42=0,0,(L42-$J$7)/$I$7)*M42</f>
        <v>6.8485321242815242</v>
      </c>
      <c r="O42">
        <f>1.82*N42/1000</f>
        <v>1.2464328466192373E-2</v>
      </c>
      <c r="P42" s="3" t="s">
        <v>34</v>
      </c>
      <c r="Q42">
        <v>0</v>
      </c>
      <c r="R42">
        <v>1</v>
      </c>
      <c r="S42">
        <f>IF(Q42=0,0,(Q42-$J$7)/$I$7)*R42</f>
        <v>0</v>
      </c>
      <c r="T42">
        <f>1.82*S42/1000</f>
        <v>0</v>
      </c>
    </row>
    <row r="43" spans="1:20" x14ac:dyDescent="0.25">
      <c r="A43" s="3" t="s">
        <v>35</v>
      </c>
      <c r="B43">
        <v>16142</v>
      </c>
      <c r="C43">
        <v>2</v>
      </c>
      <c r="D43">
        <f>IF(B43=0,0,(B43-$J$8)/$I$8)*C43</f>
        <v>635.84019749721188</v>
      </c>
      <c r="E43">
        <f>1.82*D43/1000</f>
        <v>1.1572291594449258</v>
      </c>
      <c r="F43" s="3" t="s">
        <v>35</v>
      </c>
      <c r="G43">
        <v>15632</v>
      </c>
      <c r="H43">
        <v>2</v>
      </c>
      <c r="I43">
        <f>IF(G43=0,0,(G43-$J$8)/$I$8)*H43</f>
        <v>615.52365399083533</v>
      </c>
      <c r="J43">
        <f>1.82*I43/1000</f>
        <v>1.1202530502633203</v>
      </c>
      <c r="K43" s="3" t="s">
        <v>35</v>
      </c>
      <c r="L43">
        <v>49131</v>
      </c>
      <c r="M43">
        <v>1</v>
      </c>
      <c r="N43">
        <f>IF(L43=0,0,(L43-$J$8)/$I$8)*M43</f>
        <v>975.00093574061941</v>
      </c>
      <c r="O43">
        <f>1.82*N43/1000</f>
        <v>1.7745017030479273</v>
      </c>
      <c r="P43" s="3" t="s">
        <v>35</v>
      </c>
      <c r="Q43">
        <v>17617</v>
      </c>
      <c r="R43">
        <v>1</v>
      </c>
      <c r="S43">
        <f>IF(Q43=0,0,(Q43-$J$8)/$I$8)*R43</f>
        <v>347.29941411321892</v>
      </c>
      <c r="T43">
        <f>1.82*S43/1000</f>
        <v>0.63208493368605845</v>
      </c>
    </row>
    <row r="44" spans="1:20" x14ac:dyDescent="0.25">
      <c r="A44" s="3" t="s">
        <v>36</v>
      </c>
      <c r="B44">
        <v>1397</v>
      </c>
      <c r="C44">
        <v>2</v>
      </c>
      <c r="D44">
        <f>IF(B44=0,0,(B44-$J$9)/$I$9)*C44</f>
        <v>51.707639884176551</v>
      </c>
      <c r="E44">
        <f>2.04*D44/1000</f>
        <v>0.10548358536372017</v>
      </c>
      <c r="F44" s="3" t="s">
        <v>36</v>
      </c>
      <c r="G44">
        <v>2084</v>
      </c>
      <c r="H44">
        <v>2</v>
      </c>
      <c r="I44">
        <f>IF(G44=0,0,(G44-$J$9)/$I$9)*H44</f>
        <v>77.390591713355406</v>
      </c>
      <c r="J44">
        <f>2.04*I44/1000</f>
        <v>0.15787680709524501</v>
      </c>
      <c r="K44" s="3" t="s">
        <v>36</v>
      </c>
      <c r="L44">
        <v>870</v>
      </c>
      <c r="M44">
        <v>1</v>
      </c>
      <c r="N44">
        <f>IF(L44=0,0,(L44-$J$9)/$I$9)*M44</f>
        <v>16.003080776165966</v>
      </c>
      <c r="O44">
        <f>2.04*N44/1000</f>
        <v>3.2646284783378568E-2</v>
      </c>
      <c r="P44" s="3" t="s">
        <v>36</v>
      </c>
      <c r="Q44">
        <v>0</v>
      </c>
      <c r="R44">
        <v>1</v>
      </c>
      <c r="S44">
        <f>IF(Q44=0,0,(Q44-$J$9)/$I$9)*R44</f>
        <v>0</v>
      </c>
      <c r="T44">
        <f>2.04*S44/1000</f>
        <v>0</v>
      </c>
    </row>
    <row r="45" spans="1:20" x14ac:dyDescent="0.25">
      <c r="A45" s="3" t="s">
        <v>37</v>
      </c>
      <c r="B45">
        <v>544</v>
      </c>
      <c r="C45">
        <v>2</v>
      </c>
      <c r="D45">
        <f>IF(B45=0,0,(B45-$J$10)/$I$10)*C45</f>
        <v>20.343876773528731</v>
      </c>
      <c r="E45">
        <f>2.04*D45/1000</f>
        <v>4.150150861799861E-2</v>
      </c>
      <c r="F45" s="3" t="s">
        <v>37</v>
      </c>
      <c r="G45">
        <v>477</v>
      </c>
      <c r="H45">
        <v>2</v>
      </c>
      <c r="I45">
        <f>IF(G45=0,0,(G45-$J$10)/$I$10)*H45</f>
        <v>17.946905744101663</v>
      </c>
      <c r="J45">
        <f>2.04*I45/1000</f>
        <v>3.6611687717967391E-2</v>
      </c>
      <c r="K45" s="3" t="s">
        <v>37</v>
      </c>
      <c r="L45">
        <v>693</v>
      </c>
      <c r="M45">
        <v>1</v>
      </c>
      <c r="N45">
        <f>IF(L45=0,0,(L45-$J$10)/$I$10)*M45</f>
        <v>12.837227068739239</v>
      </c>
      <c r="O45">
        <f>2.04*N45/1000</f>
        <v>2.6187943220228046E-2</v>
      </c>
      <c r="P45" s="3" t="s">
        <v>37</v>
      </c>
      <c r="Q45">
        <v>0</v>
      </c>
      <c r="R45">
        <v>1</v>
      </c>
      <c r="S45">
        <f>IF(Q45=0,0,(Q45-$J$10)/$I$10)*R45</f>
        <v>0</v>
      </c>
      <c r="T45">
        <f>2.04*S45/1000</f>
        <v>0</v>
      </c>
    </row>
    <row r="46" spans="1:20" x14ac:dyDescent="0.25">
      <c r="A46" s="3" t="s">
        <v>38</v>
      </c>
      <c r="B46">
        <v>237</v>
      </c>
      <c r="C46">
        <v>2</v>
      </c>
      <c r="D46">
        <f>IF(B46=0,0,(B46-$J$11)/$I$11)*1</f>
        <v>5.7113370927784528</v>
      </c>
      <c r="E46">
        <f>2.21*D46/1000</f>
        <v>1.2622054975040381E-2</v>
      </c>
      <c r="F46" s="3" t="s">
        <v>38</v>
      </c>
      <c r="G46">
        <v>229</v>
      </c>
      <c r="H46">
        <v>2</v>
      </c>
      <c r="I46">
        <f>IF(G46=0,0,(G46-$J$11)/$I$11)*1</f>
        <v>5.5724583618260244</v>
      </c>
      <c r="J46">
        <f>2.21*I46/1000</f>
        <v>1.2315132979635515E-2</v>
      </c>
      <c r="K46" s="3" t="s">
        <v>38</v>
      </c>
      <c r="L46">
        <v>899</v>
      </c>
      <c r="M46">
        <v>1</v>
      </c>
      <c r="N46">
        <f>IF(L46=0,0,(L46-$J$11)/$I$11)*1</f>
        <v>17.203552079091892</v>
      </c>
      <c r="O46">
        <f>2.21*N46/1000</f>
        <v>3.8019850094793077E-2</v>
      </c>
      <c r="P46" s="3" t="s">
        <v>38</v>
      </c>
      <c r="Q46">
        <v>228</v>
      </c>
      <c r="R46">
        <v>1</v>
      </c>
      <c r="S46">
        <f>IF(Q46=0,0,(Q46-$J$11)/$I$11)*1</f>
        <v>5.5550985204569709</v>
      </c>
      <c r="T46">
        <f>2.21*S46/1000</f>
        <v>1.2276767730209906E-2</v>
      </c>
    </row>
    <row r="47" spans="1:20" x14ac:dyDescent="0.25">
      <c r="A47" s="3" t="s">
        <v>39</v>
      </c>
      <c r="B47">
        <v>0</v>
      </c>
      <c r="C47">
        <v>2</v>
      </c>
      <c r="D47">
        <f>IF(B47=0,0,(B47-$J$12)/$I$12)*1</f>
        <v>0</v>
      </c>
      <c r="E47">
        <f>2.34*D47/1000</f>
        <v>0</v>
      </c>
      <c r="F47" s="3" t="s">
        <v>39</v>
      </c>
      <c r="G47">
        <v>0</v>
      </c>
      <c r="H47">
        <v>2</v>
      </c>
      <c r="I47">
        <f>IF(G47=0,0,(G47-$J$12)/$I$12)*1</f>
        <v>0</v>
      </c>
      <c r="J47">
        <f>2.34*I47/1000</f>
        <v>0</v>
      </c>
      <c r="K47" s="3" t="s">
        <v>39</v>
      </c>
      <c r="L47">
        <v>0</v>
      </c>
      <c r="M47">
        <v>1</v>
      </c>
      <c r="N47">
        <f>IF(L47=0,0,(L47-$J$12)/$I$12)*1</f>
        <v>0</v>
      </c>
      <c r="O47">
        <f>2.34*N47/1000</f>
        <v>0</v>
      </c>
      <c r="P47" s="3" t="s">
        <v>39</v>
      </c>
      <c r="Q47">
        <v>0</v>
      </c>
      <c r="R47">
        <v>1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6929.4418334788825</v>
      </c>
      <c r="E48" s="3">
        <f>SUM(E40:E47)</f>
        <v>9.193827106626193</v>
      </c>
      <c r="F48" s="3"/>
      <c r="G48" s="3" t="s">
        <v>62</v>
      </c>
      <c r="H48" s="3"/>
      <c r="I48" s="3">
        <f>SUM(I40:I47)</f>
        <v>7588.5763402702732</v>
      </c>
      <c r="J48" s="3">
        <f>SUM(J40:J47)</f>
        <v>9.9512870807032918</v>
      </c>
      <c r="K48" s="3"/>
      <c r="L48" s="3" t="s">
        <v>62</v>
      </c>
      <c r="M48" s="3"/>
      <c r="N48" s="3">
        <f>SUM(N40:N47)</f>
        <v>5810.5163766855967</v>
      </c>
      <c r="O48" s="3">
        <f>SUM(O40:O47)</f>
        <v>7.8909698007244824</v>
      </c>
      <c r="P48" s="3"/>
      <c r="Q48" s="3" t="s">
        <v>62</v>
      </c>
      <c r="R48" s="3"/>
      <c r="S48" s="3">
        <f>SUM(S40:S47)</f>
        <v>3557.9414001145656</v>
      </c>
      <c r="T48" s="3">
        <f>SUM(T40:T47)</f>
        <v>4.7543336746572189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40656</v>
      </c>
      <c r="C52">
        <v>1</v>
      </c>
      <c r="D52">
        <f>IF(B52=0,0,(B52-$J$5)/$I$5)*C52</f>
        <v>1761.1513078920907</v>
      </c>
      <c r="E52">
        <f>1.07*D52/1000</f>
        <v>1.884431899444537</v>
      </c>
      <c r="F52" s="3" t="s">
        <v>32</v>
      </c>
      <c r="G52">
        <v>32941</v>
      </c>
      <c r="H52">
        <v>1</v>
      </c>
      <c r="I52">
        <f>IF(G52=0,0,(G52-$J$5)/$I$5)*H52</f>
        <v>1424.4926759863649</v>
      </c>
      <c r="J52">
        <f>1.07*I52/1000</f>
        <v>1.5242071633054106</v>
      </c>
    </row>
    <row r="53" spans="1:13" x14ac:dyDescent="0.25">
      <c r="A53" s="3" t="s">
        <v>33</v>
      </c>
      <c r="B53">
        <v>7696</v>
      </c>
      <c r="C53">
        <v>1</v>
      </c>
      <c r="D53">
        <f>IF(B53=0,0,(B53-$J$6)/$I$6)*C53</f>
        <v>192.59967058870009</v>
      </c>
      <c r="E53">
        <f>1.51*D53/1000</f>
        <v>0.29082550258893713</v>
      </c>
      <c r="F53" s="3" t="s">
        <v>33</v>
      </c>
      <c r="G53">
        <v>11907</v>
      </c>
      <c r="H53">
        <v>1</v>
      </c>
      <c r="I53">
        <f>IF(G53=0,0,(G53-$J$6)/$I$6)*H53</f>
        <v>300.02929383304036</v>
      </c>
      <c r="J53">
        <f>1.51*I53/1000</f>
        <v>0.45304423368789093</v>
      </c>
    </row>
    <row r="54" spans="1:13" x14ac:dyDescent="0.25">
      <c r="A54" s="3" t="s">
        <v>34</v>
      </c>
      <c r="B54">
        <v>0</v>
      </c>
      <c r="C54">
        <v>1</v>
      </c>
      <c r="D54">
        <f>IF(B54=0,0,(B54-$J$7)/$I$7)*C54</f>
        <v>0</v>
      </c>
      <c r="E54">
        <f>1.82*D54/1000</f>
        <v>0</v>
      </c>
      <c r="F54" s="3" t="s">
        <v>34</v>
      </c>
      <c r="G54">
        <v>0</v>
      </c>
      <c r="H54">
        <v>1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35</v>
      </c>
      <c r="B55">
        <v>21364</v>
      </c>
      <c r="C55">
        <v>1</v>
      </c>
      <c r="D55">
        <f>IF(B55=0,0,(B55-$J$8)/$I$8)*C55</f>
        <v>421.93283422929017</v>
      </c>
      <c r="E55">
        <f>1.82*D55/1000</f>
        <v>0.76791775829730813</v>
      </c>
      <c r="F55" s="3" t="s">
        <v>35</v>
      </c>
      <c r="G55">
        <v>66515</v>
      </c>
      <c r="H55">
        <v>1</v>
      </c>
      <c r="I55">
        <f>IF(G55=0,0,(G55-$J$8)/$I$8)*H55</f>
        <v>1321.2585752649809</v>
      </c>
      <c r="J55">
        <f>1.82*I55/1000</f>
        <v>2.4046906069822653</v>
      </c>
    </row>
    <row r="56" spans="1:13" x14ac:dyDescent="0.25">
      <c r="A56" s="3" t="s">
        <v>36</v>
      </c>
      <c r="B56">
        <v>0</v>
      </c>
      <c r="C56">
        <v>1</v>
      </c>
      <c r="D56">
        <f>IF(B56=0,0,(B56-$J$9)/$I$9)*C56</f>
        <v>0</v>
      </c>
      <c r="E56">
        <f>2.04*D56/1000</f>
        <v>0</v>
      </c>
      <c r="F56" s="3" t="s">
        <v>36</v>
      </c>
      <c r="G56">
        <v>0</v>
      </c>
      <c r="H56">
        <v>1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37</v>
      </c>
      <c r="B57">
        <v>0</v>
      </c>
      <c r="C57">
        <v>1</v>
      </c>
      <c r="D57">
        <f>IF(B57=0,0,(B57-$J$10)/$I$10)*C57</f>
        <v>0</v>
      </c>
      <c r="E57">
        <f>2.04*D57/1000</f>
        <v>0</v>
      </c>
      <c r="F57" s="3" t="s">
        <v>37</v>
      </c>
      <c r="G57">
        <v>218</v>
      </c>
      <c r="H57">
        <v>1</v>
      </c>
      <c r="I57">
        <f>IF(G57=0,0,(G57-$J$10)/$I$10)*H57</f>
        <v>4.3405014047253809</v>
      </c>
      <c r="J57">
        <f>2.04*I57/1000</f>
        <v>8.8546228656397781E-3</v>
      </c>
    </row>
    <row r="58" spans="1:13" x14ac:dyDescent="0.25">
      <c r="A58" s="3" t="s">
        <v>38</v>
      </c>
      <c r="B58">
        <v>241</v>
      </c>
      <c r="C58">
        <v>1</v>
      </c>
      <c r="D58">
        <f>IF(B58=0,0,(B58-$J$11)/$I$11)*1</f>
        <v>5.7807764582546666</v>
      </c>
      <c r="E58">
        <f>2.21*D58/1000</f>
        <v>1.2775515972742813E-2</v>
      </c>
      <c r="F58" s="3" t="s">
        <v>38</v>
      </c>
      <c r="G58">
        <v>415</v>
      </c>
      <c r="H58">
        <v>1</v>
      </c>
      <c r="I58">
        <f>IF(G58=0,0,(G58-$J$11)/$I$11)*1</f>
        <v>8.8013888564699823</v>
      </c>
      <c r="J58">
        <f>2.21*I58/1000</f>
        <v>1.9451069372798661E-2</v>
      </c>
    </row>
    <row r="59" spans="1:13" x14ac:dyDescent="0.25">
      <c r="A59" s="3" t="s">
        <v>39</v>
      </c>
      <c r="B59">
        <v>0</v>
      </c>
      <c r="C59">
        <v>1</v>
      </c>
      <c r="D59">
        <f>IF(B59=0,0,(B59-$J$12)/$I$12)*1</f>
        <v>0</v>
      </c>
      <c r="E59">
        <f>2.34*D59/1000</f>
        <v>0</v>
      </c>
      <c r="F59" s="3" t="s">
        <v>39</v>
      </c>
      <c r="G59">
        <v>0</v>
      </c>
      <c r="H59">
        <v>1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62</v>
      </c>
      <c r="C60" s="3"/>
      <c r="D60" s="3">
        <f>SUM(D52:D59)</f>
        <v>2381.4645891683358</v>
      </c>
      <c r="E60" s="3">
        <f>SUM(E52:E59)</f>
        <v>2.9559506763035253</v>
      </c>
      <c r="G60" s="3" t="s">
        <v>62</v>
      </c>
      <c r="H60" s="3"/>
      <c r="I60" s="3">
        <f>SUM(I52:I59)</f>
        <v>3058.9224353455816</v>
      </c>
      <c r="J60" s="3">
        <f>SUM(J52:J59)</f>
        <v>4.4102476962140047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T60"/>
  <sheetViews>
    <sheetView workbookViewId="0">
      <selection activeCell="N64" sqref="N64"/>
    </sheetView>
  </sheetViews>
  <sheetFormatPr defaultRowHeight="15" x14ac:dyDescent="0.25"/>
  <cols>
    <col min="1" max="1" width="10.855468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6.6849999999999996</v>
      </c>
      <c r="C5" s="13">
        <v>1198</v>
      </c>
      <c r="D5" s="13">
        <v>5916</v>
      </c>
      <c r="E5" s="13">
        <v>11898</v>
      </c>
      <c r="F5" s="14">
        <v>53</v>
      </c>
      <c r="G5" s="14">
        <v>263</v>
      </c>
      <c r="H5" s="14">
        <v>525</v>
      </c>
      <c r="I5">
        <f>LINEST(C5:E5, F5:H5)</f>
        <v>22.676092606280253</v>
      </c>
      <c r="J5">
        <f>INTERCEPT(C5:E5, F5:H5)</f>
        <v>-19.531293960562834</v>
      </c>
      <c r="K5">
        <f>RSQ(C5:E5,F5:H5)</f>
        <v>0.99997905486666872</v>
      </c>
    </row>
    <row r="6" spans="1:20" ht="15.75" x14ac:dyDescent="0.25">
      <c r="A6" s="3" t="s">
        <v>33</v>
      </c>
      <c r="B6" s="13">
        <v>7.67</v>
      </c>
      <c r="C6" s="13">
        <v>1965</v>
      </c>
      <c r="D6" s="13">
        <v>9085</v>
      </c>
      <c r="E6" s="13">
        <v>18373</v>
      </c>
      <c r="F6" s="14">
        <v>49</v>
      </c>
      <c r="G6" s="14">
        <v>247</v>
      </c>
      <c r="H6" s="14">
        <v>495</v>
      </c>
      <c r="I6">
        <f t="shared" ref="I6:I12" si="0">LINEST(C6:E6, F6:H6)</f>
        <v>36.816650201585986</v>
      </c>
      <c r="J6">
        <f>INTERCEPT(C6:E6, F6:H6)</f>
        <v>100.34323018182658</v>
      </c>
      <c r="K6">
        <f t="shared" ref="K6:K12" si="1">RSQ(C6:E6,F6:H6)</f>
        <v>0.99986768676048654</v>
      </c>
    </row>
    <row r="7" spans="1:20" ht="15.75" x14ac:dyDescent="0.25">
      <c r="A7" s="3" t="s">
        <v>34</v>
      </c>
      <c r="B7" s="13">
        <v>8.0269999999999992</v>
      </c>
      <c r="C7" s="13">
        <v>2080</v>
      </c>
      <c r="D7" s="13">
        <v>10211</v>
      </c>
      <c r="E7" s="13">
        <v>20494</v>
      </c>
      <c r="F7" s="14">
        <v>47</v>
      </c>
      <c r="G7" s="14">
        <v>235</v>
      </c>
      <c r="H7" s="14">
        <v>469</v>
      </c>
      <c r="I7">
        <f t="shared" si="0"/>
        <v>43.647488291620682</v>
      </c>
      <c r="J7">
        <f t="shared" ref="J7:J12" si="2">INTERCEPT(C7:E7, F7:H7)</f>
        <v>1.9120976642880123</v>
      </c>
      <c r="K7">
        <f t="shared" si="1"/>
        <v>0.9999795661327765</v>
      </c>
    </row>
    <row r="8" spans="1:20" ht="15.75" x14ac:dyDescent="0.25">
      <c r="A8" s="3" t="s">
        <v>35</v>
      </c>
      <c r="B8" s="13">
        <v>8.7609999999999992</v>
      </c>
      <c r="C8" s="13">
        <v>2139</v>
      </c>
      <c r="D8" s="13">
        <v>10479</v>
      </c>
      <c r="E8" s="13">
        <v>21584</v>
      </c>
      <c r="F8" s="14">
        <v>45</v>
      </c>
      <c r="G8" s="14">
        <v>227</v>
      </c>
      <c r="H8" s="14">
        <v>453</v>
      </c>
      <c r="I8">
        <f t="shared" si="0"/>
        <v>47.717941148310096</v>
      </c>
      <c r="J8">
        <f t="shared" si="2"/>
        <v>-131.16911084160711</v>
      </c>
      <c r="K8">
        <f>RSQ(C8:E8,F8:H8)</f>
        <v>0.99961077084109418</v>
      </c>
    </row>
    <row r="9" spans="1:20" ht="15.75" x14ac:dyDescent="0.25">
      <c r="A9" s="3" t="s">
        <v>36</v>
      </c>
      <c r="B9" s="13">
        <v>9.2360000000000007</v>
      </c>
      <c r="C9" s="13">
        <v>2309</v>
      </c>
      <c r="D9" s="13">
        <v>11085</v>
      </c>
      <c r="E9" s="13">
        <v>22838</v>
      </c>
      <c r="F9" s="14">
        <v>46</v>
      </c>
      <c r="G9" s="14">
        <v>228</v>
      </c>
      <c r="H9" s="14">
        <v>455</v>
      </c>
      <c r="I9">
        <f t="shared" si="0"/>
        <v>50.257305484769816</v>
      </c>
      <c r="J9">
        <f t="shared" si="2"/>
        <v>-135.19189946573351</v>
      </c>
      <c r="K9">
        <f t="shared" si="1"/>
        <v>0.99959637126701273</v>
      </c>
    </row>
    <row r="10" spans="1:20" ht="15.75" x14ac:dyDescent="0.25">
      <c r="A10" s="3" t="s">
        <v>37</v>
      </c>
      <c r="B10" s="13">
        <v>10.023</v>
      </c>
      <c r="C10" s="13">
        <v>2350</v>
      </c>
      <c r="D10" s="13">
        <v>11087</v>
      </c>
      <c r="E10" s="13">
        <v>22993</v>
      </c>
      <c r="F10" s="14">
        <v>44</v>
      </c>
      <c r="G10" s="14">
        <v>221</v>
      </c>
      <c r="H10" s="14">
        <v>443</v>
      </c>
      <c r="I10">
        <f t="shared" si="0"/>
        <v>51.81573219244914</v>
      </c>
      <c r="J10">
        <f t="shared" si="2"/>
        <v>-85.179464084665597</v>
      </c>
      <c r="K10">
        <f t="shared" si="1"/>
        <v>0.99945358043666699</v>
      </c>
    </row>
    <row r="11" spans="1:20" ht="15.75" x14ac:dyDescent="0.25">
      <c r="A11" s="3" t="s">
        <v>38</v>
      </c>
      <c r="B11" s="13">
        <v>11.21</v>
      </c>
      <c r="C11" s="13">
        <v>2404</v>
      </c>
      <c r="D11" s="13">
        <v>10685</v>
      </c>
      <c r="E11" s="13">
        <v>23123</v>
      </c>
      <c r="F11" s="14">
        <v>44</v>
      </c>
      <c r="G11" s="14">
        <v>222</v>
      </c>
      <c r="H11" s="14">
        <v>444</v>
      </c>
      <c r="I11">
        <f t="shared" si="0"/>
        <v>51.968950234055974</v>
      </c>
      <c r="J11">
        <f t="shared" si="2"/>
        <v>-228.65155539324951</v>
      </c>
      <c r="K11">
        <f t="shared" si="1"/>
        <v>0.99730875156246668</v>
      </c>
    </row>
    <row r="12" spans="1:20" ht="15.75" x14ac:dyDescent="0.25">
      <c r="A12" s="3" t="s">
        <v>39</v>
      </c>
      <c r="B12" s="13">
        <v>12.34</v>
      </c>
      <c r="C12" s="13">
        <v>2550</v>
      </c>
      <c r="D12" s="13">
        <v>10613</v>
      </c>
      <c r="E12" s="13">
        <v>23495</v>
      </c>
      <c r="F12" s="14">
        <v>47</v>
      </c>
      <c r="G12" s="14">
        <v>234</v>
      </c>
      <c r="H12" s="14">
        <v>467</v>
      </c>
      <c r="I12">
        <f t="shared" si="0"/>
        <v>50.087657815687834</v>
      </c>
      <c r="J12">
        <f t="shared" si="2"/>
        <v>-269.18934871150304</v>
      </c>
      <c r="K12">
        <f t="shared" si="1"/>
        <v>0.99525845985259165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25579</v>
      </c>
      <c r="C16">
        <v>2</v>
      </c>
      <c r="D16">
        <f>IF(B16=0,0,(B16-$J$5)/$I$5)*C16</f>
        <v>2257.7550496394542</v>
      </c>
      <c r="E16">
        <f>1.07*D16/1000</f>
        <v>2.4157979031142163</v>
      </c>
      <c r="F16" s="3" t="s">
        <v>32</v>
      </c>
      <c r="G16">
        <v>17023</v>
      </c>
      <c r="H16">
        <v>2</v>
      </c>
      <c r="I16">
        <f>IF(G16=0,0,(G16-$J$5)/$I$5)*H16</f>
        <v>1503.1276851674661</v>
      </c>
      <c r="J16">
        <f>1.07*I16/1000</f>
        <v>1.6083466231291887</v>
      </c>
      <c r="K16" s="3" t="s">
        <v>32</v>
      </c>
      <c r="L16">
        <v>20715</v>
      </c>
      <c r="M16">
        <v>2</v>
      </c>
      <c r="N16">
        <f>IF(L16=0,0,(L16-$J$5)/$I$5)*M16</f>
        <v>1828.756978018165</v>
      </c>
      <c r="O16">
        <f>1.07*N16/1000</f>
        <v>1.9567699664794365</v>
      </c>
      <c r="P16" s="3" t="s">
        <v>32</v>
      </c>
      <c r="Q16">
        <v>22229</v>
      </c>
      <c r="R16">
        <v>2</v>
      </c>
      <c r="S16">
        <f>IF(Q16=0,0,(Q16-$J$5)/$I$5)*R16</f>
        <v>1962.2896836996269</v>
      </c>
      <c r="T16">
        <f>1.07*S16/1000</f>
        <v>2.0996499615586006</v>
      </c>
    </row>
    <row r="17" spans="1:20" x14ac:dyDescent="0.25">
      <c r="A17" s="3" t="s">
        <v>33</v>
      </c>
      <c r="B17">
        <v>43058</v>
      </c>
      <c r="C17">
        <v>2</v>
      </c>
      <c r="D17">
        <f>IF(B17=0,0,(B17-$J$6)/$I$6)*C17</f>
        <v>2333.5994195347866</v>
      </c>
      <c r="E17">
        <f>1.51*D17/1000</f>
        <v>3.5237351234975276</v>
      </c>
      <c r="F17" s="3" t="s">
        <v>33</v>
      </c>
      <c r="G17">
        <v>22911</v>
      </c>
      <c r="H17">
        <v>2</v>
      </c>
      <c r="I17">
        <f>IF(G17=0,0,(G17-$J$6)/$I$6)*H17</f>
        <v>1239.1489527113761</v>
      </c>
      <c r="J17">
        <f>1.51*I17/1000</f>
        <v>1.8711149185941778</v>
      </c>
      <c r="K17" s="3" t="s">
        <v>33</v>
      </c>
      <c r="L17">
        <v>13440</v>
      </c>
      <c r="M17">
        <v>2</v>
      </c>
      <c r="N17">
        <f>IF(L17=0,0,(L17-$J$6)/$I$6)*M17</f>
        <v>724.65347590170109</v>
      </c>
      <c r="O17">
        <f>1.51*N17/1000</f>
        <v>1.0942267486115687</v>
      </c>
      <c r="P17" s="3" t="s">
        <v>33</v>
      </c>
      <c r="Q17">
        <v>8134</v>
      </c>
      <c r="R17">
        <v>2</v>
      </c>
      <c r="S17">
        <f>IF(Q17=0,0,(Q17-$J$6)/$I$6)*R17</f>
        <v>436.4143248139452</v>
      </c>
      <c r="T17">
        <f>1.51*S17/1000</f>
        <v>0.65898563046905723</v>
      </c>
    </row>
    <row r="18" spans="1:20" x14ac:dyDescent="0.25">
      <c r="A18" s="3" t="s">
        <v>34</v>
      </c>
      <c r="B18">
        <v>190</v>
      </c>
      <c r="C18">
        <v>2</v>
      </c>
      <c r="D18">
        <f>IF(B18=0,0,(B18-$J$7)/$I$7)*C18</f>
        <v>8.618498323616965</v>
      </c>
      <c r="E18">
        <f>1.82*D18/1000</f>
        <v>1.5685666948982876E-2</v>
      </c>
      <c r="F18" s="3" t="s">
        <v>34</v>
      </c>
      <c r="G18">
        <v>0</v>
      </c>
      <c r="H18">
        <v>2</v>
      </c>
      <c r="I18">
        <f>IF(G18=0,0,(G18-$J$7)/$I$7)*H18</f>
        <v>0</v>
      </c>
      <c r="J18">
        <f>1.82*I18/1000</f>
        <v>0</v>
      </c>
      <c r="K18" s="3" t="s">
        <v>34</v>
      </c>
      <c r="L18">
        <v>0</v>
      </c>
      <c r="M18">
        <v>2</v>
      </c>
      <c r="N18">
        <f>IF(L18=0,0,(L18-$J$7)/$I$7)*M18</f>
        <v>0</v>
      </c>
      <c r="O18">
        <f>1.82*N18/1000</f>
        <v>0</v>
      </c>
      <c r="P18" s="3" t="s">
        <v>34</v>
      </c>
      <c r="Q18">
        <v>0</v>
      </c>
      <c r="R18">
        <v>2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35</v>
      </c>
      <c r="B19">
        <v>15684</v>
      </c>
      <c r="C19">
        <v>2</v>
      </c>
      <c r="D19">
        <f>IF(B19=0,0,(B19-$J$8)/$I$8)*C19</f>
        <v>662.86049776067057</v>
      </c>
      <c r="E19">
        <f>1.82*D19/1000</f>
        <v>1.2064061059244204</v>
      </c>
      <c r="F19" s="3" t="s">
        <v>35</v>
      </c>
      <c r="G19">
        <v>38441</v>
      </c>
      <c r="H19">
        <v>2</v>
      </c>
      <c r="I19">
        <f>IF(G19=0,0,(G19-$J$8)/$I$8)*H19</f>
        <v>1616.6736528282765</v>
      </c>
      <c r="J19">
        <f>1.82*I19/1000</f>
        <v>2.9423460481474635</v>
      </c>
      <c r="K19" s="3" t="s">
        <v>35</v>
      </c>
      <c r="L19">
        <v>59268</v>
      </c>
      <c r="M19">
        <v>2</v>
      </c>
      <c r="N19">
        <f>IF(L19=0,0,(L19-$J$8)/$I$8)*M19</f>
        <v>2489.594801511892</v>
      </c>
      <c r="O19">
        <f>1.82*N19/1000</f>
        <v>4.5310625387516437</v>
      </c>
      <c r="P19" s="3" t="s">
        <v>35</v>
      </c>
      <c r="Q19">
        <v>40670</v>
      </c>
      <c r="R19">
        <v>2</v>
      </c>
      <c r="S19">
        <f>IF(Q19=0,0,(Q19-$J$8)/$I$8)*R19</f>
        <v>1710.0976332582848</v>
      </c>
      <c r="T19">
        <f>1.82*S19/1000</f>
        <v>3.1123776925300786</v>
      </c>
    </row>
    <row r="20" spans="1:20" x14ac:dyDescent="0.25">
      <c r="A20" s="3" t="s">
        <v>36</v>
      </c>
      <c r="B20">
        <v>470</v>
      </c>
      <c r="C20">
        <v>2</v>
      </c>
      <c r="D20">
        <f>IF(B20=0,0,(B20-$J$9)/$I$9)*C20</f>
        <v>24.083738418850704</v>
      </c>
      <c r="E20">
        <f>2.04*D20/1000</f>
        <v>4.9130826374455441E-2</v>
      </c>
      <c r="F20" s="3" t="s">
        <v>36</v>
      </c>
      <c r="G20">
        <v>265</v>
      </c>
      <c r="H20">
        <v>2</v>
      </c>
      <c r="I20">
        <f>IF(G20=0,0,(G20-$J$9)/$I$9)*H20</f>
        <v>15.925720474091447</v>
      </c>
      <c r="J20">
        <f>2.04*I20/1000</f>
        <v>3.2488469767146554E-2</v>
      </c>
      <c r="K20" s="3" t="s">
        <v>36</v>
      </c>
      <c r="L20">
        <v>0</v>
      </c>
      <c r="M20">
        <v>2</v>
      </c>
      <c r="N20">
        <f>IF(L20=0,0,(L20-$J$9)/$I$9)*M20</f>
        <v>0</v>
      </c>
      <c r="O20">
        <f>2.04*N20/1000</f>
        <v>0</v>
      </c>
      <c r="P20" s="3" t="s">
        <v>36</v>
      </c>
      <c r="Q20">
        <v>392</v>
      </c>
      <c r="R20">
        <v>2</v>
      </c>
      <c r="S20">
        <f>IF(Q20=0,0,(Q20-$J$9)/$I$9)*R20</f>
        <v>20.979712078893524</v>
      </c>
      <c r="T20">
        <f>2.04*S20/1000</f>
        <v>4.2798612640942792E-2</v>
      </c>
    </row>
    <row r="21" spans="1:20" x14ac:dyDescent="0.25">
      <c r="A21" s="3" t="s">
        <v>37</v>
      </c>
      <c r="B21">
        <v>825</v>
      </c>
      <c r="C21">
        <v>2</v>
      </c>
      <c r="D21">
        <f>IF(B21=0,0,(B21-$J$10)/$I$10)*C21</f>
        <v>35.131394484754644</v>
      </c>
      <c r="E21">
        <f>2.04*D21/1000</f>
        <v>7.166804474889947E-2</v>
      </c>
      <c r="F21" s="3" t="s">
        <v>37</v>
      </c>
      <c r="G21">
        <v>495</v>
      </c>
      <c r="H21">
        <v>2</v>
      </c>
      <c r="I21">
        <f>IF(G21=0,0,(G21-$J$10)/$I$10)*H21</f>
        <v>22.393950236187624</v>
      </c>
      <c r="J21">
        <f>2.04*I21/1000</f>
        <v>4.568365848182275E-2</v>
      </c>
      <c r="K21" s="3" t="s">
        <v>37</v>
      </c>
      <c r="L21">
        <v>216</v>
      </c>
      <c r="M21">
        <v>2</v>
      </c>
      <c r="N21">
        <f>IF(L21=0,0,(L21-$J$10)/$I$10)*M21</f>
        <v>11.625020098762786</v>
      </c>
      <c r="O21">
        <f>2.04*N21/1000</f>
        <v>2.3715041001476086E-2</v>
      </c>
      <c r="P21" s="3" t="s">
        <v>37</v>
      </c>
      <c r="Q21">
        <v>13026</v>
      </c>
      <c r="R21">
        <v>2</v>
      </c>
      <c r="S21">
        <f>IF(Q21=0,0,(Q21-$J$10)/$I$10)*R21</f>
        <v>506.06944683859143</v>
      </c>
      <c r="T21">
        <f>2.04*S21/1000</f>
        <v>1.0323816715507266</v>
      </c>
    </row>
    <row r="22" spans="1:20" x14ac:dyDescent="0.25">
      <c r="A22" s="3" t="s">
        <v>38</v>
      </c>
      <c r="B22">
        <v>800</v>
      </c>
      <c r="C22">
        <v>2</v>
      </c>
      <c r="D22">
        <f>IF(B22=0,0,(B22-$J$11)/$I$11)*1</f>
        <v>19.793579642468128</v>
      </c>
      <c r="E22">
        <f>2.21*D22/1000</f>
        <v>4.3743811009854562E-2</v>
      </c>
      <c r="F22" s="3" t="s">
        <v>38</v>
      </c>
      <c r="G22">
        <v>636</v>
      </c>
      <c r="H22">
        <v>2</v>
      </c>
      <c r="I22">
        <f>IF(G22=0,0,(G22-$J$11)/$I$11)*1</f>
        <v>16.637849167609918</v>
      </c>
      <c r="J22">
        <f>2.21*I22/1000</f>
        <v>3.6769646660417918E-2</v>
      </c>
      <c r="K22" s="3" t="s">
        <v>38</v>
      </c>
      <c r="L22">
        <v>493</v>
      </c>
      <c r="M22">
        <v>2</v>
      </c>
      <c r="N22">
        <f>IF(L22=0,0,(L22-$J$11)/$I$11)*1</f>
        <v>13.886206131605507</v>
      </c>
      <c r="O22">
        <f>2.21*N22/1000</f>
        <v>3.0688515550848169E-2</v>
      </c>
      <c r="P22" s="3" t="s">
        <v>38</v>
      </c>
      <c r="Q22">
        <v>2716</v>
      </c>
      <c r="R22">
        <v>2</v>
      </c>
      <c r="S22">
        <f>IF(Q22=0,0,(Q22-$J$11)/$I$11)*1</f>
        <v>56.661747873128647</v>
      </c>
      <c r="T22">
        <f>2.21*S22/1000</f>
        <v>0.1252224627996143</v>
      </c>
    </row>
    <row r="23" spans="1:20" x14ac:dyDescent="0.25">
      <c r="A23" s="3" t="s">
        <v>39</v>
      </c>
      <c r="B23">
        <v>1095</v>
      </c>
      <c r="C23">
        <v>2</v>
      </c>
      <c r="D23">
        <f>IF(B23=0,0,(B23-$J$12)/$I$12)*1</f>
        <v>27.236037942349714</v>
      </c>
      <c r="E23">
        <f>2.34*D23/1000</f>
        <v>6.3732328785098324E-2</v>
      </c>
      <c r="F23" s="3" t="s">
        <v>39</v>
      </c>
      <c r="G23">
        <v>558</v>
      </c>
      <c r="H23">
        <v>2</v>
      </c>
      <c r="I23">
        <f>IF(G23=0,0,(G23-$J$12)/$I$12)*1</f>
        <v>16.514833888927047</v>
      </c>
      <c r="J23">
        <f>2.34*I23/1000</f>
        <v>3.8644711300089285E-2</v>
      </c>
      <c r="K23" s="3" t="s">
        <v>39</v>
      </c>
      <c r="L23">
        <v>378</v>
      </c>
      <c r="M23">
        <v>2</v>
      </c>
      <c r="N23">
        <f>IF(L23=0,0,(L23-$J$12)/$I$12)*1</f>
        <v>12.921134206215537</v>
      </c>
      <c r="O23">
        <f>2.34*N23/1000</f>
        <v>3.0235454042544355E-2</v>
      </c>
      <c r="P23" s="3" t="s">
        <v>39</v>
      </c>
      <c r="Q23">
        <v>230</v>
      </c>
      <c r="R23">
        <v>2</v>
      </c>
      <c r="S23">
        <f>IF(Q23=0,0,(Q23-$J$12)/$I$12)*1</f>
        <v>9.9663144670971846</v>
      </c>
      <c r="T23">
        <f>2.34*S23/1000</f>
        <v>2.3321175853007411E-2</v>
      </c>
    </row>
    <row r="24" spans="1:20" x14ac:dyDescent="0.25">
      <c r="B24" s="3" t="s">
        <v>62</v>
      </c>
      <c r="C24" s="3"/>
      <c r="D24" s="3">
        <f>SUM(D16:D23)</f>
        <v>5369.0782157469521</v>
      </c>
      <c r="E24" s="3">
        <f>SUM(E16:E23)</f>
        <v>7.3898998104034561</v>
      </c>
      <c r="G24" s="3" t="s">
        <v>62</v>
      </c>
      <c r="H24" s="3"/>
      <c r="I24" s="3">
        <f>SUM(I16:I23)</f>
        <v>4430.4226444739334</v>
      </c>
      <c r="J24" s="3">
        <f>SUM(J16:J23)</f>
        <v>6.5753940760803067</v>
      </c>
      <c r="L24" s="3" t="s">
        <v>62</v>
      </c>
      <c r="M24" s="3"/>
      <c r="N24" s="3">
        <f>SUM(N16:N23)</f>
        <v>5081.4376158683417</v>
      </c>
      <c r="O24" s="3">
        <f>SUM(O16:O23)</f>
        <v>7.6666982644375175</v>
      </c>
      <c r="Q24" s="3" t="s">
        <v>62</v>
      </c>
      <c r="R24" s="3"/>
      <c r="S24" s="3">
        <f>SUM(S16:S23)</f>
        <v>4702.4788630295689</v>
      </c>
      <c r="T24" s="3">
        <f>SUM(T16:T23)</f>
        <v>7.0947372074020274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34216</v>
      </c>
      <c r="C28">
        <v>2</v>
      </c>
      <c r="D28">
        <f>IF(B28=0,0,(B28-$J$5)/$I$5)*C28</f>
        <v>3019.5265020640168</v>
      </c>
      <c r="E28">
        <f>1.07*D28/1000</f>
        <v>3.2308933572084979</v>
      </c>
      <c r="F28" s="3" t="s">
        <v>32</v>
      </c>
      <c r="G28">
        <v>39061</v>
      </c>
      <c r="H28">
        <v>2</v>
      </c>
      <c r="I28">
        <f>IF(G28=0,0,(G28-$J$5)/$I$5)*H28</f>
        <v>3446.8487999680351</v>
      </c>
      <c r="J28">
        <f>1.07*I28/1000</f>
        <v>3.6881282159657975</v>
      </c>
      <c r="K28" s="3" t="s">
        <v>32</v>
      </c>
      <c r="L28">
        <v>35583</v>
      </c>
      <c r="M28">
        <v>2</v>
      </c>
      <c r="N28">
        <f>IF(L28=0,0,(L28-$J$5)/$I$5)*M28</f>
        <v>3140.0940110908059</v>
      </c>
      <c r="O28">
        <f>1.07*N28/1000</f>
        <v>3.3599005918671625</v>
      </c>
      <c r="P28" s="3" t="s">
        <v>32</v>
      </c>
      <c r="Q28">
        <v>34492</v>
      </c>
      <c r="R28">
        <v>2</v>
      </c>
      <c r="S28">
        <f>IF(Q28=0,0,(Q28-$J$5)/$I$5)*R28</f>
        <v>3043.8693202727909</v>
      </c>
      <c r="T28">
        <f>1.07*S28/1000</f>
        <v>3.2569401726918863</v>
      </c>
    </row>
    <row r="29" spans="1:20" x14ac:dyDescent="0.25">
      <c r="A29" s="3" t="s">
        <v>33</v>
      </c>
      <c r="B29">
        <v>47110</v>
      </c>
      <c r="C29">
        <v>2</v>
      </c>
      <c r="D29">
        <f>IF(B29=0,0,(B29-$J$6)/$I$6)*C29</f>
        <v>2553.7172182923418</v>
      </c>
      <c r="E29">
        <f>1.51*D29/1000</f>
        <v>3.8561129996214363</v>
      </c>
      <c r="F29" s="3" t="s">
        <v>33</v>
      </c>
      <c r="G29">
        <v>56604</v>
      </c>
      <c r="H29">
        <v>2</v>
      </c>
      <c r="I29">
        <f>IF(G29=0,0,(G29-$J$6)/$I$6)*H29</f>
        <v>3069.4621297938784</v>
      </c>
      <c r="J29">
        <f>1.51*I29/1000</f>
        <v>4.6348878159887565</v>
      </c>
      <c r="K29" s="3" t="s">
        <v>33</v>
      </c>
      <c r="L29">
        <v>39746</v>
      </c>
      <c r="M29">
        <v>2</v>
      </c>
      <c r="N29">
        <f>IF(L29=0,0,(L29-$J$6)/$I$6)*M29</f>
        <v>2153.6808239066963</v>
      </c>
      <c r="O29">
        <f>1.51*N29/1000</f>
        <v>3.2520580440991118</v>
      </c>
      <c r="P29" s="3" t="s">
        <v>33</v>
      </c>
      <c r="Q29">
        <v>39625</v>
      </c>
      <c r="R29">
        <v>2</v>
      </c>
      <c r="S29">
        <f>IF(Q29=0,0,(Q29-$J$6)/$I$6)*R29</f>
        <v>2147.1077109625544</v>
      </c>
      <c r="T29">
        <f>1.51*S29/1000</f>
        <v>3.242132643553457</v>
      </c>
    </row>
    <row r="30" spans="1:20" x14ac:dyDescent="0.25">
      <c r="A30" s="3" t="s">
        <v>34</v>
      </c>
      <c r="B30">
        <v>925</v>
      </c>
      <c r="C30">
        <v>2</v>
      </c>
      <c r="D30">
        <f>IF(B30=0,0,(B30-$J$7)/$I$7)*C30</f>
        <v>42.297412220758815</v>
      </c>
      <c r="E30">
        <f>1.82*D30/1000</f>
        <v>7.6981290241781047E-2</v>
      </c>
      <c r="F30" s="3" t="s">
        <v>34</v>
      </c>
      <c r="G30">
        <v>921</v>
      </c>
      <c r="H30">
        <v>2</v>
      </c>
      <c r="I30">
        <f>IF(G30=0,0,(G30-$J$7)/$I$7)*H30</f>
        <v>42.114125614515864</v>
      </c>
      <c r="J30">
        <f>1.82*I30/1000</f>
        <v>7.664770861841888E-2</v>
      </c>
      <c r="K30" s="3" t="s">
        <v>34</v>
      </c>
      <c r="L30">
        <v>571</v>
      </c>
      <c r="M30">
        <v>2</v>
      </c>
      <c r="N30">
        <f>IF(L30=0,0,(L30-$J$7)/$I$7)*M30</f>
        <v>26.076547568257844</v>
      </c>
      <c r="O30">
        <f>1.82*N30/1000</f>
        <v>4.7459316574229277E-2</v>
      </c>
      <c r="P30" s="3" t="s">
        <v>34</v>
      </c>
      <c r="Q30">
        <v>365</v>
      </c>
      <c r="R30">
        <v>2</v>
      </c>
      <c r="S30">
        <f>IF(Q30=0,0,(Q30-$J$7)/$I$7)*R30</f>
        <v>16.637287346745978</v>
      </c>
      <c r="T30">
        <f>1.82*S30/1000</f>
        <v>3.0279862971077681E-2</v>
      </c>
    </row>
    <row r="31" spans="1:20" x14ac:dyDescent="0.25">
      <c r="A31" s="3" t="s">
        <v>35</v>
      </c>
      <c r="B31">
        <v>24647</v>
      </c>
      <c r="C31">
        <v>2</v>
      </c>
      <c r="D31">
        <f>IF(B31=0,0,(B31-$J$8)/$I$8)*C31</f>
        <v>1038.5263284444579</v>
      </c>
      <c r="E31">
        <f>1.82*D31/1000</f>
        <v>1.8901179177689134</v>
      </c>
      <c r="F31" s="3" t="s">
        <v>35</v>
      </c>
      <c r="G31">
        <v>23239</v>
      </c>
      <c r="H31">
        <v>2</v>
      </c>
      <c r="I31">
        <f>IF(G31=0,0,(G31-$J$8)/$I$8)*H31</f>
        <v>979.51288544515285</v>
      </c>
      <c r="J31">
        <f>1.82*I31/1000</f>
        <v>1.7827134515101781</v>
      </c>
      <c r="K31" s="3" t="s">
        <v>35</v>
      </c>
      <c r="L31">
        <v>9918</v>
      </c>
      <c r="M31">
        <v>2</v>
      </c>
      <c r="N31">
        <f>IF(L31=0,0,(L31-$J$8)/$I$8)*M31</f>
        <v>421.19038956891342</v>
      </c>
      <c r="O31">
        <f>1.82*N31/1000</f>
        <v>0.76656650901542245</v>
      </c>
      <c r="P31" s="3" t="s">
        <v>35</v>
      </c>
      <c r="Q31">
        <v>7972</v>
      </c>
      <c r="R31">
        <v>2</v>
      </c>
      <c r="S31">
        <f>IF(Q31=0,0,(Q31-$J$8)/$I$8)*R31</f>
        <v>339.62777587811229</v>
      </c>
      <c r="T31">
        <f>1.82*S31/1000</f>
        <v>0.61812255209816447</v>
      </c>
    </row>
    <row r="32" spans="1:20" x14ac:dyDescent="0.25">
      <c r="A32" s="3" t="s">
        <v>36</v>
      </c>
      <c r="B32">
        <v>2200</v>
      </c>
      <c r="C32">
        <v>2</v>
      </c>
      <c r="D32">
        <f>IF(B32=0,0,(B32-$J$9)/$I$9)*C32</f>
        <v>92.929450830721507</v>
      </c>
      <c r="E32">
        <f>2.04*D32/1000</f>
        <v>0.18957607969467188</v>
      </c>
      <c r="F32" s="3" t="s">
        <v>36</v>
      </c>
      <c r="G32">
        <v>2616</v>
      </c>
      <c r="H32">
        <v>2</v>
      </c>
      <c r="I32">
        <f>IF(G32=0,0,(G32-$J$9)/$I$9)*H32</f>
        <v>109.4842579771598</v>
      </c>
      <c r="J32">
        <f>2.04*I32/1000</f>
        <v>0.22334788627340602</v>
      </c>
      <c r="K32" s="3" t="s">
        <v>36</v>
      </c>
      <c r="L32">
        <v>1025</v>
      </c>
      <c r="M32">
        <v>2</v>
      </c>
      <c r="N32">
        <f>IF(L32=0,0,(L32-$J$9)/$I$9)*M32</f>
        <v>46.170079683930645</v>
      </c>
      <c r="O32">
        <f>2.04*N32/1000</f>
        <v>9.4186962555218509E-2</v>
      </c>
      <c r="P32" s="3" t="s">
        <v>36</v>
      </c>
      <c r="Q32">
        <v>710</v>
      </c>
      <c r="R32">
        <v>2</v>
      </c>
      <c r="S32">
        <f>IF(Q32=0,0,(Q32-$J$9)/$I$9)*R32</f>
        <v>33.63458869564203</v>
      </c>
      <c r="T32">
        <f>2.04*S32/1000</f>
        <v>6.8614560939109739E-2</v>
      </c>
    </row>
    <row r="33" spans="1:20" x14ac:dyDescent="0.25">
      <c r="A33" s="3" t="s">
        <v>37</v>
      </c>
      <c r="B33">
        <v>728</v>
      </c>
      <c r="C33">
        <v>2</v>
      </c>
      <c r="D33">
        <f>IF(B33=0,0,(B33-$J$10)/$I$10)*C33</f>
        <v>31.387357841994032</v>
      </c>
      <c r="E33">
        <f>2.04*D33/1000</f>
        <v>6.4030209997667828E-2</v>
      </c>
      <c r="F33" s="3" t="s">
        <v>37</v>
      </c>
      <c r="G33">
        <v>560</v>
      </c>
      <c r="H33">
        <v>2</v>
      </c>
      <c r="I33">
        <f>IF(G33=0,0,(G33-$J$10)/$I$10)*H33</f>
        <v>24.902840769996281</v>
      </c>
      <c r="J33">
        <f>2.04*I33/1000</f>
        <v>5.0801795170792419E-2</v>
      </c>
      <c r="K33" s="3" t="s">
        <v>37</v>
      </c>
      <c r="L33">
        <v>4484</v>
      </c>
      <c r="M33">
        <v>2</v>
      </c>
      <c r="N33">
        <f>IF(L33=0,0,(L33-$J$10)/$I$10)*M33</f>
        <v>176.36263238022951</v>
      </c>
      <c r="O33">
        <f>2.04*N33/1000</f>
        <v>0.35977977005566825</v>
      </c>
      <c r="P33" s="3" t="s">
        <v>37</v>
      </c>
      <c r="Q33">
        <v>965</v>
      </c>
      <c r="R33">
        <v>2</v>
      </c>
      <c r="S33">
        <f>IF(Q33=0,0,(Q33-$J$10)/$I$10)*R33</f>
        <v>40.535158711419434</v>
      </c>
      <c r="T33">
        <f>2.04*S33/1000</f>
        <v>8.2691723771295647E-2</v>
      </c>
    </row>
    <row r="34" spans="1:20" x14ac:dyDescent="0.25">
      <c r="A34" s="3" t="s">
        <v>38</v>
      </c>
      <c r="B34">
        <v>336</v>
      </c>
      <c r="C34">
        <v>2</v>
      </c>
      <c r="D34">
        <f>IF(B34=0,0,(B34-$J$11)/$I$11)*1</f>
        <v>10.865171469698565</v>
      </c>
      <c r="E34">
        <f>2.21*D34/1000</f>
        <v>2.4012028948033826E-2</v>
      </c>
      <c r="F34" s="3" t="s">
        <v>38</v>
      </c>
      <c r="G34">
        <v>321</v>
      </c>
      <c r="H34">
        <v>2</v>
      </c>
      <c r="I34">
        <f>IF(G34=0,0,(G34-$J$11)/$I$11)*1</f>
        <v>10.576537584802997</v>
      </c>
      <c r="J34">
        <f>2.21*I34/1000</f>
        <v>2.3374148062414623E-2</v>
      </c>
      <c r="K34" s="3" t="s">
        <v>38</v>
      </c>
      <c r="L34">
        <v>335</v>
      </c>
      <c r="M34">
        <v>2</v>
      </c>
      <c r="N34">
        <f>IF(L34=0,0,(L34-$J$11)/$I$11)*1</f>
        <v>10.845929210705526</v>
      </c>
      <c r="O34">
        <f>2.21*N34/1000</f>
        <v>2.3969503555659213E-2</v>
      </c>
      <c r="P34" s="3" t="s">
        <v>38</v>
      </c>
      <c r="Q34">
        <v>204</v>
      </c>
      <c r="R34">
        <v>2</v>
      </c>
      <c r="S34">
        <f>IF(Q34=0,0,(Q34-$J$11)/$I$11)*1</f>
        <v>8.325193282617569</v>
      </c>
      <c r="T34">
        <f>2.21*S34/1000</f>
        <v>1.8398677154584826E-2</v>
      </c>
    </row>
    <row r="35" spans="1:20" x14ac:dyDescent="0.25">
      <c r="A35" s="3" t="s">
        <v>39</v>
      </c>
      <c r="B35">
        <v>209</v>
      </c>
      <c r="C35">
        <v>2</v>
      </c>
      <c r="D35">
        <f>IF(B35=0,0,(B35-$J$12)/$I$12)*1</f>
        <v>9.5470495041141756</v>
      </c>
      <c r="E35">
        <f>2.34*D35/1000</f>
        <v>2.2340095839627171E-2</v>
      </c>
      <c r="F35" s="3" t="s">
        <v>39</v>
      </c>
      <c r="G35">
        <v>0</v>
      </c>
      <c r="H35">
        <v>2</v>
      </c>
      <c r="I35">
        <f>IF(G35=0,0,(G35-$J$12)/$I$12)*1</f>
        <v>0</v>
      </c>
      <c r="J35">
        <f>2.34*I35/1000</f>
        <v>0</v>
      </c>
      <c r="K35" s="3" t="s">
        <v>39</v>
      </c>
      <c r="L35">
        <v>0</v>
      </c>
      <c r="M35">
        <v>2</v>
      </c>
      <c r="N35">
        <f>IF(L35=0,0,(L35-$J$12)/$I$12)*1</f>
        <v>0</v>
      </c>
      <c r="O35">
        <f>2.34*N35/1000</f>
        <v>0</v>
      </c>
      <c r="P35" s="3" t="s">
        <v>39</v>
      </c>
      <c r="Q35">
        <v>0</v>
      </c>
      <c r="R35">
        <v>2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62</v>
      </c>
      <c r="C36" s="3"/>
      <c r="D36" s="3">
        <f>SUM(D28:D35)</f>
        <v>6798.7964906681045</v>
      </c>
      <c r="E36" s="3">
        <f>SUM(E28:E35)</f>
        <v>9.3540639793206299</v>
      </c>
      <c r="G36" s="3" t="s">
        <v>62</v>
      </c>
      <c r="H36" s="3"/>
      <c r="I36" s="3">
        <f>SUM(I28:I35)</f>
        <v>7682.9015771535414</v>
      </c>
      <c r="J36" s="3">
        <f>SUM(J28:J35)</f>
        <v>10.479901021589763</v>
      </c>
      <c r="L36" s="3" t="s">
        <v>62</v>
      </c>
      <c r="M36" s="3"/>
      <c r="N36" s="3">
        <f>SUM(N28:N35)</f>
        <v>5974.4204134095389</v>
      </c>
      <c r="O36" s="3">
        <f>SUM(O28:O35)</f>
        <v>7.903920697722473</v>
      </c>
      <c r="Q36" s="3" t="s">
        <v>62</v>
      </c>
      <c r="R36" s="3"/>
      <c r="S36" s="3">
        <f>SUM(S28:S35)</f>
        <v>5629.737035149883</v>
      </c>
      <c r="T36" s="3">
        <f>SUM(T28:T35)</f>
        <v>7.3171801931795759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3" t="s">
        <v>58</v>
      </c>
      <c r="M38" s="3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3" t="s">
        <v>47</v>
      </c>
      <c r="M39" s="3" t="s">
        <v>68</v>
      </c>
      <c r="N39" s="3" t="s">
        <v>48</v>
      </c>
      <c r="O39" s="3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42622</v>
      </c>
      <c r="C40">
        <v>2</v>
      </c>
      <c r="D40">
        <f>IF(B40=0,0,(B40-$J$5)/$I$5)*C40</f>
        <v>3760.9240740312366</v>
      </c>
      <c r="E40">
        <f>1.07*D40/1000</f>
        <v>4.0241887592134233</v>
      </c>
      <c r="F40" s="3" t="s">
        <v>32</v>
      </c>
      <c r="G40">
        <v>49368</v>
      </c>
      <c r="H40">
        <v>2</v>
      </c>
      <c r="I40">
        <f>IF(G40=0,0,(G40-$J$5)/$I$5)*H40</f>
        <v>4355.9119422790191</v>
      </c>
      <c r="J40">
        <f>1.07*I40/1000</f>
        <v>4.6608257782385509</v>
      </c>
      <c r="K40" s="3" t="s">
        <v>32</v>
      </c>
      <c r="L40">
        <v>34097</v>
      </c>
      <c r="M40">
        <v>2</v>
      </c>
      <c r="N40">
        <f>IF(L40=0,0,(L40-$J$5)/$I$5)*M40</f>
        <v>3009.0308666769006</v>
      </c>
      <c r="O40">
        <f>1.07*N40/1000</f>
        <v>3.2196630273442839</v>
      </c>
      <c r="P40" s="3" t="s">
        <v>32</v>
      </c>
      <c r="Q40">
        <v>35942</v>
      </c>
      <c r="R40">
        <v>2</v>
      </c>
      <c r="S40">
        <f>IF(Q40=0,0,(Q40-$J$5)/$I$5)*R40</f>
        <v>3171.7573144855514</v>
      </c>
      <c r="T40">
        <f>1.07*S40/1000</f>
        <v>3.3937803264995399</v>
      </c>
    </row>
    <row r="41" spans="1:20" x14ac:dyDescent="0.25">
      <c r="A41" s="3" t="s">
        <v>33</v>
      </c>
      <c r="B41">
        <v>49355</v>
      </c>
      <c r="C41">
        <v>2</v>
      </c>
      <c r="D41">
        <f>IF(B41=0,0,(B41-$J$6)/$I$6)*C41</f>
        <v>2675.672908867542</v>
      </c>
      <c r="E41">
        <f>1.51*D41/1000</f>
        <v>4.040266092389988</v>
      </c>
      <c r="F41" s="3" t="s">
        <v>33</v>
      </c>
      <c r="G41">
        <v>52235</v>
      </c>
      <c r="H41">
        <v>2</v>
      </c>
      <c r="I41">
        <f>IF(G41=0,0,(G41-$J$6)/$I$6)*H41</f>
        <v>2832.1238615876205</v>
      </c>
      <c r="J41">
        <f>1.51*I41/1000</f>
        <v>4.2765070309973074</v>
      </c>
      <c r="K41" s="3" t="s">
        <v>33</v>
      </c>
      <c r="L41">
        <v>38947</v>
      </c>
      <c r="M41">
        <v>2</v>
      </c>
      <c r="N41">
        <f>IF(L41=0,0,(L41-$J$6)/$I$6)*M41</f>
        <v>2110.2765491763694</v>
      </c>
      <c r="O41">
        <f>1.51*N41/1000</f>
        <v>3.1865175892563178</v>
      </c>
      <c r="P41" s="3" t="s">
        <v>33</v>
      </c>
      <c r="Q41">
        <v>42901</v>
      </c>
      <c r="R41">
        <v>2</v>
      </c>
      <c r="S41">
        <f>IF(Q41=0,0,(Q41-$J$6)/$I$6)*R41</f>
        <v>2325.0706696816437</v>
      </c>
      <c r="T41">
        <f>1.51*S41/1000</f>
        <v>3.5108567112192821</v>
      </c>
    </row>
    <row r="42" spans="1:20" x14ac:dyDescent="0.25">
      <c r="A42" s="3" t="s">
        <v>34</v>
      </c>
      <c r="B42">
        <v>1614</v>
      </c>
      <c r="C42">
        <v>2</v>
      </c>
      <c r="D42">
        <f>IF(B42=0,0,(B42-$J$7)/$I$7)*C42</f>
        <v>73.86853014610675</v>
      </c>
      <c r="E42">
        <f>1.82*D42/1000</f>
        <v>0.1344407248659143</v>
      </c>
      <c r="F42" s="3" t="s">
        <v>34</v>
      </c>
      <c r="G42">
        <v>1284</v>
      </c>
      <c r="H42">
        <v>2</v>
      </c>
      <c r="I42">
        <f>IF(G42=0,0,(G42-$J$7)/$I$7)*H42</f>
        <v>58.747385131063474</v>
      </c>
      <c r="J42">
        <f>1.82*I42/1000</f>
        <v>0.10692024093853553</v>
      </c>
      <c r="K42" s="3" t="s">
        <v>34</v>
      </c>
      <c r="L42">
        <v>770</v>
      </c>
      <c r="M42">
        <v>2</v>
      </c>
      <c r="N42">
        <f>IF(L42=0,0,(L42-$J$7)/$I$7)*M42</f>
        <v>35.19505622884455</v>
      </c>
      <c r="O42">
        <f>1.82*N42/1000</f>
        <v>6.405500233649708E-2</v>
      </c>
      <c r="P42" s="3" t="s">
        <v>34</v>
      </c>
      <c r="Q42">
        <v>785</v>
      </c>
      <c r="R42">
        <v>2</v>
      </c>
      <c r="S42">
        <f>IF(Q42=0,0,(Q42-$J$7)/$I$7)*R42</f>
        <v>35.882381002255606</v>
      </c>
      <c r="T42">
        <f>1.82*S42/1000</f>
        <v>6.5305933424105206E-2</v>
      </c>
    </row>
    <row r="43" spans="1:20" x14ac:dyDescent="0.25">
      <c r="A43" s="3" t="s">
        <v>35</v>
      </c>
      <c r="B43">
        <v>15805</v>
      </c>
      <c r="C43">
        <v>2</v>
      </c>
      <c r="D43">
        <f>IF(B43=0,0,(B43-$J$8)/$I$8)*C43</f>
        <v>667.93196551842334</v>
      </c>
      <c r="E43">
        <f>1.82*D43/1000</f>
        <v>1.2156361772435305</v>
      </c>
      <c r="F43" s="3" t="s">
        <v>35</v>
      </c>
      <c r="G43">
        <v>15404</v>
      </c>
      <c r="H43">
        <v>2</v>
      </c>
      <c r="I43">
        <f>IF(G43=0,0,(G43-$J$8)/$I$8)*H43</f>
        <v>651.12486989149056</v>
      </c>
      <c r="J43">
        <f>1.82*I43/1000</f>
        <v>1.1850472632025129</v>
      </c>
      <c r="K43" s="3" t="s">
        <v>35</v>
      </c>
      <c r="L43">
        <v>24197</v>
      </c>
      <c r="M43">
        <v>2</v>
      </c>
      <c r="N43">
        <f>IF(L43=0,0,(L43-$J$8)/$I$8)*M43</f>
        <v>1019.6654979404187</v>
      </c>
      <c r="O43">
        <f>1.82*N43/1000</f>
        <v>1.8557912062515622</v>
      </c>
      <c r="P43" s="3" t="s">
        <v>35</v>
      </c>
      <c r="Q43">
        <v>13080</v>
      </c>
      <c r="R43">
        <v>2</v>
      </c>
      <c r="S43">
        <f>IF(Q43=0,0,(Q43-$J$8)/$I$8)*R43</f>
        <v>553.71915857729641</v>
      </c>
      <c r="T43">
        <f>1.82*S43/1000</f>
        <v>1.0077688686106796</v>
      </c>
    </row>
    <row r="44" spans="1:20" x14ac:dyDescent="0.25">
      <c r="A44" s="3" t="s">
        <v>36</v>
      </c>
      <c r="B44">
        <v>3695</v>
      </c>
      <c r="C44">
        <v>2</v>
      </c>
      <c r="D44">
        <f>IF(B44=0,0,(B44-$J$9)/$I$9)*C44</f>
        <v>152.42328901323415</v>
      </c>
      <c r="E44">
        <f>2.04*D44/1000</f>
        <v>0.31094350958699768</v>
      </c>
      <c r="F44" s="3" t="s">
        <v>36</v>
      </c>
      <c r="G44">
        <v>3360</v>
      </c>
      <c r="H44">
        <v>2</v>
      </c>
      <c r="I44">
        <f>IF(G44=0,0,(G44-$J$9)/$I$9)*H44</f>
        <v>139.09189383521291</v>
      </c>
      <c r="J44">
        <f>2.04*I44/1000</f>
        <v>0.28374746342383433</v>
      </c>
      <c r="K44" s="3" t="s">
        <v>36</v>
      </c>
      <c r="L44">
        <v>1608</v>
      </c>
      <c r="M44">
        <v>2</v>
      </c>
      <c r="N44">
        <f>IF(L44=0,0,(L44-$J$9)/$I$9)*M44</f>
        <v>69.370686814636244</v>
      </c>
      <c r="O44">
        <f>2.04*N44/1000</f>
        <v>0.14151620110185795</v>
      </c>
      <c r="P44" s="3" t="s">
        <v>36</v>
      </c>
      <c r="Q44">
        <v>1432</v>
      </c>
      <c r="R44">
        <v>2</v>
      </c>
      <c r="S44">
        <f>IF(Q44=0,0,(Q44-$J$9)/$I$9)*R44</f>
        <v>62.366729944989267</v>
      </c>
      <c r="T44">
        <f>2.04*S44/1000</f>
        <v>0.12722812908777811</v>
      </c>
    </row>
    <row r="45" spans="1:20" x14ac:dyDescent="0.25">
      <c r="A45" s="3" t="s">
        <v>37</v>
      </c>
      <c r="B45">
        <v>434</v>
      </c>
      <c r="C45">
        <v>2</v>
      </c>
      <c r="D45">
        <f>IF(B45=0,0,(B45-$J$10)/$I$10)*C45</f>
        <v>20.039452965997967</v>
      </c>
      <c r="E45">
        <f>2.04*D45/1000</f>
        <v>4.0880484050635851E-2</v>
      </c>
      <c r="F45" s="3" t="s">
        <v>37</v>
      </c>
      <c r="G45">
        <v>538</v>
      </c>
      <c r="H45">
        <v>2</v>
      </c>
      <c r="I45">
        <f>IF(G45=0,0,(G45-$J$10)/$I$10)*H45</f>
        <v>24.053677820091814</v>
      </c>
      <c r="J45">
        <f>2.04*I45/1000</f>
        <v>4.9069502752987298E-2</v>
      </c>
      <c r="K45" s="3" t="s">
        <v>37</v>
      </c>
      <c r="L45">
        <v>522</v>
      </c>
      <c r="M45">
        <v>2</v>
      </c>
      <c r="N45">
        <f>IF(L45=0,0,(L45-$J$10)/$I$10)*M45</f>
        <v>23.436104765615838</v>
      </c>
      <c r="O45">
        <f>2.04*N45/1000</f>
        <v>4.7809653721856304E-2</v>
      </c>
      <c r="P45" s="3" t="s">
        <v>37</v>
      </c>
      <c r="Q45">
        <v>353</v>
      </c>
      <c r="R45">
        <v>2</v>
      </c>
      <c r="S45">
        <f>IF(Q45=0,0,(Q45-$J$10)/$I$10)*R45</f>
        <v>16.912989377713334</v>
      </c>
      <c r="T45">
        <f>2.04*S45/1000</f>
        <v>3.4502498330535203E-2</v>
      </c>
    </row>
    <row r="46" spans="1:20" x14ac:dyDescent="0.25">
      <c r="A46" s="3" t="s">
        <v>38</v>
      </c>
      <c r="B46">
        <v>0</v>
      </c>
      <c r="C46">
        <v>2</v>
      </c>
      <c r="D46">
        <f>IF(B46=0,0,(B46-$J$11)/$I$11)*1</f>
        <v>0</v>
      </c>
      <c r="E46">
        <f>2.21*D46/1000</f>
        <v>0</v>
      </c>
      <c r="F46" s="3" t="s">
        <v>38</v>
      </c>
      <c r="G46">
        <v>202</v>
      </c>
      <c r="H46">
        <v>2</v>
      </c>
      <c r="I46">
        <f>IF(G46=0,0,(G46-$J$11)/$I$11)*1</f>
        <v>8.2867087646314932</v>
      </c>
      <c r="J46">
        <f>2.21*I46/1000</f>
        <v>1.8313626369835599E-2</v>
      </c>
      <c r="K46" s="3" t="s">
        <v>38</v>
      </c>
      <c r="L46">
        <v>366</v>
      </c>
      <c r="M46">
        <v>2</v>
      </c>
      <c r="N46">
        <f>IF(L46=0,0,(L46-$J$11)/$I$11)*1</f>
        <v>11.442439239489699</v>
      </c>
      <c r="O46">
        <f>2.21*N46/1000</f>
        <v>2.5287790719272233E-2</v>
      </c>
      <c r="P46" s="3" t="s">
        <v>38</v>
      </c>
      <c r="Q46">
        <v>240</v>
      </c>
      <c r="R46">
        <v>2</v>
      </c>
      <c r="S46">
        <f>IF(Q46=0,0,(Q46-$J$11)/$I$11)*1</f>
        <v>9.0179146063669311</v>
      </c>
      <c r="T46">
        <f>2.21*S46/1000</f>
        <v>1.9929591280070914E-2</v>
      </c>
    </row>
    <row r="47" spans="1:20" x14ac:dyDescent="0.25">
      <c r="A47" s="3" t="s">
        <v>39</v>
      </c>
      <c r="B47">
        <v>0</v>
      </c>
      <c r="C47">
        <v>2</v>
      </c>
      <c r="D47">
        <f>IF(B47=0,0,(B47-$J$12)/$I$12)*1</f>
        <v>0</v>
      </c>
      <c r="E47">
        <f>2.34*D47/1000</f>
        <v>0</v>
      </c>
      <c r="F47" s="3" t="s">
        <v>39</v>
      </c>
      <c r="G47">
        <v>0</v>
      </c>
      <c r="H47">
        <v>2</v>
      </c>
      <c r="I47">
        <f>IF(G47=0,0,(G47-$J$12)/$I$12)*1</f>
        <v>0</v>
      </c>
      <c r="J47">
        <f>2.34*I47/1000</f>
        <v>0</v>
      </c>
      <c r="K47" s="3" t="s">
        <v>39</v>
      </c>
      <c r="L47">
        <v>0</v>
      </c>
      <c r="M47">
        <v>2</v>
      </c>
      <c r="N47">
        <f>IF(L47=0,0,(L47-$J$12)/$I$12)*1</f>
        <v>0</v>
      </c>
      <c r="O47">
        <f>2.34*N47/1000</f>
        <v>0</v>
      </c>
      <c r="P47" s="3" t="s">
        <v>39</v>
      </c>
      <c r="Q47">
        <v>0</v>
      </c>
      <c r="R47">
        <v>2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7350.8602205425404</v>
      </c>
      <c r="E48" s="3">
        <f>SUM(E40:E47)</f>
        <v>9.7663557473504898</v>
      </c>
      <c r="F48" s="3"/>
      <c r="G48" s="3" t="s">
        <v>62</v>
      </c>
      <c r="H48" s="3"/>
      <c r="I48" s="3">
        <f>SUM(I40:I47)</f>
        <v>8069.3403393091312</v>
      </c>
      <c r="J48" s="3">
        <f>SUM(J40:J47)</f>
        <v>10.580430905923564</v>
      </c>
      <c r="K48" s="3"/>
      <c r="L48" s="3" t="s">
        <v>62</v>
      </c>
      <c r="M48" s="3"/>
      <c r="N48" s="3">
        <f>SUM(N40:N47)</f>
        <v>6278.4172008422747</v>
      </c>
      <c r="O48" s="3">
        <f>SUM(O40:O47)</f>
        <v>8.5406404707316472</v>
      </c>
      <c r="P48" s="3"/>
      <c r="Q48" s="3" t="s">
        <v>62</v>
      </c>
      <c r="R48" s="3"/>
      <c r="S48" s="3">
        <f>SUM(S40:S47)</f>
        <v>6174.7271576758167</v>
      </c>
      <c r="T48" s="3">
        <f>SUM(T40:T47)</f>
        <v>8.1593720584519929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13081</v>
      </c>
      <c r="C52">
        <v>2</v>
      </c>
      <c r="D52">
        <f>IF(B52=0,0,(B52-$J$5)/$I$5)*C52</f>
        <v>1155.4487381421532</v>
      </c>
      <c r="E52">
        <f>1.07*D52/1000</f>
        <v>1.2363301498121038</v>
      </c>
      <c r="F52" s="3" t="s">
        <v>32</v>
      </c>
      <c r="G52">
        <v>16696</v>
      </c>
      <c r="H52">
        <v>2</v>
      </c>
      <c r="I52">
        <f>IF(G52=0,0,(G52-$J$5)/$I$5)*H52</f>
        <v>1474.2867375070709</v>
      </c>
      <c r="J52">
        <f>1.07*I52/1000</f>
        <v>1.577486809132566</v>
      </c>
    </row>
    <row r="53" spans="1:13" x14ac:dyDescent="0.25">
      <c r="A53" s="3" t="s">
        <v>33</v>
      </c>
      <c r="B53">
        <v>3335</v>
      </c>
      <c r="C53">
        <v>2</v>
      </c>
      <c r="D53">
        <f>IF(B53=0,0,(B53-$J$6)/$I$6)*C53</f>
        <v>175.71706019461982</v>
      </c>
      <c r="E53">
        <f>1.51*D53/1000</f>
        <v>0.26533276089387592</v>
      </c>
      <c r="F53" s="3" t="s">
        <v>33</v>
      </c>
      <c r="G53">
        <v>6802</v>
      </c>
      <c r="H53">
        <v>2</v>
      </c>
      <c r="I53">
        <f>IF(G53=0,0,(G53-$J$6)/$I$6)*H53</f>
        <v>364.05575918090886</v>
      </c>
      <c r="J53">
        <f>1.51*I53/1000</f>
        <v>0.54972419636317238</v>
      </c>
    </row>
    <row r="54" spans="1:13" x14ac:dyDescent="0.25">
      <c r="A54" s="3" t="s">
        <v>34</v>
      </c>
      <c r="B54">
        <v>0</v>
      </c>
      <c r="C54">
        <v>2</v>
      </c>
      <c r="D54">
        <f>IF(B54=0,0,(B54-$J$7)/$I$7)*C54</f>
        <v>0</v>
      </c>
      <c r="E54">
        <f>1.82*D54/1000</f>
        <v>0</v>
      </c>
      <c r="F54" s="3" t="s">
        <v>34</v>
      </c>
      <c r="G54">
        <v>0</v>
      </c>
      <c r="H54">
        <v>2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35</v>
      </c>
      <c r="B55">
        <v>52676</v>
      </c>
      <c r="C55">
        <v>2</v>
      </c>
      <c r="D55">
        <f>IF(B55=0,0,(B55-$J$8)/$I$8)*C55</f>
        <v>2213.3045911060535</v>
      </c>
      <c r="E55">
        <f>1.82*D55/1000</f>
        <v>4.0282143558130175</v>
      </c>
      <c r="F55" s="3" t="s">
        <v>35</v>
      </c>
      <c r="G55">
        <v>50228</v>
      </c>
      <c r="H55">
        <v>2</v>
      </c>
      <c r="I55">
        <f>IF(G55=0,0,(G55-$J$8)/$I$8)*H55</f>
        <v>2110.7016731640797</v>
      </c>
      <c r="J55">
        <f>1.82*I55/1000</f>
        <v>3.8414770451586251</v>
      </c>
    </row>
    <row r="56" spans="1:13" x14ac:dyDescent="0.25">
      <c r="A56" s="3" t="s">
        <v>36</v>
      </c>
      <c r="B56">
        <v>0</v>
      </c>
      <c r="C56">
        <v>2</v>
      </c>
      <c r="D56">
        <f>IF(B56=0,0,(B56-$J$9)/$I$9)*C56</f>
        <v>0</v>
      </c>
      <c r="E56">
        <f>2.04*D56/1000</f>
        <v>0</v>
      </c>
      <c r="F56" s="3" t="s">
        <v>36</v>
      </c>
      <c r="G56">
        <v>0</v>
      </c>
      <c r="H56">
        <v>2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37</v>
      </c>
      <c r="B57">
        <v>0</v>
      </c>
      <c r="C57">
        <v>2</v>
      </c>
      <c r="D57">
        <f>IF(B57=0,0,(B57-$J$10)/$I$10)*C57</f>
        <v>0</v>
      </c>
      <c r="E57">
        <f>2.04*D57/1000</f>
        <v>0</v>
      </c>
      <c r="F57" s="3" t="s">
        <v>37</v>
      </c>
      <c r="G57">
        <v>0</v>
      </c>
      <c r="H57">
        <v>2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38</v>
      </c>
      <c r="B58">
        <v>0</v>
      </c>
      <c r="C58">
        <v>2</v>
      </c>
      <c r="D58">
        <f>IF(B58=0,0,(B58-$J$11)/$I$11)*1</f>
        <v>0</v>
      </c>
      <c r="E58">
        <f>2.21*D58/1000</f>
        <v>0</v>
      </c>
      <c r="F58" s="3" t="s">
        <v>38</v>
      </c>
      <c r="G58">
        <v>335</v>
      </c>
      <c r="H58">
        <v>2</v>
      </c>
      <c r="I58">
        <f>IF(G58=0,0,(G58-$J$11)/$I$11)*1</f>
        <v>10.845929210705526</v>
      </c>
      <c r="J58">
        <f>2.21*I58/1000</f>
        <v>2.3969503555659213E-2</v>
      </c>
    </row>
    <row r="59" spans="1:13" x14ac:dyDescent="0.25">
      <c r="A59" s="3" t="s">
        <v>39</v>
      </c>
      <c r="B59">
        <v>0</v>
      </c>
      <c r="C59">
        <v>2</v>
      </c>
      <c r="D59">
        <f>IF(B59=0,0,(B59-$J$12)/$I$12)*1</f>
        <v>0</v>
      </c>
      <c r="E59">
        <f>2.34*D59/1000</f>
        <v>0</v>
      </c>
      <c r="F59" s="3" t="s">
        <v>39</v>
      </c>
      <c r="G59">
        <v>0</v>
      </c>
      <c r="H59">
        <v>2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62</v>
      </c>
      <c r="C60" s="3"/>
      <c r="D60" s="3">
        <f>SUM(D52:D59)</f>
        <v>3544.4703894428267</v>
      </c>
      <c r="E60" s="3">
        <f>SUM(E52:E59)</f>
        <v>5.529877266518997</v>
      </c>
      <c r="G60" s="3" t="s">
        <v>62</v>
      </c>
      <c r="H60" s="3"/>
      <c r="I60" s="3">
        <f>SUM(I52:I59)</f>
        <v>3959.8900990627649</v>
      </c>
      <c r="J60" s="3">
        <f>SUM(J52:J59)</f>
        <v>5.9926575542100231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T60"/>
  <sheetViews>
    <sheetView workbookViewId="0">
      <selection activeCell="M55" sqref="M55"/>
    </sheetView>
  </sheetViews>
  <sheetFormatPr defaultRowHeight="15" x14ac:dyDescent="0.25"/>
  <cols>
    <col min="1" max="1" width="10.85546875" customWidth="1"/>
    <col min="4" max="4" width="10.42578125" customWidth="1"/>
    <col min="8" max="8" width="11" customWidth="1"/>
    <col min="12" max="12" width="10.7109375" customWidth="1"/>
  </cols>
  <sheetData>
    <row r="2" spans="1:20" x14ac:dyDescent="0.25">
      <c r="A2" s="3" t="s">
        <v>44</v>
      </c>
    </row>
    <row r="3" spans="1:20" x14ac:dyDescent="0.25">
      <c r="B3" s="3"/>
      <c r="C3" s="3" t="s">
        <v>29</v>
      </c>
      <c r="D3" s="3" t="s">
        <v>43</v>
      </c>
      <c r="E3" s="3" t="s">
        <v>30</v>
      </c>
      <c r="F3" s="3" t="s">
        <v>29</v>
      </c>
      <c r="G3" s="3" t="s">
        <v>43</v>
      </c>
      <c r="H3" s="3" t="s">
        <v>30</v>
      </c>
      <c r="I3" s="3"/>
      <c r="J3" s="3"/>
    </row>
    <row r="4" spans="1:20" x14ac:dyDescent="0.25">
      <c r="A4" s="3" t="s">
        <v>31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42</v>
      </c>
      <c r="G4" s="3" t="s">
        <v>42</v>
      </c>
      <c r="H4" s="3" t="s">
        <v>42</v>
      </c>
      <c r="I4" s="3" t="s">
        <v>15</v>
      </c>
      <c r="J4" s="3" t="s">
        <v>16</v>
      </c>
      <c r="K4" s="3" t="s">
        <v>63</v>
      </c>
    </row>
    <row r="5" spans="1:20" ht="15.75" x14ac:dyDescent="0.25">
      <c r="A5" s="3" t="s">
        <v>32</v>
      </c>
      <c r="B5" s="13">
        <v>5.7309999999999999</v>
      </c>
      <c r="C5" s="13">
        <v>1298</v>
      </c>
      <c r="D5" s="13">
        <v>6340</v>
      </c>
      <c r="E5" s="13">
        <v>12796</v>
      </c>
      <c r="F5" s="14">
        <v>53</v>
      </c>
      <c r="G5" s="14">
        <v>263</v>
      </c>
      <c r="H5" s="14">
        <v>525</v>
      </c>
      <c r="I5">
        <f>LINEST(C5:E5, F5:H5)</f>
        <v>24.371581507355572</v>
      </c>
      <c r="J5">
        <f>INTERCEPT(C5:E5, F5:H5)</f>
        <v>-20.833349228678344</v>
      </c>
      <c r="K5">
        <f>RSQ(C5:E5,F5:H5)</f>
        <v>0.99994580835484326</v>
      </c>
    </row>
    <row r="6" spans="1:20" ht="15.75" x14ac:dyDescent="0.25">
      <c r="A6" s="3" t="s">
        <v>33</v>
      </c>
      <c r="B6" s="13">
        <v>6.7030000000000003</v>
      </c>
      <c r="C6" s="13">
        <v>1925</v>
      </c>
      <c r="D6" s="13">
        <v>9578</v>
      </c>
      <c r="E6" s="13">
        <v>19327</v>
      </c>
      <c r="F6" s="14">
        <v>49</v>
      </c>
      <c r="G6" s="14">
        <v>247</v>
      </c>
      <c r="H6" s="14">
        <v>495</v>
      </c>
      <c r="I6">
        <f t="shared" ref="I6:I12" si="0">LINEST(C6:E6, F6:H6)</f>
        <v>39.030044322217186</v>
      </c>
      <c r="J6">
        <f>INTERCEPT(C6:E6, F6:H6)</f>
        <v>-14.25501962459748</v>
      </c>
      <c r="K6">
        <f t="shared" ref="K6:K12" si="1">RSQ(C6:E6,F6:H6)</f>
        <v>0.99997703199167076</v>
      </c>
    </row>
    <row r="7" spans="1:20" ht="15.75" x14ac:dyDescent="0.25">
      <c r="A7" s="3" t="s">
        <v>34</v>
      </c>
      <c r="B7" s="13">
        <v>7.0380000000000003</v>
      </c>
      <c r="C7" s="13">
        <v>2135</v>
      </c>
      <c r="D7" s="13">
        <v>10690</v>
      </c>
      <c r="E7" s="13">
        <v>21785</v>
      </c>
      <c r="F7" s="14">
        <v>47</v>
      </c>
      <c r="G7" s="14">
        <v>235</v>
      </c>
      <c r="H7" s="14">
        <v>469</v>
      </c>
      <c r="I7">
        <f t="shared" si="0"/>
        <v>46.598119201742094</v>
      </c>
      <c r="J7">
        <f t="shared" ref="J7:J12" si="2">INTERCEPT(C7:E7, F7:H7)</f>
        <v>-128.39584016943809</v>
      </c>
      <c r="K7">
        <f t="shared" si="1"/>
        <v>0.99986450755945688</v>
      </c>
    </row>
    <row r="8" spans="1:20" ht="15.75" x14ac:dyDescent="0.25">
      <c r="A8" s="3" t="s">
        <v>35</v>
      </c>
      <c r="B8" s="13">
        <v>7.7519999999999998</v>
      </c>
      <c r="C8" s="13">
        <v>2305</v>
      </c>
      <c r="D8" s="13">
        <v>11415</v>
      </c>
      <c r="E8" s="13">
        <v>23512</v>
      </c>
      <c r="F8" s="14">
        <v>45</v>
      </c>
      <c r="G8" s="14">
        <v>227</v>
      </c>
      <c r="H8" s="14">
        <v>453</v>
      </c>
      <c r="I8">
        <f t="shared" si="0"/>
        <v>52.039375418887445</v>
      </c>
      <c r="J8">
        <f t="shared" si="2"/>
        <v>-165.51572623112952</v>
      </c>
      <c r="K8">
        <f>RSQ(C8:E8,F8:H8)</f>
        <v>0.99964063399439407</v>
      </c>
    </row>
    <row r="9" spans="1:20" ht="15.75" x14ac:dyDescent="0.25">
      <c r="A9" s="3" t="s">
        <v>36</v>
      </c>
      <c r="B9" s="13">
        <v>8.2170000000000005</v>
      </c>
      <c r="C9" s="13">
        <v>2436</v>
      </c>
      <c r="D9" s="13">
        <v>12150</v>
      </c>
      <c r="E9" s="13">
        <v>24406</v>
      </c>
      <c r="F9" s="14">
        <v>46</v>
      </c>
      <c r="G9" s="14">
        <v>228</v>
      </c>
      <c r="H9" s="14">
        <v>455</v>
      </c>
      <c r="I9">
        <f t="shared" si="0"/>
        <v>53.727523875300669</v>
      </c>
      <c r="J9">
        <f t="shared" si="2"/>
        <v>-58.45496836473103</v>
      </c>
      <c r="K9">
        <f t="shared" si="1"/>
        <v>0.99998934124420269</v>
      </c>
    </row>
    <row r="10" spans="1:20" ht="15.75" x14ac:dyDescent="0.25">
      <c r="A10" s="3" t="s">
        <v>37</v>
      </c>
      <c r="B10" s="13">
        <v>8.9890000000000008</v>
      </c>
      <c r="C10" s="13">
        <v>2433</v>
      </c>
      <c r="D10" s="13">
        <v>12679</v>
      </c>
      <c r="E10" s="13">
        <v>25622</v>
      </c>
      <c r="F10" s="14">
        <v>44</v>
      </c>
      <c r="G10" s="14">
        <v>221</v>
      </c>
      <c r="H10" s="14">
        <v>443</v>
      </c>
      <c r="I10">
        <f t="shared" si="0"/>
        <v>58.125459731291741</v>
      </c>
      <c r="J10">
        <f t="shared" si="2"/>
        <v>-139.60849658485313</v>
      </c>
      <c r="K10">
        <f t="shared" si="1"/>
        <v>0.99999589834124925</v>
      </c>
    </row>
    <row r="11" spans="1:20" ht="15.75" x14ac:dyDescent="0.25">
      <c r="A11" s="3" t="s">
        <v>38</v>
      </c>
      <c r="B11" s="13">
        <v>10.156000000000001</v>
      </c>
      <c r="C11" s="13">
        <v>2535</v>
      </c>
      <c r="D11" s="13">
        <v>13177</v>
      </c>
      <c r="E11" s="13">
        <v>26194</v>
      </c>
      <c r="F11" s="14">
        <v>44</v>
      </c>
      <c r="G11" s="14">
        <v>222</v>
      </c>
      <c r="H11" s="14">
        <v>444</v>
      </c>
      <c r="I11">
        <f t="shared" si="0"/>
        <v>59.12673052023505</v>
      </c>
      <c r="J11">
        <f t="shared" si="2"/>
        <v>-24.659556455628262</v>
      </c>
      <c r="K11">
        <f t="shared" si="1"/>
        <v>0.9999694081243351</v>
      </c>
    </row>
    <row r="12" spans="1:20" ht="15.75" x14ac:dyDescent="0.25">
      <c r="A12" s="3" t="s">
        <v>39</v>
      </c>
      <c r="B12" s="13">
        <v>11.27</v>
      </c>
      <c r="C12" s="13">
        <v>2759</v>
      </c>
      <c r="D12" s="13">
        <v>14625</v>
      </c>
      <c r="E12" s="13">
        <v>28479</v>
      </c>
      <c r="F12" s="14">
        <v>47</v>
      </c>
      <c r="G12" s="14">
        <v>234</v>
      </c>
      <c r="H12" s="14">
        <v>467</v>
      </c>
      <c r="I12">
        <f t="shared" si="0"/>
        <v>61.166326630479787</v>
      </c>
      <c r="J12">
        <f t="shared" si="2"/>
        <v>36.862560133700754</v>
      </c>
      <c r="K12">
        <f t="shared" si="1"/>
        <v>0.99965580947685428</v>
      </c>
    </row>
    <row r="14" spans="1:20" x14ac:dyDescent="0.25">
      <c r="A14" s="15" t="s">
        <v>45</v>
      </c>
      <c r="B14" s="3" t="s">
        <v>46</v>
      </c>
      <c r="C14" s="3"/>
      <c r="F14" s="15" t="s">
        <v>45</v>
      </c>
      <c r="G14" s="3" t="s">
        <v>49</v>
      </c>
      <c r="H14" s="3"/>
      <c r="K14" s="15" t="s">
        <v>45</v>
      </c>
      <c r="L14" s="3" t="s">
        <v>50</v>
      </c>
      <c r="M14" s="3"/>
      <c r="P14" s="15" t="s">
        <v>45</v>
      </c>
      <c r="Q14" s="3" t="s">
        <v>51</v>
      </c>
    </row>
    <row r="15" spans="1:20" x14ac:dyDescent="0.25">
      <c r="A15" s="15" t="s">
        <v>31</v>
      </c>
      <c r="B15" s="3" t="s">
        <v>47</v>
      </c>
      <c r="C15" s="3" t="s">
        <v>68</v>
      </c>
      <c r="D15" s="3" t="s">
        <v>48</v>
      </c>
      <c r="E15" s="3" t="s">
        <v>65</v>
      </c>
      <c r="F15" s="15" t="s">
        <v>31</v>
      </c>
      <c r="G15" s="3" t="s">
        <v>47</v>
      </c>
      <c r="H15" s="3" t="s">
        <v>68</v>
      </c>
      <c r="I15" s="3" t="s">
        <v>48</v>
      </c>
      <c r="J15" s="3" t="s">
        <v>65</v>
      </c>
      <c r="K15" s="15" t="s">
        <v>31</v>
      </c>
      <c r="L15" s="3" t="s">
        <v>47</v>
      </c>
      <c r="M15" s="3" t="s">
        <v>68</v>
      </c>
      <c r="N15" s="3" t="s">
        <v>48</v>
      </c>
      <c r="O15" s="3" t="s">
        <v>65</v>
      </c>
      <c r="P15" s="15" t="s">
        <v>31</v>
      </c>
      <c r="Q15" s="3" t="s">
        <v>47</v>
      </c>
      <c r="R15" s="3" t="s">
        <v>68</v>
      </c>
      <c r="S15" s="3" t="s">
        <v>48</v>
      </c>
      <c r="T15" s="3" t="s">
        <v>65</v>
      </c>
    </row>
    <row r="16" spans="1:20" x14ac:dyDescent="0.25">
      <c r="A16" s="3" t="s">
        <v>32</v>
      </c>
      <c r="B16">
        <v>3668</v>
      </c>
      <c r="C16">
        <v>10</v>
      </c>
      <c r="D16">
        <f>IF(B16=0,0,(B16-$J$5)/$I$5)*C16</f>
        <v>1513.5798011775944</v>
      </c>
      <c r="E16">
        <f>1.07*D16/1000</f>
        <v>1.6195303872600262</v>
      </c>
      <c r="F16" s="3" t="s">
        <v>32</v>
      </c>
      <c r="G16">
        <v>4926</v>
      </c>
      <c r="H16">
        <v>10</v>
      </c>
      <c r="I16">
        <f>IF(G16=0,0,(G16-$J$5)/$I$5)*H16</f>
        <v>2029.7547566766143</v>
      </c>
      <c r="J16">
        <f>1.07*I16/1000</f>
        <v>2.1718375896439777</v>
      </c>
      <c r="K16" s="3" t="s">
        <v>32</v>
      </c>
      <c r="L16">
        <v>4776</v>
      </c>
      <c r="M16">
        <v>10</v>
      </c>
      <c r="N16">
        <f>IF(L16=0,0,(L16-$J$5)/$I$5)*M16</f>
        <v>1968.2076634136151</v>
      </c>
      <c r="O16">
        <f>1.07*N16/1000</f>
        <v>2.1059821998525683</v>
      </c>
      <c r="P16" s="3" t="s">
        <v>32</v>
      </c>
      <c r="Q16">
        <v>4364</v>
      </c>
      <c r="R16">
        <v>10</v>
      </c>
      <c r="S16">
        <f>IF(Q16=0,0,(Q16-$J$5)/$I$5)*R16</f>
        <v>1799.1583139179106</v>
      </c>
      <c r="T16">
        <f>1.07*S16/1000</f>
        <v>1.9250993958921645</v>
      </c>
    </row>
    <row r="17" spans="1:20" x14ac:dyDescent="0.25">
      <c r="A17" s="3" t="s">
        <v>33</v>
      </c>
      <c r="B17">
        <v>5889</v>
      </c>
      <c r="C17">
        <v>10</v>
      </c>
      <c r="D17">
        <f>IF(B17=0,0,(B17-$J$6)/$I$6)*C17</f>
        <v>1512.4899605261965</v>
      </c>
      <c r="E17">
        <f>1.51*D17/1000</f>
        <v>2.2838598403945567</v>
      </c>
      <c r="F17" s="3" t="s">
        <v>33</v>
      </c>
      <c r="G17">
        <v>6135</v>
      </c>
      <c r="H17">
        <v>10</v>
      </c>
      <c r="I17">
        <f>IF(G17=0,0,(G17-$J$6)/$I$6)*H17</f>
        <v>1575.5183286133854</v>
      </c>
      <c r="J17">
        <f>1.51*I17/1000</f>
        <v>2.3790326762062119</v>
      </c>
      <c r="K17" s="3" t="s">
        <v>33</v>
      </c>
      <c r="L17">
        <v>3036</v>
      </c>
      <c r="M17">
        <v>10</v>
      </c>
      <c r="N17">
        <f>IF(L17=0,0,(L17-$J$6)/$I$6)*M17</f>
        <v>781.5146184418478</v>
      </c>
      <c r="O17">
        <f>1.51*N17/1000</f>
        <v>1.1800870738471902</v>
      </c>
      <c r="P17" s="3" t="s">
        <v>33</v>
      </c>
      <c r="Q17">
        <v>1850</v>
      </c>
      <c r="R17">
        <v>10</v>
      </c>
      <c r="S17">
        <f>IF(Q17=0,0,(Q17-$J$6)/$I$6)*R17</f>
        <v>477.64614465564472</v>
      </c>
      <c r="T17">
        <f>1.51*S17/1000</f>
        <v>0.72124567843002352</v>
      </c>
    </row>
    <row r="18" spans="1:20" x14ac:dyDescent="0.25">
      <c r="A18" s="3" t="s">
        <v>34</v>
      </c>
      <c r="B18">
        <v>0</v>
      </c>
      <c r="C18">
        <v>10</v>
      </c>
      <c r="D18">
        <f>IF(B18=0,0,(B18-$J$7)/$I$7)*C18</f>
        <v>0</v>
      </c>
      <c r="E18">
        <f>1.82*D18/1000</f>
        <v>0</v>
      </c>
      <c r="F18" s="3" t="s">
        <v>34</v>
      </c>
      <c r="G18">
        <v>0</v>
      </c>
      <c r="H18">
        <v>10</v>
      </c>
      <c r="I18">
        <f>IF(G18=0,0,(G18-$J$7)/$I$7)*H18</f>
        <v>0</v>
      </c>
      <c r="J18">
        <f>1.82*I18/1000</f>
        <v>0</v>
      </c>
      <c r="K18" s="3" t="s">
        <v>34</v>
      </c>
      <c r="L18">
        <v>0</v>
      </c>
      <c r="M18">
        <v>10</v>
      </c>
      <c r="N18">
        <f>IF(L18=0,0,(L18-$J$7)/$I$7)*M18</f>
        <v>0</v>
      </c>
      <c r="O18">
        <f>1.82*N18/1000</f>
        <v>0</v>
      </c>
      <c r="P18" s="3" t="s">
        <v>34</v>
      </c>
      <c r="Q18">
        <v>0</v>
      </c>
      <c r="R18">
        <v>10</v>
      </c>
      <c r="S18">
        <f>IF(Q18=0,0,(Q18-$J$7)/$I$7)*R18</f>
        <v>0</v>
      </c>
      <c r="T18">
        <f>1.82*S18/1000</f>
        <v>0</v>
      </c>
    </row>
    <row r="19" spans="1:20" x14ac:dyDescent="0.25">
      <c r="A19" s="3" t="s">
        <v>35</v>
      </c>
      <c r="B19">
        <v>2215</v>
      </c>
      <c r="C19">
        <v>10</v>
      </c>
      <c r="D19">
        <f>IF(B19=0,0,(B19-$J$8)/$I$8)*C19</f>
        <v>457.44509942122261</v>
      </c>
      <c r="E19">
        <f>1.82*D19/1000</f>
        <v>0.83255008094662519</v>
      </c>
      <c r="F19" s="3" t="s">
        <v>35</v>
      </c>
      <c r="G19">
        <v>10785</v>
      </c>
      <c r="H19">
        <v>10</v>
      </c>
      <c r="I19">
        <f>IF(G19=0,0,(G19-$J$8)/$I$8)*H19</f>
        <v>2104.2750106214171</v>
      </c>
      <c r="J19">
        <f>1.82*I19/1000</f>
        <v>3.8297805193309791</v>
      </c>
      <c r="K19" s="3" t="s">
        <v>35</v>
      </c>
      <c r="L19">
        <v>12875</v>
      </c>
      <c r="M19">
        <v>10</v>
      </c>
      <c r="N19">
        <f>IF(L19=0,0,(L19-$J$8)/$I$8)*M19</f>
        <v>2505.8939737962605</v>
      </c>
      <c r="O19">
        <f>1.82*N19/1000</f>
        <v>4.5607270323091944</v>
      </c>
      <c r="P19" s="3" t="s">
        <v>35</v>
      </c>
      <c r="Q19">
        <v>5650</v>
      </c>
      <c r="R19">
        <v>10</v>
      </c>
      <c r="S19">
        <f>IF(Q19=0,0,(Q19-$J$8)/$I$8)*R19</f>
        <v>1117.5221991846611</v>
      </c>
      <c r="T19">
        <f>1.82*S19/1000</f>
        <v>2.0338904025160831</v>
      </c>
    </row>
    <row r="20" spans="1:20" x14ac:dyDescent="0.25">
      <c r="A20" s="3" t="s">
        <v>36</v>
      </c>
      <c r="B20">
        <v>127</v>
      </c>
      <c r="C20">
        <v>10</v>
      </c>
      <c r="D20">
        <f>IF(B20=0,0,(B20-$J$9)/$I$9)*C20</f>
        <v>34.517683858866121</v>
      </c>
      <c r="E20">
        <f>2.04*D20/1000</f>
        <v>7.0416075072086887E-2</v>
      </c>
      <c r="F20" s="3" t="s">
        <v>36</v>
      </c>
      <c r="G20">
        <v>180</v>
      </c>
      <c r="H20">
        <v>10</v>
      </c>
      <c r="I20">
        <f>IF(G20=0,0,(G20-$J$9)/$I$9)*H20</f>
        <v>44.382273956673501</v>
      </c>
      <c r="J20">
        <f>2.04*I20/1000</f>
        <v>9.0539838871613931E-2</v>
      </c>
      <c r="K20" s="3" t="s">
        <v>36</v>
      </c>
      <c r="L20">
        <v>0</v>
      </c>
      <c r="M20">
        <v>10</v>
      </c>
      <c r="N20">
        <f>IF(L20=0,0,(L20-$J$9)/$I$9)*M20</f>
        <v>0</v>
      </c>
      <c r="O20">
        <f>2.04*N20/1000</f>
        <v>0</v>
      </c>
      <c r="P20" s="3" t="s">
        <v>36</v>
      </c>
      <c r="Q20">
        <v>0</v>
      </c>
      <c r="R20">
        <v>10</v>
      </c>
      <c r="S20">
        <f>IF(Q20=0,0,(Q20-$J$9)/$I$9)*R20</f>
        <v>0</v>
      </c>
      <c r="T20">
        <f>2.04*S20/1000</f>
        <v>0</v>
      </c>
    </row>
    <row r="21" spans="1:20" x14ac:dyDescent="0.25">
      <c r="A21" s="3" t="s">
        <v>37</v>
      </c>
      <c r="B21">
        <v>176</v>
      </c>
      <c r="C21">
        <v>10</v>
      </c>
      <c r="D21">
        <f>IF(B21=0,0,(B21-$J$10)/$I$10)*C21</f>
        <v>54.297806510929981</v>
      </c>
      <c r="E21">
        <f>2.04*D21/1000</f>
        <v>0.11076752528229716</v>
      </c>
      <c r="F21" s="3" t="s">
        <v>37</v>
      </c>
      <c r="G21">
        <v>255</v>
      </c>
      <c r="H21">
        <v>10</v>
      </c>
      <c r="I21">
        <f>IF(G21=0,0,(G21-$J$10)/$I$10)*H21</f>
        <v>67.889096862044482</v>
      </c>
      <c r="J21">
        <f>2.04*I21/1000</f>
        <v>0.13849375759857074</v>
      </c>
      <c r="K21" s="3" t="s">
        <v>37</v>
      </c>
      <c r="L21">
        <v>0</v>
      </c>
      <c r="M21">
        <v>10</v>
      </c>
      <c r="N21">
        <f>IF(L21=0,0,(L21-$J$10)/$I$10)*M21</f>
        <v>0</v>
      </c>
      <c r="O21">
        <f>2.04*N21/1000</f>
        <v>0</v>
      </c>
      <c r="P21" s="3" t="s">
        <v>37</v>
      </c>
      <c r="Q21">
        <v>2231</v>
      </c>
      <c r="R21">
        <v>10</v>
      </c>
      <c r="S21">
        <f>IF(Q21=0,0,(Q21-$J$10)/$I$10)*R21</f>
        <v>407.84339728992114</v>
      </c>
      <c r="T21">
        <f>2.04*S21/1000</f>
        <v>0.83200053047143907</v>
      </c>
    </row>
    <row r="22" spans="1:20" x14ac:dyDescent="0.25">
      <c r="A22" s="3" t="s">
        <v>38</v>
      </c>
      <c r="B22">
        <v>163</v>
      </c>
      <c r="C22">
        <v>10</v>
      </c>
      <c r="D22">
        <f>IF(B22=0,0,(B22-$J$11)/$I$11)*1</f>
        <v>3.1738530915624565</v>
      </c>
      <c r="E22">
        <f>2.21*D22/1000</f>
        <v>7.0142153323530286E-3</v>
      </c>
      <c r="F22" s="3" t="s">
        <v>38</v>
      </c>
      <c r="G22">
        <v>285</v>
      </c>
      <c r="H22">
        <v>10</v>
      </c>
      <c r="I22">
        <f>IF(G22=0,0,(G22-$J$11)/$I$11)*1</f>
        <v>5.2372176464188716</v>
      </c>
      <c r="J22">
        <f>2.21*I22/1000</f>
        <v>1.1574250998585707E-2</v>
      </c>
      <c r="K22" s="3" t="s">
        <v>38</v>
      </c>
      <c r="L22">
        <v>115</v>
      </c>
      <c r="M22">
        <v>10</v>
      </c>
      <c r="N22">
        <f>IF(L22=0,0,(L22-$J$11)/$I$11)*1</f>
        <v>2.3620375289959981</v>
      </c>
      <c r="O22">
        <f>2.21*N22/1000</f>
        <v>5.2201029390811556E-3</v>
      </c>
      <c r="P22" s="3" t="s">
        <v>38</v>
      </c>
      <c r="Q22">
        <v>584</v>
      </c>
      <c r="R22">
        <v>10</v>
      </c>
      <c r="S22">
        <f>IF(Q22=0,0,(Q22-$J$11)/$I$11)*1</f>
        <v>10.294152088239102</v>
      </c>
      <c r="T22">
        <f>2.21*S22/1000</f>
        <v>2.2750076115008414E-2</v>
      </c>
    </row>
    <row r="23" spans="1:20" x14ac:dyDescent="0.25">
      <c r="A23" s="3" t="s">
        <v>39</v>
      </c>
      <c r="B23">
        <v>182</v>
      </c>
      <c r="C23">
        <v>10</v>
      </c>
      <c r="D23">
        <f>IF(B23=0,0,(B23-$J$12)/$I$12)*1</f>
        <v>2.3728323713651918</v>
      </c>
      <c r="E23">
        <f>2.34*D23/1000</f>
        <v>5.5524277489945491E-3</v>
      </c>
      <c r="F23" s="3" t="s">
        <v>39</v>
      </c>
      <c r="G23">
        <v>174</v>
      </c>
      <c r="H23">
        <v>10</v>
      </c>
      <c r="I23">
        <f>IF(G23=0,0,(G23-$J$12)/$I$12)*1</f>
        <v>2.2420414535399336</v>
      </c>
      <c r="J23">
        <f>2.34*I23/1000</f>
        <v>5.2463770012834447E-3</v>
      </c>
      <c r="K23" s="3" t="s">
        <v>39</v>
      </c>
      <c r="L23">
        <v>0</v>
      </c>
      <c r="M23">
        <v>10</v>
      </c>
      <c r="N23">
        <f>IF(L23=0,0,(L23-$J$12)/$I$12)*1</f>
        <v>0</v>
      </c>
      <c r="O23">
        <f>2.34*N23/1000</f>
        <v>0</v>
      </c>
      <c r="P23" s="3" t="s">
        <v>39</v>
      </c>
      <c r="Q23">
        <v>0</v>
      </c>
      <c r="R23">
        <v>10</v>
      </c>
      <c r="S23">
        <f>IF(Q23=0,0,(Q23-$J$12)/$I$12)*1</f>
        <v>0</v>
      </c>
      <c r="T23">
        <f>2.34*S23/1000</f>
        <v>0</v>
      </c>
    </row>
    <row r="24" spans="1:20" x14ac:dyDescent="0.25">
      <c r="B24" s="3" t="s">
        <v>62</v>
      </c>
      <c r="C24" s="3"/>
      <c r="D24" s="3">
        <f>SUM(D16:D23)</f>
        <v>3577.8770369577369</v>
      </c>
      <c r="E24" s="3">
        <f>SUM(E16:E23)</f>
        <v>4.9296905520369387</v>
      </c>
      <c r="G24" s="3" t="s">
        <v>62</v>
      </c>
      <c r="H24" s="3"/>
      <c r="I24" s="3">
        <f>SUM(I16:I23)</f>
        <v>5829.2987258300927</v>
      </c>
      <c r="J24" s="3">
        <f>SUM(J16:J23)</f>
        <v>8.6265050096512219</v>
      </c>
      <c r="L24" s="3" t="s">
        <v>62</v>
      </c>
      <c r="M24" s="3"/>
      <c r="N24" s="3">
        <f>SUM(N16:N23)</f>
        <v>5257.9782931807185</v>
      </c>
      <c r="O24" s="3">
        <f>SUM(O16:O23)</f>
        <v>7.8520164089480335</v>
      </c>
      <c r="Q24" s="3" t="s">
        <v>62</v>
      </c>
      <c r="R24" s="3"/>
      <c r="S24" s="3">
        <f>SUM(S16:S23)</f>
        <v>3812.4642071363764</v>
      </c>
      <c r="T24" s="3">
        <f>SUM(T16:T23)</f>
        <v>5.5349860834247195</v>
      </c>
    </row>
    <row r="26" spans="1:20" x14ac:dyDescent="0.25">
      <c r="A26" s="15" t="s">
        <v>45</v>
      </c>
      <c r="B26" s="3" t="s">
        <v>52</v>
      </c>
      <c r="C26" s="3"/>
      <c r="F26" s="15" t="s">
        <v>45</v>
      </c>
      <c r="G26" s="3" t="s">
        <v>53</v>
      </c>
      <c r="H26" s="3"/>
      <c r="K26" s="15" t="s">
        <v>45</v>
      </c>
      <c r="L26" s="3" t="s">
        <v>54</v>
      </c>
      <c r="M26" s="3"/>
      <c r="P26" s="15" t="s">
        <v>45</v>
      </c>
      <c r="Q26" s="3" t="s">
        <v>55</v>
      </c>
      <c r="R26" s="3"/>
    </row>
    <row r="27" spans="1:20" x14ac:dyDescent="0.25">
      <c r="A27" s="15" t="s">
        <v>31</v>
      </c>
      <c r="B27" s="3" t="s">
        <v>47</v>
      </c>
      <c r="C27" s="3" t="s">
        <v>68</v>
      </c>
      <c r="D27" s="3" t="s">
        <v>48</v>
      </c>
      <c r="E27" s="3" t="s">
        <v>65</v>
      </c>
      <c r="F27" s="15" t="s">
        <v>31</v>
      </c>
      <c r="G27" s="3" t="s">
        <v>47</v>
      </c>
      <c r="H27" s="3" t="s">
        <v>68</v>
      </c>
      <c r="I27" s="3" t="s">
        <v>48</v>
      </c>
      <c r="J27" s="3" t="s">
        <v>65</v>
      </c>
      <c r="K27" s="15" t="s">
        <v>31</v>
      </c>
      <c r="L27" s="3" t="s">
        <v>47</v>
      </c>
      <c r="M27" s="3" t="s">
        <v>68</v>
      </c>
      <c r="N27" s="3" t="s">
        <v>48</v>
      </c>
      <c r="O27" s="3" t="s">
        <v>65</v>
      </c>
      <c r="P27" s="15" t="s">
        <v>31</v>
      </c>
      <c r="Q27" s="3" t="s">
        <v>47</v>
      </c>
      <c r="R27" s="3" t="s">
        <v>68</v>
      </c>
      <c r="S27" s="3" t="s">
        <v>48</v>
      </c>
      <c r="T27" s="3" t="s">
        <v>65</v>
      </c>
    </row>
    <row r="28" spans="1:20" x14ac:dyDescent="0.25">
      <c r="A28" s="3" t="s">
        <v>32</v>
      </c>
      <c r="B28">
        <v>8899</v>
      </c>
      <c r="C28">
        <v>10</v>
      </c>
      <c r="D28">
        <f>IF(B28=0,0,(B28-$J$5)/$I$5)*C28</f>
        <v>3659.9321002359197</v>
      </c>
      <c r="E28">
        <f>1.07*D28/1000</f>
        <v>3.9161273472524343</v>
      </c>
      <c r="F28" s="3" t="s">
        <v>32</v>
      </c>
      <c r="G28">
        <v>9820</v>
      </c>
      <c r="H28">
        <v>10</v>
      </c>
      <c r="I28">
        <f>IF(G28=0,0,(G28-$J$5)/$I$5)*H28</f>
        <v>4037.8312528707352</v>
      </c>
      <c r="J28">
        <f>1.07*I28/1000</f>
        <v>4.3204794405716864</v>
      </c>
      <c r="K28" s="3" t="s">
        <v>32</v>
      </c>
      <c r="L28">
        <v>8719</v>
      </c>
      <c r="M28">
        <v>10</v>
      </c>
      <c r="N28">
        <f>IF(L28=0,0,(L28-$J$5)/$I$5)*M28</f>
        <v>3586.0755883203205</v>
      </c>
      <c r="O28">
        <f>1.07*N28/1000</f>
        <v>3.8371008795027435</v>
      </c>
      <c r="P28" s="3" t="s">
        <v>32</v>
      </c>
      <c r="Q28">
        <v>8247</v>
      </c>
      <c r="R28">
        <v>10</v>
      </c>
      <c r="S28">
        <f>IF(Q28=0,0,(Q28-$J$5)/$I$5)*R28</f>
        <v>3392.4074015194169</v>
      </c>
      <c r="T28">
        <f>1.07*S28/1000</f>
        <v>3.6298759196257762</v>
      </c>
    </row>
    <row r="29" spans="1:20" x14ac:dyDescent="0.25">
      <c r="A29" s="3" t="s">
        <v>33</v>
      </c>
      <c r="B29">
        <v>11492</v>
      </c>
      <c r="C29">
        <v>10</v>
      </c>
      <c r="D29">
        <f>IF(B29=0,0,(B29-$J$6)/$I$6)*C29</f>
        <v>2948.0507182193642</v>
      </c>
      <c r="E29">
        <f>1.51*D29/1000</f>
        <v>4.4515565845112395</v>
      </c>
      <c r="F29" s="3" t="s">
        <v>33</v>
      </c>
      <c r="G29">
        <v>12814</v>
      </c>
      <c r="H29">
        <v>10</v>
      </c>
      <c r="I29">
        <f>IF(G29=0,0,(G29-$J$6)/$I$6)*H29</f>
        <v>3286.7641434684033</v>
      </c>
      <c r="J29">
        <f>1.51*I29/1000</f>
        <v>4.9630138566372892</v>
      </c>
      <c r="K29" s="3" t="s">
        <v>33</v>
      </c>
      <c r="L29">
        <v>8356</v>
      </c>
      <c r="M29">
        <v>10</v>
      </c>
      <c r="N29">
        <f>IF(L29=0,0,(L29-$J$6)/$I$6)*M29</f>
        <v>2144.5671315469076</v>
      </c>
      <c r="O29">
        <f>1.51*N29/1000</f>
        <v>3.2382963686358304</v>
      </c>
      <c r="P29" s="3" t="s">
        <v>33</v>
      </c>
      <c r="Q29">
        <v>8410</v>
      </c>
      <c r="R29">
        <v>10</v>
      </c>
      <c r="S29">
        <f>IF(Q29=0,0,(Q29-$J$6)/$I$6)*R29</f>
        <v>2158.4026269806809</v>
      </c>
      <c r="T29">
        <f>1.51*S29/1000</f>
        <v>3.2591879667408286</v>
      </c>
    </row>
    <row r="30" spans="1:20" x14ac:dyDescent="0.25">
      <c r="A30" s="3" t="s">
        <v>34</v>
      </c>
      <c r="B30">
        <v>384</v>
      </c>
      <c r="C30">
        <v>10</v>
      </c>
      <c r="D30">
        <f>IF(B30=0,0,(B30-$J$7)/$I$7)*C30</f>
        <v>109.96062694098647</v>
      </c>
      <c r="E30">
        <f>1.82*D30/1000</f>
        <v>0.20012834103259539</v>
      </c>
      <c r="F30" s="3" t="s">
        <v>34</v>
      </c>
      <c r="G30">
        <v>434</v>
      </c>
      <c r="H30">
        <v>10</v>
      </c>
      <c r="I30">
        <f>IF(G30=0,0,(G30-$J$7)/$I$7)*H30</f>
        <v>120.69067374470613</v>
      </c>
      <c r="J30">
        <f>1.82*I30/1000</f>
        <v>0.21965702621536518</v>
      </c>
      <c r="K30" s="3" t="s">
        <v>34</v>
      </c>
      <c r="L30">
        <v>313</v>
      </c>
      <c r="M30">
        <v>10</v>
      </c>
      <c r="N30">
        <f>IF(L30=0,0,(L30-$J$7)/$I$7)*M30</f>
        <v>94.723960479704573</v>
      </c>
      <c r="O30">
        <f>1.82*N30/1000</f>
        <v>0.17239760807306231</v>
      </c>
      <c r="P30" s="3" t="s">
        <v>34</v>
      </c>
      <c r="Q30">
        <v>205</v>
      </c>
      <c r="R30">
        <v>10</v>
      </c>
      <c r="S30">
        <f>IF(Q30=0,0,(Q30-$J$7)/$I$7)*R30</f>
        <v>71.547059383670131</v>
      </c>
      <c r="T30">
        <f>1.82*S30/1000</f>
        <v>0.13021564807827965</v>
      </c>
    </row>
    <row r="31" spans="1:20" x14ac:dyDescent="0.25">
      <c r="A31" s="3" t="s">
        <v>35</v>
      </c>
      <c r="B31">
        <v>6071</v>
      </c>
      <c r="C31">
        <v>10</v>
      </c>
      <c r="D31">
        <f>IF(B31=0,0,(B31-$J$8)/$I$8)*C31</f>
        <v>1198.4224783696416</v>
      </c>
      <c r="E31">
        <f>1.82*D31/1000</f>
        <v>2.1811289106327476</v>
      </c>
      <c r="F31" s="3" t="s">
        <v>35</v>
      </c>
      <c r="G31">
        <v>5099</v>
      </c>
      <c r="H31">
        <v>10</v>
      </c>
      <c r="I31">
        <f>IF(G31=0,0,(G31-$J$8)/$I$8)*H31</f>
        <v>1011.6408361658388</v>
      </c>
      <c r="J31">
        <f>1.82*I31/1000</f>
        <v>1.8411863218218265</v>
      </c>
      <c r="K31" s="3" t="s">
        <v>35</v>
      </c>
      <c r="L31">
        <v>2357</v>
      </c>
      <c r="M31">
        <v>10</v>
      </c>
      <c r="N31">
        <f>IF(L31=0,0,(L31-$J$8)/$I$8)*M31</f>
        <v>484.73212945511148</v>
      </c>
      <c r="O31">
        <f>1.82*N31/1000</f>
        <v>0.88221247560830296</v>
      </c>
      <c r="P31" s="3" t="s">
        <v>35</v>
      </c>
      <c r="Q31">
        <v>2084</v>
      </c>
      <c r="R31">
        <v>10</v>
      </c>
      <c r="S31">
        <f>IF(Q31=0,0,(Q31-$J$8)/$I$8)*R31</f>
        <v>432.27185340404344</v>
      </c>
      <c r="T31">
        <f>1.82*S31/1000</f>
        <v>0.78673477319535912</v>
      </c>
    </row>
    <row r="32" spans="1:20" x14ac:dyDescent="0.25">
      <c r="A32" s="3" t="s">
        <v>36</v>
      </c>
      <c r="B32">
        <v>915</v>
      </c>
      <c r="C32">
        <v>10</v>
      </c>
      <c r="D32">
        <f>IF(B32=0,0,(B32-$J$9)/$I$9)*C32</f>
        <v>181.18366493570022</v>
      </c>
      <c r="E32">
        <f>2.04*D32/1000</f>
        <v>0.36961467646882845</v>
      </c>
      <c r="F32" s="3" t="s">
        <v>36</v>
      </c>
      <c r="G32">
        <v>932</v>
      </c>
      <c r="H32">
        <v>10</v>
      </c>
      <c r="I32">
        <f>IF(G32=0,0,(G32-$J$9)/$I$9)*H32</f>
        <v>184.3477787406573</v>
      </c>
      <c r="J32">
        <f>2.04*I32/1000</f>
        <v>0.37606946863094087</v>
      </c>
      <c r="K32" s="3" t="s">
        <v>36</v>
      </c>
      <c r="L32">
        <v>661</v>
      </c>
      <c r="M32">
        <v>10</v>
      </c>
      <c r="N32">
        <f>IF(L32=0,0,(L32-$J$9)/$I$9)*M32</f>
        <v>133.90808220281207</v>
      </c>
      <c r="O32">
        <f>2.04*N32/1000</f>
        <v>0.27317248769373664</v>
      </c>
      <c r="P32" s="3" t="s">
        <v>36</v>
      </c>
      <c r="Q32">
        <v>356</v>
      </c>
      <c r="R32">
        <v>10</v>
      </c>
      <c r="S32">
        <f>IF(Q32=0,0,(Q32-$J$9)/$I$9)*R32</f>
        <v>77.14015805505268</v>
      </c>
      <c r="T32">
        <f>2.04*S32/1000</f>
        <v>0.15736592243230746</v>
      </c>
    </row>
    <row r="33" spans="1:20" x14ac:dyDescent="0.25">
      <c r="A33" s="3" t="s">
        <v>37</v>
      </c>
      <c r="B33">
        <v>204</v>
      </c>
      <c r="C33">
        <v>10</v>
      </c>
      <c r="D33">
        <f>IF(B33=0,0,(B33-$J$10)/$I$10)*C33</f>
        <v>59.114972711324995</v>
      </c>
      <c r="E33">
        <f>2.04*D33/1000</f>
        <v>0.12059454433110299</v>
      </c>
      <c r="F33" s="3" t="s">
        <v>37</v>
      </c>
      <c r="G33">
        <v>126</v>
      </c>
      <c r="H33">
        <v>10</v>
      </c>
      <c r="I33">
        <f>IF(G33=0,0,(G33-$J$10)/$I$10)*H33</f>
        <v>45.695724010224609</v>
      </c>
      <c r="J33">
        <f>2.04*I33/1000</f>
        <v>9.3219276980858204E-2</v>
      </c>
      <c r="K33" s="3" t="s">
        <v>37</v>
      </c>
      <c r="L33">
        <v>1618</v>
      </c>
      <c r="M33">
        <v>10</v>
      </c>
      <c r="N33">
        <f>IF(L33=0,0,(L33-$J$10)/$I$10)*M33</f>
        <v>302.38186583127322</v>
      </c>
      <c r="O33">
        <f>2.04*N33/1000</f>
        <v>0.61685900629579737</v>
      </c>
      <c r="P33" s="3" t="s">
        <v>37</v>
      </c>
      <c r="Q33">
        <v>945</v>
      </c>
      <c r="R33">
        <v>10</v>
      </c>
      <c r="S33">
        <f>IF(Q33=0,0,(Q33-$J$10)/$I$10)*R33</f>
        <v>186.59783537177876</v>
      </c>
      <c r="T33">
        <f>2.04*S33/1000</f>
        <v>0.38065958415842871</v>
      </c>
    </row>
    <row r="34" spans="1:20" x14ac:dyDescent="0.25">
      <c r="A34" s="3" t="s">
        <v>38</v>
      </c>
      <c r="B34">
        <v>0</v>
      </c>
      <c r="C34">
        <v>10</v>
      </c>
      <c r="D34">
        <f>IF(B34=0,0,(B34-$J$11)/$I$11)*1</f>
        <v>0</v>
      </c>
      <c r="E34">
        <f>2.21*D34/1000</f>
        <v>0</v>
      </c>
      <c r="F34" s="3" t="s">
        <v>38</v>
      </c>
      <c r="G34">
        <v>0</v>
      </c>
      <c r="H34">
        <v>10</v>
      </c>
      <c r="I34">
        <f>IF(G34=0,0,(G34-$J$11)/$I$11)*1</f>
        <v>0</v>
      </c>
      <c r="J34">
        <f>2.21*I34/1000</f>
        <v>0</v>
      </c>
      <c r="K34" s="3" t="s">
        <v>38</v>
      </c>
      <c r="L34">
        <v>233</v>
      </c>
      <c r="M34">
        <v>10</v>
      </c>
      <c r="N34">
        <f>IF(L34=0,0,(L34-$J$11)/$I$11)*1</f>
        <v>4.3577507869718746</v>
      </c>
      <c r="O34">
        <f>2.21*N34/1000</f>
        <v>9.6306292392078427E-3</v>
      </c>
      <c r="P34" s="3" t="s">
        <v>38</v>
      </c>
      <c r="Q34">
        <v>313</v>
      </c>
      <c r="R34">
        <v>10</v>
      </c>
      <c r="S34">
        <f>IF(Q34=0,0,(Q34-$J$11)/$I$11)*1</f>
        <v>5.7107767245826384</v>
      </c>
      <c r="T34">
        <f>2.21*S34/1000</f>
        <v>1.2620816561327632E-2</v>
      </c>
    </row>
    <row r="35" spans="1:20" x14ac:dyDescent="0.25">
      <c r="A35" s="3" t="s">
        <v>39</v>
      </c>
      <c r="B35">
        <v>0</v>
      </c>
      <c r="C35">
        <v>10</v>
      </c>
      <c r="D35">
        <f>IF(B35=0,0,(B35-$J$12)/$I$12)*1</f>
        <v>0</v>
      </c>
      <c r="E35">
        <f>2.34*D35/1000</f>
        <v>0</v>
      </c>
      <c r="F35" s="3" t="s">
        <v>39</v>
      </c>
      <c r="G35">
        <v>0</v>
      </c>
      <c r="H35">
        <v>10</v>
      </c>
      <c r="I35">
        <f>IF(G35=0,0,(G35-$J$12)/$I$12)*1</f>
        <v>0</v>
      </c>
      <c r="J35">
        <f>2.34*I35/1000</f>
        <v>0</v>
      </c>
      <c r="K35" s="3" t="s">
        <v>39</v>
      </c>
      <c r="L35">
        <v>137</v>
      </c>
      <c r="M35">
        <v>10</v>
      </c>
      <c r="N35">
        <f>IF(L35=0,0,(L35-$J$12)/$I$12)*1</f>
        <v>1.6371334585981132</v>
      </c>
      <c r="O35">
        <f>2.34*N35/1000</f>
        <v>3.8308922931195844E-3</v>
      </c>
      <c r="P35" s="3" t="s">
        <v>39</v>
      </c>
      <c r="Q35">
        <v>0</v>
      </c>
      <c r="R35">
        <v>10</v>
      </c>
      <c r="S35">
        <f>IF(Q35=0,0,(Q35-$J$12)/$I$12)*1</f>
        <v>0</v>
      </c>
      <c r="T35">
        <f>2.34*S35/1000</f>
        <v>0</v>
      </c>
    </row>
    <row r="36" spans="1:20" x14ac:dyDescent="0.25">
      <c r="B36" s="3" t="s">
        <v>62</v>
      </c>
      <c r="C36" s="3"/>
      <c r="D36" s="3">
        <f>SUM(D28:D35)</f>
        <v>8156.6645614129384</v>
      </c>
      <c r="E36" s="3">
        <f>SUM(E28:E35)</f>
        <v>11.239150404228948</v>
      </c>
      <c r="G36" s="3" t="s">
        <v>62</v>
      </c>
      <c r="H36" s="3"/>
      <c r="I36" s="3">
        <f>SUM(I28:I35)</f>
        <v>8686.9704090005653</v>
      </c>
      <c r="J36" s="3">
        <f>SUM(J28:J35)</f>
        <v>11.813625390857968</v>
      </c>
      <c r="L36" s="3" t="s">
        <v>62</v>
      </c>
      <c r="M36" s="3"/>
      <c r="N36" s="3">
        <f>SUM(N28:N35)</f>
        <v>6752.3836420816988</v>
      </c>
      <c r="O36" s="3">
        <f>SUM(O28:O35)</f>
        <v>9.0335003473418016</v>
      </c>
      <c r="Q36" s="3" t="s">
        <v>62</v>
      </c>
      <c r="R36" s="3"/>
      <c r="S36" s="3">
        <f>SUM(S28:S35)</f>
        <v>6324.0777114392258</v>
      </c>
      <c r="T36" s="3">
        <f>SUM(T28:T35)</f>
        <v>8.356660630792307</v>
      </c>
    </row>
    <row r="38" spans="1:20" x14ac:dyDescent="0.25">
      <c r="A38" s="15" t="s">
        <v>45</v>
      </c>
      <c r="B38" s="3" t="s">
        <v>56</v>
      </c>
      <c r="C38" s="3"/>
      <c r="F38" s="15" t="s">
        <v>45</v>
      </c>
      <c r="G38" s="3" t="s">
        <v>57</v>
      </c>
      <c r="H38" s="3"/>
      <c r="K38" s="15" t="s">
        <v>45</v>
      </c>
      <c r="L38" s="3" t="s">
        <v>58</v>
      </c>
      <c r="M38" s="3"/>
      <c r="P38" s="15" t="s">
        <v>45</v>
      </c>
      <c r="Q38" s="3" t="s">
        <v>59</v>
      </c>
      <c r="R38" s="3"/>
    </row>
    <row r="39" spans="1:20" x14ac:dyDescent="0.25">
      <c r="A39" s="15" t="s">
        <v>31</v>
      </c>
      <c r="B39" s="3" t="s">
        <v>47</v>
      </c>
      <c r="C39" s="3" t="s">
        <v>68</v>
      </c>
      <c r="D39" s="3" t="s">
        <v>48</v>
      </c>
      <c r="E39" s="3" t="s">
        <v>65</v>
      </c>
      <c r="F39" s="15" t="s">
        <v>31</v>
      </c>
      <c r="G39" s="3" t="s">
        <v>47</v>
      </c>
      <c r="H39" s="3" t="s">
        <v>68</v>
      </c>
      <c r="I39" s="3" t="s">
        <v>48</v>
      </c>
      <c r="J39" s="3" t="s">
        <v>65</v>
      </c>
      <c r="K39" s="15" t="s">
        <v>31</v>
      </c>
      <c r="L39" s="3" t="s">
        <v>47</v>
      </c>
      <c r="M39" s="3" t="s">
        <v>68</v>
      </c>
      <c r="N39" s="3" t="s">
        <v>48</v>
      </c>
      <c r="O39" s="3" t="s">
        <v>65</v>
      </c>
      <c r="P39" s="15" t="s">
        <v>31</v>
      </c>
      <c r="Q39" s="3" t="s">
        <v>47</v>
      </c>
      <c r="R39" s="3" t="s">
        <v>68</v>
      </c>
      <c r="S39" s="3" t="s">
        <v>48</v>
      </c>
      <c r="T39" s="3" t="s">
        <v>65</v>
      </c>
    </row>
    <row r="40" spans="1:20" x14ac:dyDescent="0.25">
      <c r="A40" s="3" t="s">
        <v>32</v>
      </c>
      <c r="B40">
        <v>10352</v>
      </c>
      <c r="C40">
        <v>10</v>
      </c>
      <c r="D40">
        <f>IF(B40=0,0,(B40-$J$5)/$I$5)*C40</f>
        <v>4256.1182769768393</v>
      </c>
      <c r="E40">
        <f>1.07*D40/1000</f>
        <v>4.5540465563652184</v>
      </c>
      <c r="F40" s="3" t="s">
        <v>32</v>
      </c>
      <c r="G40">
        <v>11124</v>
      </c>
      <c r="H40">
        <v>10</v>
      </c>
      <c r="I40">
        <f>IF(G40=0,0,(G40-$J$5)/$I$5)*H40</f>
        <v>4572.8806503037413</v>
      </c>
      <c r="J40">
        <f>1.07*I40/1000</f>
        <v>4.8929822958250035</v>
      </c>
      <c r="K40" s="3" t="s">
        <v>32</v>
      </c>
      <c r="L40">
        <v>6907</v>
      </c>
      <c r="M40">
        <v>10</v>
      </c>
      <c r="N40">
        <f>IF(L40=0,0,(L40-$J$5)/$I$5)*M40</f>
        <v>2842.5867017032901</v>
      </c>
      <c r="O40">
        <f>1.07*N40/1000</f>
        <v>3.0415677708225206</v>
      </c>
      <c r="P40" s="3" t="s">
        <v>32</v>
      </c>
      <c r="Q40">
        <v>8414</v>
      </c>
      <c r="R40">
        <v>10</v>
      </c>
      <c r="S40">
        <f>IF(Q40=0,0,(Q40-$J$5)/$I$5)*R40</f>
        <v>3460.9298320188891</v>
      </c>
      <c r="T40">
        <f>1.07*S40/1000</f>
        <v>3.7031949202602115</v>
      </c>
    </row>
    <row r="41" spans="1:20" x14ac:dyDescent="0.25">
      <c r="A41" s="3" t="s">
        <v>33</v>
      </c>
      <c r="B41">
        <v>9238</v>
      </c>
      <c r="C41">
        <v>10</v>
      </c>
      <c r="D41">
        <f>IF(B41=0,0,(B41-$J$6)/$I$6)*C41</f>
        <v>2370.5468902985358</v>
      </c>
      <c r="E41">
        <f>1.51*D41/1000</f>
        <v>3.5795258043507894</v>
      </c>
      <c r="F41" s="3" t="s">
        <v>33</v>
      </c>
      <c r="G41">
        <v>10293</v>
      </c>
      <c r="H41">
        <v>10</v>
      </c>
      <c r="I41">
        <f>IF(G41=0,0,(G41-$J$6)/$I$6)*H41</f>
        <v>2640.8514770139186</v>
      </c>
      <c r="J41">
        <f>1.51*I41/1000</f>
        <v>3.9876857302910169</v>
      </c>
      <c r="K41" s="3" t="s">
        <v>33</v>
      </c>
      <c r="L41">
        <v>7354</v>
      </c>
      <c r="M41">
        <v>10</v>
      </c>
      <c r="N41">
        <f>IF(L41=0,0,(L41-$J$6)/$I$6)*M41</f>
        <v>1887.8418273868945</v>
      </c>
      <c r="O41">
        <f>1.51*N41/1000</f>
        <v>2.8506411593542107</v>
      </c>
      <c r="P41" s="3" t="s">
        <v>33</v>
      </c>
      <c r="Q41">
        <v>9061</v>
      </c>
      <c r="R41">
        <v>10</v>
      </c>
      <c r="S41">
        <f>IF(Q41=0,0,(Q41-$J$6)/$I$6)*R41</f>
        <v>2325.1972108211685</v>
      </c>
      <c r="T41">
        <f>1.51*S41/1000</f>
        <v>3.5110477883399644</v>
      </c>
    </row>
    <row r="42" spans="1:20" x14ac:dyDescent="0.25">
      <c r="A42" s="3" t="s">
        <v>34</v>
      </c>
      <c r="B42">
        <v>465</v>
      </c>
      <c r="C42">
        <v>10</v>
      </c>
      <c r="D42">
        <f>IF(B42=0,0,(B42-$J$7)/$I$7)*C42</f>
        <v>127.3433027630123</v>
      </c>
      <c r="E42">
        <f>1.82*D42/1000</f>
        <v>0.2317648110286824</v>
      </c>
      <c r="F42" s="3" t="s">
        <v>34</v>
      </c>
      <c r="G42">
        <v>492</v>
      </c>
      <c r="H42">
        <v>10</v>
      </c>
      <c r="I42">
        <f>IF(G42=0,0,(G42-$J$7)/$I$7)*H42</f>
        <v>133.13752803702093</v>
      </c>
      <c r="J42">
        <f>1.82*I42/1000</f>
        <v>0.24231030102737811</v>
      </c>
      <c r="K42" s="3" t="s">
        <v>34</v>
      </c>
      <c r="L42">
        <v>179</v>
      </c>
      <c r="M42">
        <v>10</v>
      </c>
      <c r="N42">
        <f>IF(L42=0,0,(L42-$J$7)/$I$7)*M42</f>
        <v>65.967435045735911</v>
      </c>
      <c r="O42">
        <f>1.82*N42/1000</f>
        <v>0.12006073178323937</v>
      </c>
      <c r="P42" s="3" t="s">
        <v>34</v>
      </c>
      <c r="Q42">
        <v>251</v>
      </c>
      <c r="R42">
        <v>10</v>
      </c>
      <c r="S42">
        <f>IF(Q42=0,0,(Q42-$J$7)/$I$7)*R42</f>
        <v>81.418702443092201</v>
      </c>
      <c r="T42">
        <f>1.82*S42/1000</f>
        <v>0.1481820384464278</v>
      </c>
    </row>
    <row r="43" spans="1:20" x14ac:dyDescent="0.25">
      <c r="A43" s="3" t="s">
        <v>35</v>
      </c>
      <c r="B43">
        <v>3322</v>
      </c>
      <c r="C43">
        <v>10</v>
      </c>
      <c r="D43">
        <f>IF(B43=0,0,(B43-$J$8)/$I$8)*C43</f>
        <v>670.16863637555343</v>
      </c>
      <c r="E43">
        <f>1.82*D43/1000</f>
        <v>1.2197069182035072</v>
      </c>
      <c r="F43" s="3" t="s">
        <v>35</v>
      </c>
      <c r="G43">
        <v>3305</v>
      </c>
      <c r="H43">
        <v>10</v>
      </c>
      <c r="I43">
        <f>IF(G43=0,0,(G43-$J$8)/$I$8)*H43</f>
        <v>666.90187925882026</v>
      </c>
      <c r="J43">
        <f>1.82*I43/1000</f>
        <v>1.2137614202510529</v>
      </c>
      <c r="K43" s="3" t="s">
        <v>35</v>
      </c>
      <c r="L43">
        <v>4364</v>
      </c>
      <c r="M43">
        <v>10</v>
      </c>
      <c r="N43">
        <f>IF(L43=0,0,(L43-$J$8)/$I$8)*M43</f>
        <v>870.4016314129633</v>
      </c>
      <c r="O43">
        <f>1.82*N43/1000</f>
        <v>1.5841309691715932</v>
      </c>
      <c r="P43" s="3" t="s">
        <v>35</v>
      </c>
      <c r="Q43">
        <v>2816</v>
      </c>
      <c r="R43">
        <v>10</v>
      </c>
      <c r="S43">
        <f>IF(Q43=0,0,(Q43-$J$8)/$I$8)*R43</f>
        <v>572.93457160690718</v>
      </c>
      <c r="T43">
        <f>1.82*S43/1000</f>
        <v>1.042740920324571</v>
      </c>
    </row>
    <row r="44" spans="1:20" x14ac:dyDescent="0.25">
      <c r="A44" s="3" t="s">
        <v>36</v>
      </c>
      <c r="B44">
        <v>1169</v>
      </c>
      <c r="C44">
        <v>10</v>
      </c>
      <c r="D44">
        <f>IF(B44=0,0,(B44-$J$9)/$I$9)*C44</f>
        <v>228.45924766858838</v>
      </c>
      <c r="E44">
        <f>2.04*D44/1000</f>
        <v>0.46605686524392032</v>
      </c>
      <c r="F44" s="3" t="s">
        <v>36</v>
      </c>
      <c r="G44">
        <v>1111</v>
      </c>
      <c r="H44">
        <v>10</v>
      </c>
      <c r="I44">
        <f>IF(G44=0,0,(G44-$J$9)/$I$9)*H44</f>
        <v>217.66403586344069</v>
      </c>
      <c r="J44">
        <f>2.04*I44/1000</f>
        <v>0.44403463316141906</v>
      </c>
      <c r="K44" s="3" t="s">
        <v>36</v>
      </c>
      <c r="L44">
        <v>494</v>
      </c>
      <c r="M44">
        <v>10</v>
      </c>
      <c r="N44">
        <f>IF(L44=0,0,(L44-$J$9)/$I$9)*M44</f>
        <v>102.82531717764545</v>
      </c>
      <c r="O44">
        <f>2.04*N44/1000</f>
        <v>0.20976364704239672</v>
      </c>
      <c r="P44" s="3" t="s">
        <v>36</v>
      </c>
      <c r="Q44">
        <v>572</v>
      </c>
      <c r="R44">
        <v>10</v>
      </c>
      <c r="S44">
        <f>IF(Q44=0,0,(Q44-$J$9)/$I$9)*R44</f>
        <v>117.34301581215442</v>
      </c>
      <c r="T44">
        <f>2.04*S44/1000</f>
        <v>0.23937975225679503</v>
      </c>
    </row>
    <row r="45" spans="1:20" x14ac:dyDescent="0.25">
      <c r="A45" s="3" t="s">
        <v>37</v>
      </c>
      <c r="B45">
        <v>0</v>
      </c>
      <c r="C45">
        <v>10</v>
      </c>
      <c r="D45">
        <f>IF(B45=0,0,(B45-$J$10)/$I$10)*C45</f>
        <v>0</v>
      </c>
      <c r="E45">
        <f>2.04*D45/1000</f>
        <v>0</v>
      </c>
      <c r="F45" s="3" t="s">
        <v>37</v>
      </c>
      <c r="G45">
        <v>162</v>
      </c>
      <c r="H45">
        <v>10</v>
      </c>
      <c r="I45">
        <f>IF(G45=0,0,(G45-$J$10)/$I$10)*H45</f>
        <v>51.889223410732477</v>
      </c>
      <c r="J45">
        <f>2.04*I45/1000</f>
        <v>0.10585401575789426</v>
      </c>
      <c r="K45" s="3" t="s">
        <v>37</v>
      </c>
      <c r="L45">
        <v>605</v>
      </c>
      <c r="M45">
        <v>10</v>
      </c>
      <c r="N45">
        <f>IF(L45=0,0,(L45-$J$10)/$I$10)*M45</f>
        <v>128.10367436698215</v>
      </c>
      <c r="O45">
        <f>2.04*N45/1000</f>
        <v>0.26133149570864356</v>
      </c>
      <c r="P45" s="3" t="s">
        <v>37</v>
      </c>
      <c r="Q45">
        <v>820</v>
      </c>
      <c r="R45">
        <v>10</v>
      </c>
      <c r="S45">
        <f>IF(Q45=0,0,(Q45-$J$10)/$I$10)*R45</f>
        <v>165.09262912001529</v>
      </c>
      <c r="T45">
        <f>2.04*S45/1000</f>
        <v>0.33678896340483117</v>
      </c>
    </row>
    <row r="46" spans="1:20" x14ac:dyDescent="0.25">
      <c r="A46" s="3" t="s">
        <v>38</v>
      </c>
      <c r="B46">
        <v>0</v>
      </c>
      <c r="C46">
        <v>10</v>
      </c>
      <c r="D46">
        <f>IF(B46=0,0,(B46-$J$11)/$I$11)*1</f>
        <v>0</v>
      </c>
      <c r="E46">
        <f>2.21*D46/1000</f>
        <v>0</v>
      </c>
      <c r="F46" s="3" t="s">
        <v>38</v>
      </c>
      <c r="G46">
        <v>0</v>
      </c>
      <c r="H46">
        <v>10</v>
      </c>
      <c r="I46">
        <f>IF(G46=0,0,(G46-$J$11)/$I$11)*1</f>
        <v>0</v>
      </c>
      <c r="J46">
        <f>2.21*I46/1000</f>
        <v>0</v>
      </c>
      <c r="K46" s="3" t="s">
        <v>38</v>
      </c>
      <c r="L46">
        <v>236</v>
      </c>
      <c r="M46">
        <v>10</v>
      </c>
      <c r="N46">
        <f>IF(L46=0,0,(L46-$J$11)/$I$11)*1</f>
        <v>4.4084892596322787</v>
      </c>
      <c r="O46">
        <f>2.21*N46/1000</f>
        <v>9.7427612637873348E-3</v>
      </c>
      <c r="P46" s="3" t="s">
        <v>38</v>
      </c>
      <c r="Q46">
        <v>190</v>
      </c>
      <c r="R46">
        <v>10</v>
      </c>
      <c r="S46">
        <f>IF(Q46=0,0,(Q46-$J$11)/$I$11)*1</f>
        <v>3.6304993455060894</v>
      </c>
      <c r="T46">
        <f>2.21*S46/1000</f>
        <v>8.0234035535684568E-3</v>
      </c>
    </row>
    <row r="47" spans="1:20" x14ac:dyDescent="0.25">
      <c r="A47" s="3" t="s">
        <v>39</v>
      </c>
      <c r="B47">
        <v>0</v>
      </c>
      <c r="C47">
        <v>10</v>
      </c>
      <c r="D47">
        <f>IF(B47=0,0,(B47-$J$12)/$I$12)*1</f>
        <v>0</v>
      </c>
      <c r="E47">
        <f>2.34*D47/1000</f>
        <v>0</v>
      </c>
      <c r="F47" s="3" t="s">
        <v>39</v>
      </c>
      <c r="G47">
        <v>0</v>
      </c>
      <c r="H47">
        <v>10</v>
      </c>
      <c r="I47">
        <f>IF(G47=0,0,(G47-$J$12)/$I$12)*1</f>
        <v>0</v>
      </c>
      <c r="J47">
        <f>2.34*I47/1000</f>
        <v>0</v>
      </c>
      <c r="K47" s="3" t="s">
        <v>39</v>
      </c>
      <c r="L47">
        <v>0</v>
      </c>
      <c r="M47">
        <v>10</v>
      </c>
      <c r="N47">
        <f>IF(L47=0,0,(L47-$J$12)/$I$12)*1</f>
        <v>0</v>
      </c>
      <c r="O47">
        <f>2.34*N47/1000</f>
        <v>0</v>
      </c>
      <c r="P47" s="3" t="s">
        <v>39</v>
      </c>
      <c r="Q47">
        <v>0</v>
      </c>
      <c r="R47">
        <v>10</v>
      </c>
      <c r="S47">
        <f>IF(Q47=0,0,(Q47-$J$12)/$I$12)*1</f>
        <v>0</v>
      </c>
      <c r="T47">
        <f>2.34*S47/1000</f>
        <v>0</v>
      </c>
    </row>
    <row r="48" spans="1:20" x14ac:dyDescent="0.25">
      <c r="A48" s="3"/>
      <c r="B48" s="3" t="s">
        <v>62</v>
      </c>
      <c r="C48" s="3"/>
      <c r="D48" s="3">
        <f>SUM(D40:D47)</f>
        <v>7652.6363540825296</v>
      </c>
      <c r="E48" s="3">
        <f>SUM(E40:E47)</f>
        <v>10.051100955192117</v>
      </c>
      <c r="F48" s="3"/>
      <c r="G48" s="3" t="s">
        <v>62</v>
      </c>
      <c r="H48" s="3"/>
      <c r="I48" s="3">
        <f>SUM(I40:I47)</f>
        <v>8283.3247938876739</v>
      </c>
      <c r="J48" s="3">
        <f>SUM(J40:J47)</f>
        <v>10.886628396313764</v>
      </c>
      <c r="K48" s="3"/>
      <c r="L48" s="3" t="s">
        <v>62</v>
      </c>
      <c r="M48" s="3"/>
      <c r="N48" s="3">
        <f>SUM(N40:N47)</f>
        <v>5902.1350763531427</v>
      </c>
      <c r="O48" s="3">
        <f>SUM(O40:O47)</f>
        <v>8.0772385351463925</v>
      </c>
      <c r="P48" s="3"/>
      <c r="Q48" s="3" t="s">
        <v>62</v>
      </c>
      <c r="R48" s="3"/>
      <c r="S48" s="3">
        <f>SUM(S40:S47)</f>
        <v>6726.5464611677326</v>
      </c>
      <c r="T48" s="3">
        <f>SUM(T40:T47)</f>
        <v>8.9893577865863712</v>
      </c>
    </row>
    <row r="50" spans="1:13" x14ac:dyDescent="0.25">
      <c r="A50" s="15" t="s">
        <v>45</v>
      </c>
      <c r="B50" s="3" t="s">
        <v>60</v>
      </c>
      <c r="C50" s="3"/>
      <c r="F50" s="15" t="s">
        <v>45</v>
      </c>
      <c r="G50" s="3" t="s">
        <v>61</v>
      </c>
      <c r="H50" s="3"/>
      <c r="M50" s="3"/>
    </row>
    <row r="51" spans="1:13" x14ac:dyDescent="0.25">
      <c r="A51" s="15" t="s">
        <v>31</v>
      </c>
      <c r="B51" s="3" t="s">
        <v>47</v>
      </c>
      <c r="C51" s="3" t="s">
        <v>68</v>
      </c>
      <c r="D51" s="3" t="s">
        <v>48</v>
      </c>
      <c r="E51" s="3" t="s">
        <v>65</v>
      </c>
      <c r="F51" s="15" t="s">
        <v>31</v>
      </c>
      <c r="G51" s="3" t="s">
        <v>47</v>
      </c>
      <c r="H51" s="3" t="s">
        <v>68</v>
      </c>
      <c r="I51" s="3" t="s">
        <v>48</v>
      </c>
      <c r="J51" s="3" t="s">
        <v>65</v>
      </c>
      <c r="M51" s="3"/>
    </row>
    <row r="52" spans="1:13" x14ac:dyDescent="0.25">
      <c r="A52" s="3" t="s">
        <v>32</v>
      </c>
      <c r="B52">
        <v>3630</v>
      </c>
      <c r="C52">
        <v>10</v>
      </c>
      <c r="D52">
        <f>IF(B52=0,0,(B52-$J$5)/$I$5)*C52</f>
        <v>1497.9878708843012</v>
      </c>
      <c r="E52">
        <f>1.07*D52/1000</f>
        <v>1.6028470218462023</v>
      </c>
      <c r="F52" s="3" t="s">
        <v>32</v>
      </c>
      <c r="G52">
        <v>3202</v>
      </c>
      <c r="H52">
        <v>10</v>
      </c>
      <c r="I52">
        <f>IF(G52=0,0,(G52-$J$5)/$I$5)*H52</f>
        <v>1322.3734981072103</v>
      </c>
      <c r="J52">
        <f>1.07*I52/1000</f>
        <v>1.414939642974715</v>
      </c>
    </row>
    <row r="53" spans="1:13" x14ac:dyDescent="0.25">
      <c r="A53" s="3" t="s">
        <v>33</v>
      </c>
      <c r="B53">
        <v>922</v>
      </c>
      <c r="C53">
        <v>10</v>
      </c>
      <c r="D53">
        <f>IF(B53=0,0,(B53-$J$6)/$I$6)*C53</f>
        <v>239.88059349746891</v>
      </c>
      <c r="E53">
        <f>1.51*D53/1000</f>
        <v>0.36221969618117805</v>
      </c>
      <c r="F53" s="3" t="s">
        <v>33</v>
      </c>
      <c r="G53">
        <v>1342</v>
      </c>
      <c r="H53">
        <v>10</v>
      </c>
      <c r="I53">
        <f>IF(G53=0,0,(G53-$J$6)/$I$6)*H53</f>
        <v>347.49000242681569</v>
      </c>
      <c r="J53">
        <f>1.51*I53/1000</f>
        <v>0.52470990366449166</v>
      </c>
    </row>
    <row r="54" spans="1:13" x14ac:dyDescent="0.25">
      <c r="A54" s="3" t="s">
        <v>34</v>
      </c>
      <c r="B54">
        <v>0</v>
      </c>
      <c r="C54">
        <v>10</v>
      </c>
      <c r="D54">
        <f>IF(B54=0,0,(B54-$J$7)/$I$7)*C54</f>
        <v>0</v>
      </c>
      <c r="E54">
        <f>1.82*D54/1000</f>
        <v>0</v>
      </c>
      <c r="F54" s="3" t="s">
        <v>34</v>
      </c>
      <c r="G54">
        <v>0</v>
      </c>
      <c r="H54">
        <v>10</v>
      </c>
      <c r="I54">
        <f>IF(G54=0,0,(G54-$J$7)/$I$7)*H54</f>
        <v>0</v>
      </c>
      <c r="J54">
        <f>1.82*I54/1000</f>
        <v>0</v>
      </c>
    </row>
    <row r="55" spans="1:13" x14ac:dyDescent="0.25">
      <c r="A55" s="3" t="s">
        <v>35</v>
      </c>
      <c r="B55">
        <v>12881</v>
      </c>
      <c r="C55">
        <v>10</v>
      </c>
      <c r="D55">
        <f>IF(B55=0,0,(B55-$J$8)/$I$8)*C55</f>
        <v>2507.0469468962838</v>
      </c>
      <c r="E55">
        <f>1.82*D55/1000</f>
        <v>4.5628254433512367</v>
      </c>
      <c r="F55" s="3" t="s">
        <v>35</v>
      </c>
      <c r="G55">
        <v>8472</v>
      </c>
      <c r="H55">
        <v>10</v>
      </c>
      <c r="I55">
        <f>IF(G55=0,0,(G55-$J$8)/$I$8)*H55</f>
        <v>1659.8038805623682</v>
      </c>
      <c r="J55">
        <f>1.82*I55/1000</f>
        <v>3.0208430626235105</v>
      </c>
    </row>
    <row r="56" spans="1:13" x14ac:dyDescent="0.25">
      <c r="A56" s="3" t="s">
        <v>36</v>
      </c>
      <c r="B56">
        <v>0</v>
      </c>
      <c r="C56">
        <v>10</v>
      </c>
      <c r="D56">
        <f>IF(B56=0,0,(B56-$J$9)/$I$9)*C56</f>
        <v>0</v>
      </c>
      <c r="E56">
        <f>2.04*D56/1000</f>
        <v>0</v>
      </c>
      <c r="F56" s="3" t="s">
        <v>36</v>
      </c>
      <c r="G56">
        <v>0</v>
      </c>
      <c r="H56">
        <v>10</v>
      </c>
      <c r="I56">
        <f>IF(G56=0,0,(G56-$J$9)/$I$9)*H56</f>
        <v>0</v>
      </c>
      <c r="J56">
        <f>2.04*I56/1000</f>
        <v>0</v>
      </c>
    </row>
    <row r="57" spans="1:13" x14ac:dyDescent="0.25">
      <c r="A57" s="3" t="s">
        <v>37</v>
      </c>
      <c r="B57">
        <v>0</v>
      </c>
      <c r="C57">
        <v>10</v>
      </c>
      <c r="D57">
        <f>IF(B57=0,0,(B57-$J$10)/$I$10)*C57</f>
        <v>0</v>
      </c>
      <c r="E57">
        <f>2.04*D57/1000</f>
        <v>0</v>
      </c>
      <c r="F57" s="3" t="s">
        <v>37</v>
      </c>
      <c r="G57">
        <v>0</v>
      </c>
      <c r="H57">
        <v>10</v>
      </c>
      <c r="I57">
        <f>IF(G57=0,0,(G57-$J$10)/$I$10)*H57</f>
        <v>0</v>
      </c>
      <c r="J57">
        <f>2.04*I57/1000</f>
        <v>0</v>
      </c>
    </row>
    <row r="58" spans="1:13" x14ac:dyDescent="0.25">
      <c r="A58" s="3" t="s">
        <v>38</v>
      </c>
      <c r="B58">
        <v>0</v>
      </c>
      <c r="C58">
        <v>10</v>
      </c>
      <c r="D58">
        <f>IF(B58=0,0,(B58-$J$11)/$I$11)*1</f>
        <v>0</v>
      </c>
      <c r="E58">
        <f>2.21*D58/1000</f>
        <v>0</v>
      </c>
      <c r="F58" s="3" t="s">
        <v>38</v>
      </c>
      <c r="G58">
        <v>115</v>
      </c>
      <c r="H58">
        <v>10</v>
      </c>
      <c r="I58">
        <f>IF(G58=0,0,(G58-$J$11)/$I$11)*1</f>
        <v>2.3620375289959981</v>
      </c>
      <c r="J58">
        <f>2.21*I58/1000</f>
        <v>5.2201029390811556E-3</v>
      </c>
    </row>
    <row r="59" spans="1:13" x14ac:dyDescent="0.25">
      <c r="A59" s="3" t="s">
        <v>39</v>
      </c>
      <c r="B59">
        <v>0</v>
      </c>
      <c r="C59">
        <v>10</v>
      </c>
      <c r="D59">
        <f>IF(B59=0,0,(B59-$J$12)/$I$12)*1</f>
        <v>0</v>
      </c>
      <c r="E59">
        <f>2.34*D59/1000</f>
        <v>0</v>
      </c>
      <c r="F59" s="3" t="s">
        <v>39</v>
      </c>
      <c r="G59">
        <v>0</v>
      </c>
      <c r="H59">
        <v>10</v>
      </c>
      <c r="I59">
        <f>IF(G59=0,0,(G59-$J$12)/$I$12)*1</f>
        <v>0</v>
      </c>
      <c r="J59">
        <f>2.34*I59/1000</f>
        <v>0</v>
      </c>
    </row>
    <row r="60" spans="1:13" x14ac:dyDescent="0.25">
      <c r="B60" s="3" t="s">
        <v>62</v>
      </c>
      <c r="C60" s="3"/>
      <c r="D60" s="3">
        <f>SUM(D52:D59)</f>
        <v>4244.9154112780543</v>
      </c>
      <c r="E60" s="3">
        <f>SUM(E52:E59)</f>
        <v>6.5278921613786167</v>
      </c>
      <c r="G60" s="3" t="s">
        <v>62</v>
      </c>
      <c r="H60" s="3"/>
      <c r="I60" s="3">
        <f>SUM(I52:I59)</f>
        <v>3332.02941862539</v>
      </c>
      <c r="J60" s="3">
        <f>SUM(J52:J59)</f>
        <v>4.9657127122017979</v>
      </c>
    </row>
  </sheetData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set up</vt:lpstr>
      <vt:lpstr>VFA summary</vt:lpstr>
      <vt:lpstr>TAN</vt:lpstr>
      <vt:lpstr>pH</vt:lpstr>
      <vt:lpstr>VFA day 1</vt:lpstr>
      <vt:lpstr>VFA day 2</vt:lpstr>
      <vt:lpstr>VFA day 3</vt:lpstr>
      <vt:lpstr>VFA day 4</vt:lpstr>
      <vt:lpstr>VFA day 5</vt:lpstr>
      <vt:lpstr>VFA day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2024-10-28T18:16:08Z</dcterms:modified>
</cp:coreProperties>
</file>