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54013CBA-98A5-4B8B-8583-13E82F7ABC3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t up" sheetId="2" r:id="rId1"/>
    <sheet name="VS TS" sheetId="4" r:id="rId2"/>
    <sheet name="pH" sheetId="3" r:id="rId3"/>
    <sheet name="mass balance" sheetId="5" r:id="rId4"/>
    <sheet name="TAN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29" i="6" l="1"/>
  <c r="Q30" i="6"/>
  <c r="Q28" i="6"/>
  <c r="P28" i="6"/>
  <c r="I5" i="2"/>
  <c r="I6" i="2"/>
  <c r="I4" i="2"/>
  <c r="O31" i="6" l="1"/>
  <c r="O30" i="6"/>
  <c r="O29" i="6"/>
  <c r="O28" i="6"/>
  <c r="S24" i="6"/>
  <c r="S23" i="6"/>
  <c r="S22" i="6"/>
  <c r="S21" i="6"/>
  <c r="T24" i="6"/>
  <c r="T23" i="6"/>
  <c r="T22" i="6"/>
  <c r="T21" i="6"/>
  <c r="U24" i="6"/>
  <c r="U23" i="6"/>
  <c r="U22" i="6"/>
  <c r="U21" i="6"/>
  <c r="V24" i="6"/>
  <c r="V23" i="6"/>
  <c r="V22" i="6"/>
  <c r="V21" i="6"/>
  <c r="W24" i="6"/>
  <c r="W23" i="6"/>
  <c r="W22" i="6"/>
  <c r="W21" i="6"/>
  <c r="P24" i="6"/>
  <c r="P23" i="6"/>
  <c r="P22" i="6"/>
  <c r="P21" i="6"/>
  <c r="O24" i="6"/>
  <c r="O23" i="6"/>
  <c r="O22" i="6"/>
  <c r="O21" i="6"/>
  <c r="N24" i="6"/>
  <c r="N23" i="6"/>
  <c r="N22" i="6"/>
  <c r="N21" i="6"/>
  <c r="M24" i="6"/>
  <c r="M23" i="6"/>
  <c r="M22" i="6"/>
  <c r="M21" i="6"/>
  <c r="M28" i="6" s="1"/>
  <c r="G5" i="6"/>
  <c r="H5" i="6"/>
  <c r="L28" i="6"/>
  <c r="L24" i="6"/>
  <c r="L23" i="6"/>
  <c r="L22" i="6"/>
  <c r="L21" i="6"/>
  <c r="G6" i="6"/>
  <c r="E5" i="6"/>
  <c r="D28" i="3" l="1"/>
  <c r="D27" i="3"/>
  <c r="D26" i="3"/>
  <c r="D25" i="3"/>
  <c r="D24" i="3"/>
  <c r="D23" i="3"/>
  <c r="D22" i="3"/>
  <c r="D21" i="3"/>
  <c r="D20" i="3"/>
  <c r="D19" i="3"/>
  <c r="G10" i="4"/>
  <c r="C19" i="3"/>
  <c r="G23" i="3"/>
  <c r="J21" i="3"/>
  <c r="J28" i="3"/>
  <c r="I28" i="3"/>
  <c r="J27" i="3"/>
  <c r="I27" i="3"/>
  <c r="J26" i="3"/>
  <c r="I26" i="3"/>
  <c r="J25" i="3"/>
  <c r="I25" i="3"/>
  <c r="J24" i="3"/>
  <c r="I24" i="3"/>
  <c r="J23" i="3"/>
  <c r="I23" i="3"/>
  <c r="J22" i="3"/>
  <c r="I22" i="3"/>
  <c r="I21" i="3"/>
  <c r="J20" i="3"/>
  <c r="I20" i="3"/>
  <c r="J19" i="3"/>
  <c r="I19" i="3"/>
  <c r="H28" i="3"/>
  <c r="G28" i="3"/>
  <c r="H27" i="3"/>
  <c r="G27" i="3"/>
  <c r="H26" i="3"/>
  <c r="G26" i="3"/>
  <c r="H25" i="3"/>
  <c r="G25" i="3"/>
  <c r="H24" i="3"/>
  <c r="G24" i="3"/>
  <c r="H23" i="3"/>
  <c r="H22" i="3"/>
  <c r="G22" i="3"/>
  <c r="H21" i="3"/>
  <c r="G21" i="3"/>
  <c r="H20" i="3"/>
  <c r="G20" i="3"/>
  <c r="H19" i="3"/>
  <c r="G19" i="3"/>
  <c r="F28" i="3"/>
  <c r="E28" i="3"/>
  <c r="F27" i="3"/>
  <c r="E27" i="3"/>
  <c r="F26" i="3"/>
  <c r="E26" i="3"/>
  <c r="F25" i="3"/>
  <c r="E25" i="3"/>
  <c r="F24" i="3"/>
  <c r="E24" i="3"/>
  <c r="F23" i="3"/>
  <c r="E23" i="3"/>
  <c r="F22" i="3"/>
  <c r="E22" i="3"/>
  <c r="F21" i="3"/>
  <c r="E21" i="3"/>
  <c r="F20" i="3"/>
  <c r="E20" i="3"/>
  <c r="F19" i="3"/>
  <c r="E19" i="3"/>
  <c r="C20" i="3"/>
  <c r="C21" i="3"/>
  <c r="C22" i="3"/>
  <c r="C23" i="3"/>
  <c r="C24" i="3"/>
  <c r="C25" i="3"/>
  <c r="C26" i="3"/>
  <c r="C27" i="3"/>
  <c r="C28" i="3"/>
  <c r="B21" i="3"/>
  <c r="D51" i="6"/>
  <c r="G51" i="6" s="1"/>
  <c r="D50" i="6"/>
  <c r="E50" i="6" s="1"/>
  <c r="F50" i="6" s="1"/>
  <c r="D52" i="6"/>
  <c r="E52" i="6" s="1"/>
  <c r="F52" i="6" s="1"/>
  <c r="D53" i="6"/>
  <c r="E53" i="6" s="1"/>
  <c r="F53" i="6" s="1"/>
  <c r="D54" i="6"/>
  <c r="E54" i="6" s="1"/>
  <c r="F54" i="6" s="1"/>
  <c r="D55" i="6"/>
  <c r="E55" i="6" s="1"/>
  <c r="F55" i="6" s="1"/>
  <c r="D56" i="6"/>
  <c r="E56" i="6" s="1"/>
  <c r="F56" i="6" s="1"/>
  <c r="D57" i="6"/>
  <c r="E57" i="6" s="1"/>
  <c r="F57" i="6" s="1"/>
  <c r="D58" i="6"/>
  <c r="E58" i="6" s="1"/>
  <c r="F58" i="6" s="1"/>
  <c r="D59" i="6"/>
  <c r="E59" i="6" s="1"/>
  <c r="F59" i="6" s="1"/>
  <c r="D37" i="6"/>
  <c r="D38" i="6"/>
  <c r="D39" i="6"/>
  <c r="D40" i="6"/>
  <c r="D41" i="6"/>
  <c r="D42" i="6"/>
  <c r="D43" i="6"/>
  <c r="D44" i="6"/>
  <c r="D36" i="6"/>
  <c r="D23" i="6"/>
  <c r="D24" i="6"/>
  <c r="D25" i="6"/>
  <c r="D26" i="6"/>
  <c r="D27" i="6"/>
  <c r="D28" i="6"/>
  <c r="D29" i="6"/>
  <c r="D30" i="6"/>
  <c r="D22" i="6"/>
  <c r="D5" i="6"/>
  <c r="D7" i="6"/>
  <c r="P30" i="6" l="1"/>
  <c r="P31" i="6"/>
  <c r="P29" i="6"/>
  <c r="E51" i="6"/>
  <c r="F51" i="6" s="1"/>
  <c r="H7" i="4"/>
  <c r="H6" i="4"/>
  <c r="H5" i="4"/>
  <c r="H8" i="4" s="1"/>
  <c r="E44" i="6"/>
  <c r="F44" i="6" s="1"/>
  <c r="E43" i="6"/>
  <c r="F43" i="6" s="1"/>
  <c r="E42" i="6"/>
  <c r="F42" i="6" s="1"/>
  <c r="E41" i="6"/>
  <c r="F41" i="6" s="1"/>
  <c r="E40" i="6"/>
  <c r="F40" i="6" s="1"/>
  <c r="E39" i="6"/>
  <c r="F39" i="6" s="1"/>
  <c r="E38" i="6"/>
  <c r="F38" i="6" s="1"/>
  <c r="E37" i="6"/>
  <c r="F37" i="6" s="1"/>
  <c r="E36" i="6"/>
  <c r="F36" i="6" s="1"/>
  <c r="E26" i="6"/>
  <c r="F26" i="6" s="1"/>
  <c r="E30" i="6"/>
  <c r="F30" i="6" s="1"/>
  <c r="E22" i="6"/>
  <c r="F22" i="6" s="1"/>
  <c r="D4" i="6"/>
  <c r="E4" i="6" s="1"/>
  <c r="F4" i="6" s="1"/>
  <c r="E29" i="6"/>
  <c r="F29" i="6" s="1"/>
  <c r="E28" i="6"/>
  <c r="F28" i="6" s="1"/>
  <c r="E27" i="6"/>
  <c r="F27" i="6" s="1"/>
  <c r="E25" i="6"/>
  <c r="F25" i="6" s="1"/>
  <c r="E24" i="6"/>
  <c r="F24" i="6" s="1"/>
  <c r="E23" i="6"/>
  <c r="F23" i="6" s="1"/>
  <c r="D15" i="6"/>
  <c r="E15" i="6" s="1"/>
  <c r="F15" i="6" s="1"/>
  <c r="D16" i="6"/>
  <c r="E16" i="6" s="1"/>
  <c r="F16" i="6" s="1"/>
  <c r="D6" i="6"/>
  <c r="E6" i="6" s="1"/>
  <c r="F6" i="6" s="1"/>
  <c r="D14" i="6"/>
  <c r="E14" i="6" s="1"/>
  <c r="F14" i="6" s="1"/>
  <c r="D13" i="6"/>
  <c r="E13" i="6" s="1"/>
  <c r="F13" i="6" s="1"/>
  <c r="D12" i="6"/>
  <c r="E12" i="6" s="1"/>
  <c r="F12" i="6" s="1"/>
  <c r="D11" i="6"/>
  <c r="E11" i="6" s="1"/>
  <c r="F11" i="6" s="1"/>
  <c r="D10" i="6"/>
  <c r="E10" i="6" s="1"/>
  <c r="F10" i="6" s="1"/>
  <c r="D9" i="6"/>
  <c r="E9" i="6" s="1"/>
  <c r="F9" i="6" s="1"/>
  <c r="D8" i="6"/>
  <c r="E8" i="6" s="1"/>
  <c r="F8" i="6" s="1"/>
  <c r="E7" i="6"/>
  <c r="F7" i="6" s="1"/>
  <c r="F5" i="6" l="1"/>
  <c r="M29" i="6" l="1"/>
  <c r="N28" i="6"/>
  <c r="L29" i="6"/>
  <c r="N30" i="6"/>
  <c r="N29" i="6"/>
  <c r="L31" i="6"/>
  <c r="L30" i="6"/>
  <c r="M31" i="6"/>
  <c r="N31" i="6"/>
  <c r="M30" i="6"/>
  <c r="G18" i="5"/>
  <c r="I18" i="5"/>
  <c r="J18" i="5"/>
  <c r="L18" i="5"/>
  <c r="M18" i="5"/>
  <c r="O18" i="5"/>
  <c r="P18" i="5"/>
  <c r="R18" i="5"/>
  <c r="S18" i="5"/>
  <c r="U18" i="5"/>
  <c r="V18" i="5"/>
  <c r="X18" i="5"/>
  <c r="Y18" i="5"/>
  <c r="AA18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D19" i="5"/>
  <c r="D20" i="5"/>
  <c r="D21" i="5"/>
  <c r="D22" i="5"/>
  <c r="D18" i="5"/>
  <c r="F19" i="5"/>
  <c r="F20" i="5"/>
  <c r="F21" i="5"/>
  <c r="F22" i="5"/>
  <c r="F18" i="5"/>
  <c r="E21" i="5"/>
  <c r="E20" i="5"/>
  <c r="E22" i="5"/>
  <c r="E19" i="5"/>
  <c r="B7" i="3"/>
  <c r="G6" i="4"/>
  <c r="I6" i="4" s="1"/>
  <c r="G7" i="4"/>
  <c r="I7" i="4" s="1"/>
  <c r="G5" i="4"/>
  <c r="I5" i="4" s="1"/>
  <c r="I8" i="4" l="1"/>
  <c r="G8" i="4"/>
  <c r="F4" i="2"/>
  <c r="F5" i="2"/>
  <c r="F6" i="2"/>
  <c r="F7" i="2" l="1"/>
</calcChain>
</file>

<file path=xl/sharedStrings.xml><?xml version="1.0" encoding="utf-8"?>
<sst xmlns="http://schemas.openxmlformats.org/spreadsheetml/2006/main" count="244" uniqueCount="109">
  <si>
    <t>Replicas</t>
  </si>
  <si>
    <t>A</t>
  </si>
  <si>
    <t>B</t>
  </si>
  <si>
    <t>C</t>
  </si>
  <si>
    <t>Reactor</t>
  </si>
  <si>
    <t>pH</t>
  </si>
  <si>
    <t>Volume (mL)</t>
  </si>
  <si>
    <t>Total (mL)</t>
  </si>
  <si>
    <t>TOTAL =</t>
  </si>
  <si>
    <t>g Urea</t>
  </si>
  <si>
    <t>g glucose</t>
  </si>
  <si>
    <t>Digestate</t>
  </si>
  <si>
    <t>Empty (g)</t>
  </si>
  <si>
    <t>sample (g)</t>
  </si>
  <si>
    <t>dry (g)</t>
  </si>
  <si>
    <t>burnt (g)</t>
  </si>
  <si>
    <t>TS%</t>
  </si>
  <si>
    <t>VS%</t>
  </si>
  <si>
    <t>AVERAGE</t>
  </si>
  <si>
    <t>Day</t>
  </si>
  <si>
    <t>A1</t>
  </si>
  <si>
    <t>A2</t>
  </si>
  <si>
    <t>B1</t>
  </si>
  <si>
    <t>B2</t>
  </si>
  <si>
    <t>C1</t>
  </si>
  <si>
    <t>C2</t>
  </si>
  <si>
    <t>O1</t>
  </si>
  <si>
    <t>O2</t>
  </si>
  <si>
    <t>Initial</t>
  </si>
  <si>
    <t>I</t>
  </si>
  <si>
    <t>After sampling</t>
  </si>
  <si>
    <t>S</t>
  </si>
  <si>
    <t>After pH adjust</t>
  </si>
  <si>
    <t>F</t>
  </si>
  <si>
    <t>l (g)</t>
  </si>
  <si>
    <t>S (g)</t>
  </si>
  <si>
    <t>F (g)</t>
  </si>
  <si>
    <t>Reactor mass</t>
  </si>
  <si>
    <t>mass loss</t>
  </si>
  <si>
    <t>evaporation</t>
  </si>
  <si>
    <t>V</t>
  </si>
  <si>
    <t>pH adjust</t>
  </si>
  <si>
    <t>P</t>
  </si>
  <si>
    <t>V (g)</t>
  </si>
  <si>
    <t>P (g)</t>
  </si>
  <si>
    <t>sampling</t>
  </si>
  <si>
    <t>A (g)</t>
  </si>
  <si>
    <t>H2SO4 Factor</t>
  </si>
  <si>
    <t>Titration</t>
  </si>
  <si>
    <t>std factor</t>
  </si>
  <si>
    <t>sample</t>
  </si>
  <si>
    <t>V (mL)</t>
  </si>
  <si>
    <t>mL H2SO4</t>
  </si>
  <si>
    <t>mg N/L</t>
  </si>
  <si>
    <t>mg NH4/L</t>
  </si>
  <si>
    <t>g NH4/L</t>
  </si>
  <si>
    <t>blank</t>
  </si>
  <si>
    <t>std</t>
  </si>
  <si>
    <t>A2.1</t>
  </si>
  <si>
    <t>A1.1</t>
  </si>
  <si>
    <t>B1.1</t>
  </si>
  <si>
    <t>B2.1</t>
  </si>
  <si>
    <t>C1.1</t>
  </si>
  <si>
    <t>C2.1</t>
  </si>
  <si>
    <t>O1.1</t>
  </si>
  <si>
    <t>O2.1</t>
  </si>
  <si>
    <t>pH 4.5</t>
  </si>
  <si>
    <t>pH 6</t>
  </si>
  <si>
    <t>pH 8</t>
  </si>
  <si>
    <t>Control</t>
  </si>
  <si>
    <t>Time  (days)</t>
  </si>
  <si>
    <t>A1.2</t>
  </si>
  <si>
    <t>A2.2</t>
  </si>
  <si>
    <t>B1.2</t>
  </si>
  <si>
    <t>B2.2</t>
  </si>
  <si>
    <t>C1.2</t>
  </si>
  <si>
    <t>C2.2</t>
  </si>
  <si>
    <t>O1.2</t>
  </si>
  <si>
    <t>O2.2</t>
  </si>
  <si>
    <t>A1.3</t>
  </si>
  <si>
    <t>A2.3</t>
  </si>
  <si>
    <t>B1.3</t>
  </si>
  <si>
    <t>B2.3</t>
  </si>
  <si>
    <t>C1.3</t>
  </si>
  <si>
    <t>C2.3</t>
  </si>
  <si>
    <t>O1.3</t>
  </si>
  <si>
    <t>O2.3</t>
  </si>
  <si>
    <t>VS/TS %</t>
  </si>
  <si>
    <t>% loss</t>
  </si>
  <si>
    <t>plus losses from analysis:</t>
  </si>
  <si>
    <t>A1.4</t>
  </si>
  <si>
    <t>A2.4</t>
  </si>
  <si>
    <t>B1.4</t>
  </si>
  <si>
    <t>B2.4</t>
  </si>
  <si>
    <t>C1.4</t>
  </si>
  <si>
    <t>C2.4</t>
  </si>
  <si>
    <t>O1.4</t>
  </si>
  <si>
    <t>O2.4</t>
  </si>
  <si>
    <t>*Only for samples B1.4 to O2.4</t>
  </si>
  <si>
    <t>O</t>
  </si>
  <si>
    <t>STD</t>
  </si>
  <si>
    <t>S/I ratio</t>
  </si>
  <si>
    <t>g TS/g TS</t>
  </si>
  <si>
    <t>TAN</t>
  </si>
  <si>
    <t>TAN g/L</t>
  </si>
  <si>
    <t>% Hydrolysed urea</t>
  </si>
  <si>
    <t>Expected TAN g/L</t>
  </si>
  <si>
    <t>Difference from average</t>
  </si>
  <si>
    <t>pH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</si>
</sst>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9" fontId="0" fillId="0" borderId="0" xfId="0" applyNumberFormat="1"/>
    <xf numFmtId="0" fontId="0" fillId="0" borderId="0" xfId="1" applyNumberFormat="1" applyFont="1"/>
    <xf numFmtId="164" fontId="0" fillId="0" borderId="0" xfId="0" applyNumberFormat="1"/>
    <xf numFmtId="10" fontId="0" fillId="0" borderId="0" xfId="1" applyNumberFormat="1" applyFont="1"/>
    <xf numFmtId="0" fontId="3" fillId="0" borderId="0" xfId="0" applyFont="1"/>
    <xf numFmtId="2" fontId="0" fillId="0" borderId="0" xfId="0" applyNumberFormat="1"/>
    <xf numFmtId="9" fontId="0" fillId="0" borderId="0" xfId="1" applyFont="1"/>
    <xf numFmtId="0" fontId="1" fillId="0" borderId="1" xfId="0" applyFont="1" applyBorder="1"/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10" fontId="1" fillId="0" borderId="1" xfId="1" applyNumberFormat="1" applyFont="1" applyBorder="1"/>
    <xf numFmtId="0" fontId="4" fillId="0" borderId="0" xfId="0" applyFont="1"/>
    <xf numFmtId="2" fontId="4" fillId="0" borderId="0" xfId="0" applyNumberFormat="1" applyFont="1"/>
    <xf numFmtId="10" fontId="4" fillId="0" borderId="0" xfId="1" applyNumberFormat="1" applyFo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7" xfId="0" applyFont="1" applyBorder="1"/>
    <xf numFmtId="164" fontId="1" fillId="0" borderId="0" xfId="0" applyNumberFormat="1" applyFont="1" applyBorder="1"/>
    <xf numFmtId="164" fontId="1" fillId="0" borderId="6" xfId="0" applyNumberFormat="1" applyFont="1" applyBorder="1"/>
    <xf numFmtId="164" fontId="1" fillId="0" borderId="8" xfId="0" applyNumberFormat="1" applyFont="1" applyBorder="1"/>
    <xf numFmtId="164" fontId="1" fillId="0" borderId="9" xfId="0" applyNumberFormat="1" applyFont="1" applyBorder="1"/>
    <xf numFmtId="9" fontId="1" fillId="0" borderId="0" xfId="1" applyNumberFormat="1" applyFont="1" applyFill="1" applyBorder="1"/>
    <xf numFmtId="10" fontId="0" fillId="0" borderId="0" xfId="1" applyNumberFormat="1" applyFont="1" applyAlignment="1">
      <alignment horizontal="center" vertical="center"/>
    </xf>
    <xf numFmtId="2" fontId="1" fillId="2" borderId="10" xfId="0" applyNumberFormat="1" applyFont="1" applyFill="1" applyBorder="1"/>
    <xf numFmtId="9" fontId="1" fillId="2" borderId="11" xfId="1" applyNumberFormat="1" applyFont="1" applyFill="1" applyBorder="1"/>
    <xf numFmtId="9" fontId="1" fillId="2" borderId="12" xfId="1" applyNumberFormat="1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2" fontId="0" fillId="0" borderId="0" xfId="0" applyNumberFormat="1" applyBorder="1"/>
    <xf numFmtId="2" fontId="0" fillId="0" borderId="6" xfId="0" applyNumberFormat="1" applyBorder="1"/>
    <xf numFmtId="0" fontId="0" fillId="0" borderId="7" xfId="0" applyBorder="1"/>
    <xf numFmtId="2" fontId="0" fillId="0" borderId="8" xfId="0" applyNumberFormat="1" applyBorder="1"/>
    <xf numFmtId="2" fontId="0" fillId="0" borderId="9" xfId="0" applyNumberFormat="1" applyBorder="1"/>
    <xf numFmtId="0" fontId="0" fillId="0" borderId="3" xfId="0" applyFont="1" applyBorder="1"/>
    <xf numFmtId="0" fontId="0" fillId="0" borderId="0" xfId="0" applyBorder="1"/>
    <xf numFmtId="0" fontId="0" fillId="0" borderId="6" xfId="0" applyBorder="1"/>
    <xf numFmtId="0" fontId="3" fillId="0" borderId="0" xfId="0" applyFont="1" applyBorder="1"/>
    <xf numFmtId="0" fontId="0" fillId="0" borderId="8" xfId="0" applyBorder="1"/>
    <xf numFmtId="0" fontId="0" fillId="0" borderId="9" xfId="0" applyBorder="1"/>
    <xf numFmtId="2" fontId="0" fillId="0" borderId="0" xfId="0" applyNumberFormat="1" applyAlignment="1">
      <alignment horizontal="left" indent="9"/>
    </xf>
    <xf numFmtId="2" fontId="0" fillId="0" borderId="1" xfId="0" applyNumberFormat="1" applyBorder="1" applyAlignment="1">
      <alignment horizontal="left" indent="9"/>
    </xf>
    <xf numFmtId="0" fontId="0" fillId="0" borderId="13" xfId="0" applyBorder="1"/>
    <xf numFmtId="0" fontId="0" fillId="0" borderId="14" xfId="0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5" xfId="0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pH!$C$18</c:f>
              <c:strCache>
                <c:ptCount val="1"/>
                <c:pt idx="0">
                  <c:v>pH 4.5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pH!$B$19:$B$28</c:f>
              <c:numCache>
                <c:formatCode>General</c:formatCode>
                <c:ptCount val="10"/>
                <c:pt idx="0">
                  <c:v>0</c:v>
                </c:pt>
                <c:pt idx="1">
                  <c:v>1E-4</c:v>
                </c:pt>
                <c:pt idx="2">
                  <c:v>0.14583333333333334</c:v>
                </c:pt>
                <c:pt idx="3">
                  <c:v>1</c:v>
                </c:pt>
                <c:pt idx="4">
                  <c:v>1.0001</c:v>
                </c:pt>
                <c:pt idx="5">
                  <c:v>2</c:v>
                </c:pt>
                <c:pt idx="6">
                  <c:v>2.0001000000000002</c:v>
                </c:pt>
                <c:pt idx="7">
                  <c:v>3</c:v>
                </c:pt>
                <c:pt idx="8">
                  <c:v>3.0001000000000002</c:v>
                </c:pt>
                <c:pt idx="9">
                  <c:v>4</c:v>
                </c:pt>
              </c:numCache>
            </c:numRef>
          </c:xVal>
          <c:yVal>
            <c:numRef>
              <c:f>pH!$C$19:$C$28</c:f>
              <c:numCache>
                <c:formatCode>General</c:formatCode>
                <c:ptCount val="10"/>
                <c:pt idx="0">
                  <c:v>7.9600000000000009</c:v>
                </c:pt>
                <c:pt idx="1">
                  <c:v>4.5199999999999996</c:v>
                </c:pt>
                <c:pt idx="2">
                  <c:v>5.1150000000000002</c:v>
                </c:pt>
                <c:pt idx="3">
                  <c:v>4.8499999999999996</c:v>
                </c:pt>
                <c:pt idx="4">
                  <c:v>4.4249999999999998</c:v>
                </c:pt>
                <c:pt idx="5">
                  <c:v>4.7249999999999996</c:v>
                </c:pt>
                <c:pt idx="6">
                  <c:v>4.5449999999999999</c:v>
                </c:pt>
                <c:pt idx="7">
                  <c:v>4.93</c:v>
                </c:pt>
                <c:pt idx="8">
                  <c:v>4.5</c:v>
                </c:pt>
                <c:pt idx="9">
                  <c:v>4.5600000000000005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7AE-4F27-BD90-61BE293BBF57}"/>
            </c:ext>
          </c:extLst>
        </c:ser>
        <c:ser>
          <c:idx val="1"/>
          <c:order val="1"/>
          <c:tx>
            <c:strRef>
              <c:f>pH!$E$18</c:f>
              <c:strCache>
                <c:ptCount val="1"/>
                <c:pt idx="0">
                  <c:v>pH 6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pH!$B$19:$B$28</c:f>
              <c:numCache>
                <c:formatCode>General</c:formatCode>
                <c:ptCount val="10"/>
                <c:pt idx="0">
                  <c:v>0</c:v>
                </c:pt>
                <c:pt idx="1">
                  <c:v>1E-4</c:v>
                </c:pt>
                <c:pt idx="2">
                  <c:v>0.14583333333333334</c:v>
                </c:pt>
                <c:pt idx="3">
                  <c:v>1</c:v>
                </c:pt>
                <c:pt idx="4">
                  <c:v>1.0001</c:v>
                </c:pt>
                <c:pt idx="5">
                  <c:v>2</c:v>
                </c:pt>
                <c:pt idx="6">
                  <c:v>2.0001000000000002</c:v>
                </c:pt>
                <c:pt idx="7">
                  <c:v>3</c:v>
                </c:pt>
                <c:pt idx="8">
                  <c:v>3.0001000000000002</c:v>
                </c:pt>
                <c:pt idx="9">
                  <c:v>4</c:v>
                </c:pt>
              </c:numCache>
            </c:numRef>
          </c:xVal>
          <c:yVal>
            <c:numRef>
              <c:f>pH!$E$19:$E$28</c:f>
              <c:numCache>
                <c:formatCode>General</c:formatCode>
                <c:ptCount val="10"/>
                <c:pt idx="0">
                  <c:v>8.0300000000000011</c:v>
                </c:pt>
                <c:pt idx="1">
                  <c:v>5.9950000000000001</c:v>
                </c:pt>
                <c:pt idx="2">
                  <c:v>6.43</c:v>
                </c:pt>
                <c:pt idx="3">
                  <c:v>6.6099999999999994</c:v>
                </c:pt>
                <c:pt idx="4">
                  <c:v>6.08</c:v>
                </c:pt>
                <c:pt idx="5">
                  <c:v>7.5299999999999994</c:v>
                </c:pt>
                <c:pt idx="6">
                  <c:v>5.98</c:v>
                </c:pt>
                <c:pt idx="7">
                  <c:v>6.3149999999999995</c:v>
                </c:pt>
                <c:pt idx="8">
                  <c:v>#N/A</c:v>
                </c:pt>
                <c:pt idx="9">
                  <c:v>6.48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7AE-4F27-BD90-61BE293BBF57}"/>
            </c:ext>
          </c:extLst>
        </c:ser>
        <c:ser>
          <c:idx val="2"/>
          <c:order val="2"/>
          <c:tx>
            <c:strRef>
              <c:f>pH!$G$18</c:f>
              <c:strCache>
                <c:ptCount val="1"/>
                <c:pt idx="0">
                  <c:v>pH 8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pH!$B$19:$B$28</c:f>
              <c:numCache>
                <c:formatCode>General</c:formatCode>
                <c:ptCount val="10"/>
                <c:pt idx="0">
                  <c:v>0</c:v>
                </c:pt>
                <c:pt idx="1">
                  <c:v>1E-4</c:v>
                </c:pt>
                <c:pt idx="2">
                  <c:v>0.14583333333333334</c:v>
                </c:pt>
                <c:pt idx="3">
                  <c:v>1</c:v>
                </c:pt>
                <c:pt idx="4">
                  <c:v>1.0001</c:v>
                </c:pt>
                <c:pt idx="5">
                  <c:v>2</c:v>
                </c:pt>
                <c:pt idx="6">
                  <c:v>2.0001000000000002</c:v>
                </c:pt>
                <c:pt idx="7">
                  <c:v>3</c:v>
                </c:pt>
                <c:pt idx="8">
                  <c:v>3.0001000000000002</c:v>
                </c:pt>
                <c:pt idx="9">
                  <c:v>4</c:v>
                </c:pt>
              </c:numCache>
            </c:numRef>
          </c:xVal>
          <c:yVal>
            <c:numRef>
              <c:f>pH!$G$19:$G$28</c:f>
              <c:numCache>
                <c:formatCode>General</c:formatCode>
                <c:ptCount val="10"/>
                <c:pt idx="0">
                  <c:v>8.1150000000000002</c:v>
                </c:pt>
                <c:pt idx="1">
                  <c:v>#N/A</c:v>
                </c:pt>
                <c:pt idx="2">
                  <c:v>8.35</c:v>
                </c:pt>
                <c:pt idx="3">
                  <c:v>7.2650000000000006</c:v>
                </c:pt>
                <c:pt idx="4">
                  <c:v>7.9550000000000001</c:v>
                </c:pt>
                <c:pt idx="5">
                  <c:v>8.3350000000000009</c:v>
                </c:pt>
                <c:pt idx="6">
                  <c:v>8.0399999999999991</c:v>
                </c:pt>
                <c:pt idx="7">
                  <c:v>8.0649999999999995</c:v>
                </c:pt>
                <c:pt idx="8">
                  <c:v>#N/A</c:v>
                </c:pt>
                <c:pt idx="9">
                  <c:v>7.9700000000000006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7AE-4F27-BD90-61BE293BBF57}"/>
            </c:ext>
          </c:extLst>
        </c:ser>
        <c:ser>
          <c:idx val="3"/>
          <c:order val="3"/>
          <c:tx>
            <c:strRef>
              <c:f>pH!$I$18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pH!$B$19:$B$28</c:f>
              <c:numCache>
                <c:formatCode>General</c:formatCode>
                <c:ptCount val="10"/>
                <c:pt idx="0">
                  <c:v>0</c:v>
                </c:pt>
                <c:pt idx="1">
                  <c:v>1E-4</c:v>
                </c:pt>
                <c:pt idx="2">
                  <c:v>0.14583333333333334</c:v>
                </c:pt>
                <c:pt idx="3">
                  <c:v>1</c:v>
                </c:pt>
                <c:pt idx="4">
                  <c:v>1.0001</c:v>
                </c:pt>
                <c:pt idx="5">
                  <c:v>2</c:v>
                </c:pt>
                <c:pt idx="6">
                  <c:v>2.0001000000000002</c:v>
                </c:pt>
                <c:pt idx="7">
                  <c:v>3</c:v>
                </c:pt>
                <c:pt idx="8">
                  <c:v>3.0001000000000002</c:v>
                </c:pt>
                <c:pt idx="9">
                  <c:v>4</c:v>
                </c:pt>
              </c:numCache>
            </c:numRef>
          </c:xVal>
          <c:yVal>
            <c:numRef>
              <c:f>pH!$I$19:$I$28</c:f>
              <c:numCache>
                <c:formatCode>General</c:formatCode>
                <c:ptCount val="10"/>
                <c:pt idx="0">
                  <c:v>7.915</c:v>
                </c:pt>
                <c:pt idx="1">
                  <c:v>#N/A</c:v>
                </c:pt>
                <c:pt idx="2">
                  <c:v>7.9950000000000001</c:v>
                </c:pt>
                <c:pt idx="3">
                  <c:v>7.84</c:v>
                </c:pt>
                <c:pt idx="4">
                  <c:v>#N/A</c:v>
                </c:pt>
                <c:pt idx="5">
                  <c:v>7.8100000000000005</c:v>
                </c:pt>
                <c:pt idx="6">
                  <c:v>#N/A</c:v>
                </c:pt>
                <c:pt idx="7">
                  <c:v>7.95</c:v>
                </c:pt>
                <c:pt idx="8">
                  <c:v>#N/A</c:v>
                </c:pt>
                <c:pt idx="9">
                  <c:v>7.8949999999999996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7AE-4F27-BD90-61BE293BB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353128"/>
        <c:axId val="301354440"/>
      </c:scatterChart>
      <c:valAx>
        <c:axId val="301353128"/>
        <c:scaling>
          <c:orientation val="minMax"/>
          <c:max val="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354440"/>
        <c:crosses val="autoZero"/>
        <c:crossBetween val="midCat"/>
      </c:valAx>
      <c:valAx>
        <c:axId val="301354440"/>
        <c:scaling>
          <c:orientation val="minMax"/>
          <c:max val="11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353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TAN!$K$28</c:f>
              <c:strCache>
                <c:ptCount val="1"/>
                <c:pt idx="0">
                  <c:v>pH 4.5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TAN!$L$27:$P$27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TAN!$L$28:$P$28</c:f>
              <c:numCache>
                <c:formatCode>0.000</c:formatCode>
                <c:ptCount val="5"/>
                <c:pt idx="0">
                  <c:v>1.3775164710852534</c:v>
                </c:pt>
                <c:pt idx="1">
                  <c:v>2.7866092509632909</c:v>
                </c:pt>
                <c:pt idx="2">
                  <c:v>2.9089674475353338</c:v>
                </c:pt>
                <c:pt idx="3">
                  <c:v>3.094478261692946</c:v>
                </c:pt>
                <c:pt idx="4">
                  <c:v>3.1931074737854885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E71-4DB7-83D0-95BC59AE750B}"/>
            </c:ext>
          </c:extLst>
        </c:ser>
        <c:ser>
          <c:idx val="2"/>
          <c:order val="1"/>
          <c:tx>
            <c:strRef>
              <c:f>TAN!$K$29</c:f>
              <c:strCache>
                <c:ptCount val="1"/>
                <c:pt idx="0">
                  <c:v>pH 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TAN!$L$27:$P$27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TAN!$L$29:$P$29</c:f>
              <c:numCache>
                <c:formatCode>0.000</c:formatCode>
                <c:ptCount val="5"/>
                <c:pt idx="0">
                  <c:v>1.3775164710852534</c:v>
                </c:pt>
                <c:pt idx="1">
                  <c:v>3.5286525075937427</c:v>
                </c:pt>
                <c:pt idx="2">
                  <c:v>4.5548825433592608</c:v>
                </c:pt>
                <c:pt idx="3">
                  <c:v>4.4601536169809046</c:v>
                </c:pt>
                <c:pt idx="4">
                  <c:v>4.584238665722129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E71-4DB7-83D0-95BC59AE750B}"/>
            </c:ext>
          </c:extLst>
        </c:ser>
        <c:ser>
          <c:idx val="3"/>
          <c:order val="2"/>
          <c:tx>
            <c:strRef>
              <c:f>TAN!$K$30</c:f>
              <c:strCache>
                <c:ptCount val="1"/>
                <c:pt idx="0">
                  <c:v>pH 8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TAN!$L$27:$P$27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TAN!$L$30:$P$30</c:f>
              <c:numCache>
                <c:formatCode>0.000</c:formatCode>
                <c:ptCount val="5"/>
                <c:pt idx="0">
                  <c:v>1.3775164710852534</c:v>
                </c:pt>
                <c:pt idx="1">
                  <c:v>3.7457396305441404</c:v>
                </c:pt>
                <c:pt idx="2">
                  <c:v>4.4956769643727883</c:v>
                </c:pt>
                <c:pt idx="3">
                  <c:v>4.4838358485754952</c:v>
                </c:pt>
                <c:pt idx="4">
                  <c:v>4.5067897421660845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E71-4DB7-83D0-95BC59AE750B}"/>
            </c:ext>
          </c:extLst>
        </c:ser>
        <c:ser>
          <c:idx val="4"/>
          <c:order val="3"/>
          <c:tx>
            <c:strRef>
              <c:f>TAN!$K$31</c:f>
              <c:strCache>
                <c:ptCount val="1"/>
                <c:pt idx="0">
                  <c:v>Control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TAN!$L$27:$P$27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TAN!$L$31:$P$31</c:f>
              <c:numCache>
                <c:formatCode>0.000</c:formatCode>
                <c:ptCount val="5"/>
                <c:pt idx="0">
                  <c:v>1.3775164710852534</c:v>
                </c:pt>
                <c:pt idx="1">
                  <c:v>1.4761924360627066</c:v>
                </c:pt>
                <c:pt idx="2">
                  <c:v>1.5709213624410621</c:v>
                </c:pt>
                <c:pt idx="3">
                  <c:v>1.5748684010401601</c:v>
                </c:pt>
                <c:pt idx="4">
                  <c:v>1.6301154386558172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E71-4DB7-83D0-95BC59AE75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1054176"/>
        <c:axId val="571054832"/>
      </c:scatterChart>
      <c:valAx>
        <c:axId val="571054176"/>
        <c:scaling>
          <c:orientation val="minMax"/>
          <c:max val="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Fermentation</a:t>
                </a:r>
                <a:r>
                  <a:rPr lang="en-GB" baseline="0"/>
                  <a:t> t</a:t>
                </a:r>
                <a:r>
                  <a:rPr lang="en-GB"/>
                  <a:t>ime</a:t>
                </a:r>
                <a:r>
                  <a:rPr lang="en-GB" baseline="0"/>
                  <a:t> (days)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054832"/>
        <c:crosses val="autoZero"/>
        <c:crossBetween val="midCat"/>
      </c:valAx>
      <c:valAx>
        <c:axId val="57105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TAN g 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054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192405</xdr:colOff>
      <xdr:row>1</xdr:row>
      <xdr:rowOff>38100</xdr:rowOff>
    </xdr:from>
    <xdr:to>
      <xdr:col>18</xdr:col>
      <xdr:colOff>497205</xdr:colOff>
      <xdr:row>19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588645</xdr:colOff>
      <xdr:row>1</xdr:row>
      <xdr:rowOff>180975</xdr:rowOff>
    </xdr:from>
    <xdr:to>
      <xdr:col>16</xdr:col>
      <xdr:colOff>375285</xdr:colOff>
      <xdr:row>16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14"/>
  <sheetViews>
    <sheetView tabSelected="1" workbookViewId="0">
      <selection activeCell="J9" sqref="J9"/>
    </sheetView>
  </sheetViews>
  <sheetFormatPr defaultRowHeight="15" x14ac:dyDescent="0.25"/>
  <cols>
    <col min="2" max="2" width="17.28515625" customWidth="1"/>
    <col min="5" max="5" width="13.85546875" customWidth="1"/>
    <col min="6" max="6" width="10" customWidth="1"/>
    <col min="7" max="7" width="7.28515625" customWidth="1"/>
    <col min="8" max="8" width="9.42578125" customWidth="1"/>
    <col min="9" max="9" width="17.5703125" customWidth="1"/>
    <col min="10" max="10" width="22.28515625" customWidth="1"/>
    <col min="12" max="12" width="20.85546875" customWidth="1"/>
    <col min="13" max="13" width="14.5703125" customWidth="1"/>
  </cols>
  <sheetData>
    <row r="3" spans="2:13" x14ac:dyDescent="0.25">
      <c r="B3" s="9" t="s">
        <v>4</v>
      </c>
      <c r="C3" s="9" t="s">
        <v>5</v>
      </c>
      <c r="D3" s="9" t="s">
        <v>0</v>
      </c>
      <c r="E3" s="9" t="s">
        <v>6</v>
      </c>
      <c r="F3" s="9" t="s">
        <v>7</v>
      </c>
      <c r="G3" s="9" t="s">
        <v>9</v>
      </c>
      <c r="H3" s="9" t="s">
        <v>10</v>
      </c>
      <c r="I3" s="9" t="s">
        <v>106</v>
      </c>
    </row>
    <row r="4" spans="2:13" x14ac:dyDescent="0.25">
      <c r="B4" s="9" t="s">
        <v>1</v>
      </c>
      <c r="C4" s="10">
        <v>4.5</v>
      </c>
      <c r="D4" s="10">
        <v>2</v>
      </c>
      <c r="E4" s="10">
        <v>150</v>
      </c>
      <c r="F4" s="10">
        <f t="shared" ref="F4:F6" si="0">E4*D4</f>
        <v>300</v>
      </c>
      <c r="G4" s="10">
        <v>1</v>
      </c>
      <c r="H4" s="10">
        <v>1.5</v>
      </c>
      <c r="I4" s="49">
        <f>G4*14*2/60/E4*1000</f>
        <v>3.1111111111111112</v>
      </c>
    </row>
    <row r="5" spans="2:13" x14ac:dyDescent="0.25">
      <c r="B5" s="9" t="s">
        <v>2</v>
      </c>
      <c r="C5" s="10">
        <v>6</v>
      </c>
      <c r="D5" s="10">
        <v>2</v>
      </c>
      <c r="E5" s="10">
        <v>150</v>
      </c>
      <c r="F5" s="10">
        <f t="shared" si="0"/>
        <v>300</v>
      </c>
      <c r="G5" s="10">
        <v>1</v>
      </c>
      <c r="H5" s="10">
        <v>1.5</v>
      </c>
      <c r="I5" s="49">
        <f t="shared" ref="I5:I6" si="1">G5*14*2/60/E5*1000</f>
        <v>3.1111111111111112</v>
      </c>
    </row>
    <row r="6" spans="2:13" x14ac:dyDescent="0.25">
      <c r="B6" s="9" t="s">
        <v>3</v>
      </c>
      <c r="C6" s="10">
        <v>8</v>
      </c>
      <c r="D6" s="10">
        <v>2</v>
      </c>
      <c r="E6" s="10">
        <v>150</v>
      </c>
      <c r="F6" s="10">
        <f t="shared" si="0"/>
        <v>300</v>
      </c>
      <c r="G6" s="10">
        <v>1</v>
      </c>
      <c r="H6" s="10">
        <v>1.5</v>
      </c>
      <c r="I6" s="49">
        <f t="shared" si="1"/>
        <v>3.1111111111111112</v>
      </c>
    </row>
    <row r="7" spans="2:13" x14ac:dyDescent="0.25">
      <c r="E7" s="9" t="s">
        <v>8</v>
      </c>
      <c r="F7" s="9">
        <f>SUM(F4:F6)</f>
        <v>900</v>
      </c>
    </row>
    <row r="9" spans="2:13" x14ac:dyDescent="0.25">
      <c r="B9" s="21"/>
      <c r="C9" s="43"/>
      <c r="H9" s="1"/>
      <c r="I9" s="1"/>
      <c r="J9" s="1"/>
      <c r="K9" s="1"/>
      <c r="L9" s="1"/>
      <c r="M9" s="1"/>
    </row>
    <row r="10" spans="2:13" x14ac:dyDescent="0.25">
      <c r="B10" s="21"/>
      <c r="C10" s="43"/>
      <c r="G10" s="1"/>
      <c r="I10" s="2"/>
      <c r="J10" s="3"/>
      <c r="M10" s="4"/>
    </row>
    <row r="11" spans="2:13" x14ac:dyDescent="0.25">
      <c r="B11" s="21"/>
      <c r="C11" s="43"/>
      <c r="G11" s="1"/>
      <c r="I11" s="2"/>
      <c r="J11" s="3"/>
      <c r="M11" s="4"/>
    </row>
    <row r="13" spans="2:13" x14ac:dyDescent="0.25">
      <c r="I13" s="2"/>
      <c r="J13" s="2"/>
    </row>
    <row r="14" spans="2:13" x14ac:dyDescent="0.25">
      <c r="K14" s="48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I10"/>
  <sheetViews>
    <sheetView workbookViewId="0">
      <selection activeCell="F18" sqref="F18"/>
    </sheetView>
  </sheetViews>
  <sheetFormatPr defaultRowHeight="15" x14ac:dyDescent="0.25"/>
  <cols>
    <col min="3" max="3" width="11.28515625" customWidth="1"/>
    <col min="4" max="4" width="12.42578125" customWidth="1"/>
    <col min="5" max="5" width="10.85546875" customWidth="1"/>
    <col min="6" max="6" width="10.7109375" customWidth="1"/>
    <col min="9" max="9" width="9.42578125" customWidth="1"/>
  </cols>
  <sheetData>
    <row r="3" spans="3:9" x14ac:dyDescent="0.25">
      <c r="C3" s="1" t="s">
        <v>11</v>
      </c>
    </row>
    <row r="4" spans="3:9" x14ac:dyDescent="0.25">
      <c r="C4" s="9" t="s">
        <v>12</v>
      </c>
      <c r="D4" s="9" t="s">
        <v>13</v>
      </c>
      <c r="E4" s="9" t="s">
        <v>14</v>
      </c>
      <c r="F4" s="9" t="s">
        <v>15</v>
      </c>
      <c r="G4" s="9" t="s">
        <v>16</v>
      </c>
      <c r="H4" s="9" t="s">
        <v>17</v>
      </c>
      <c r="I4" s="9" t="s">
        <v>87</v>
      </c>
    </row>
    <row r="5" spans="3:9" x14ac:dyDescent="0.25">
      <c r="C5" s="10">
        <v>29.465199999999999</v>
      </c>
      <c r="D5" s="10">
        <v>12.4421</v>
      </c>
      <c r="E5" s="10">
        <v>29.999099999999999</v>
      </c>
      <c r="F5" s="10">
        <v>29.633800000000001</v>
      </c>
      <c r="G5" s="11">
        <f>(E5-C5)/D5</f>
        <v>4.2910762652606807E-2</v>
      </c>
      <c r="H5" s="11">
        <f>(E5-F5)/D5</f>
        <v>2.935999549915189E-2</v>
      </c>
      <c r="I5" s="12">
        <f>H5/G5</f>
        <v>0.68421052631578627</v>
      </c>
    </row>
    <row r="6" spans="3:9" x14ac:dyDescent="0.25">
      <c r="C6" s="10">
        <v>29.5198</v>
      </c>
      <c r="D6" s="10">
        <v>14.027100000000001</v>
      </c>
      <c r="E6" s="10">
        <v>30.121500000000001</v>
      </c>
      <c r="F6" s="10">
        <v>29.709499999999998</v>
      </c>
      <c r="G6" s="11">
        <f t="shared" ref="G6:G7" si="0">(E6-C6)/D6</f>
        <v>4.2895537923020512E-2</v>
      </c>
      <c r="H6" s="11">
        <f t="shared" ref="H6" si="1">(E6-F6)/D6</f>
        <v>2.9371716177969971E-2</v>
      </c>
      <c r="I6" s="12">
        <f t="shared" ref="I6:I7" si="2">H6/G6</f>
        <v>0.6847266079441614</v>
      </c>
    </row>
    <row r="7" spans="3:9" x14ac:dyDescent="0.25">
      <c r="C7" s="10">
        <v>28.4175</v>
      </c>
      <c r="D7" s="10">
        <v>9.0424000000000007</v>
      </c>
      <c r="E7" s="10">
        <v>28.8064</v>
      </c>
      <c r="F7" s="10">
        <v>28.540299999999998</v>
      </c>
      <c r="G7" s="11">
        <f t="shared" si="0"/>
        <v>4.3008493320357374E-2</v>
      </c>
      <c r="H7" s="11">
        <f>(E7-F7)/D7</f>
        <v>2.9428027957179678E-2</v>
      </c>
      <c r="I7" s="12">
        <f t="shared" si="2"/>
        <v>0.68423759321162725</v>
      </c>
    </row>
    <row r="8" spans="3:9" x14ac:dyDescent="0.25">
      <c r="F8" s="9" t="s">
        <v>18</v>
      </c>
      <c r="G8" s="13">
        <f>AVERAGE(G5:G7)</f>
        <v>4.2938264631994905E-2</v>
      </c>
      <c r="H8" s="13">
        <f>AVERAGE(H5:H7)</f>
        <v>2.9386579878100515E-2</v>
      </c>
      <c r="I8" s="13">
        <f>AVERAGE(I5:I7)</f>
        <v>0.68439157582385823</v>
      </c>
    </row>
    <row r="10" spans="3:9" x14ac:dyDescent="0.25">
      <c r="F10" s="1" t="s">
        <v>101</v>
      </c>
      <c r="G10" s="1">
        <f>'set up'!H4/('set up'!E4*'VS TS'!G8)</f>
        <v>0.23289250475550488</v>
      </c>
      <c r="H10" s="1" t="s">
        <v>102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28"/>
  <sheetViews>
    <sheetView workbookViewId="0">
      <selection activeCell="B17" sqref="B17"/>
    </sheetView>
  </sheetViews>
  <sheetFormatPr defaultRowHeight="15" x14ac:dyDescent="0.25"/>
  <cols>
    <col min="6" max="6" width="14" customWidth="1"/>
    <col min="8" max="8" width="12.85546875" customWidth="1"/>
    <col min="10" max="10" width="14" customWidth="1"/>
  </cols>
  <sheetData>
    <row r="2" spans="2:10" ht="15.75" thickBot="1" x14ac:dyDescent="0.3"/>
    <row r="3" spans="2:10" x14ac:dyDescent="0.25">
      <c r="B3" s="50" t="s">
        <v>4</v>
      </c>
      <c r="C3" s="51" t="s">
        <v>20</v>
      </c>
      <c r="D3" s="51" t="s">
        <v>21</v>
      </c>
      <c r="E3" s="51" t="s">
        <v>22</v>
      </c>
      <c r="F3" s="51" t="s">
        <v>23</v>
      </c>
      <c r="G3" s="51" t="s">
        <v>24</v>
      </c>
      <c r="H3" s="51" t="s">
        <v>25</v>
      </c>
      <c r="I3" s="51" t="s">
        <v>26</v>
      </c>
      <c r="J3" s="59" t="s">
        <v>27</v>
      </c>
    </row>
    <row r="4" spans="2:10" x14ac:dyDescent="0.25">
      <c r="B4" s="54" t="s">
        <v>19</v>
      </c>
      <c r="C4" s="10" t="s">
        <v>5</v>
      </c>
      <c r="D4" s="10" t="s">
        <v>5</v>
      </c>
      <c r="E4" s="10" t="s">
        <v>5</v>
      </c>
      <c r="F4" s="10" t="s">
        <v>5</v>
      </c>
      <c r="G4" s="10" t="s">
        <v>5</v>
      </c>
      <c r="H4" s="10" t="s">
        <v>5</v>
      </c>
      <c r="I4" s="10" t="s">
        <v>5</v>
      </c>
      <c r="J4" s="55" t="s">
        <v>5</v>
      </c>
    </row>
    <row r="5" spans="2:10" x14ac:dyDescent="0.25">
      <c r="B5" s="54">
        <v>0</v>
      </c>
      <c r="C5" s="10">
        <v>7.94</v>
      </c>
      <c r="D5" s="10">
        <v>7.98</v>
      </c>
      <c r="E5" s="10">
        <v>8</v>
      </c>
      <c r="F5" s="10">
        <v>8.06</v>
      </c>
      <c r="G5" s="10">
        <v>8.1</v>
      </c>
      <c r="H5" s="10">
        <v>8.1300000000000008</v>
      </c>
      <c r="I5" s="10">
        <v>7.89</v>
      </c>
      <c r="J5" s="55">
        <v>7.94</v>
      </c>
    </row>
    <row r="6" spans="2:10" x14ac:dyDescent="0.25">
      <c r="B6" s="54">
        <v>1E-4</v>
      </c>
      <c r="C6" s="10">
        <v>4.51</v>
      </c>
      <c r="D6" s="10">
        <v>4.53</v>
      </c>
      <c r="E6" s="10">
        <v>6.13</v>
      </c>
      <c r="F6" s="10">
        <v>5.86</v>
      </c>
      <c r="G6" s="10" t="e">
        <v>#N/A</v>
      </c>
      <c r="H6" s="10" t="e">
        <v>#N/A</v>
      </c>
      <c r="I6" s="10" t="e">
        <v>#N/A</v>
      </c>
      <c r="J6" s="55" t="e">
        <v>#N/A</v>
      </c>
    </row>
    <row r="7" spans="2:10" x14ac:dyDescent="0.25">
      <c r="B7" s="54">
        <f>3.5/24</f>
        <v>0.14583333333333334</v>
      </c>
      <c r="C7" s="10">
        <v>5.13</v>
      </c>
      <c r="D7" s="10">
        <v>5.0999999999999996</v>
      </c>
      <c r="E7" s="10">
        <v>6.48</v>
      </c>
      <c r="F7" s="10">
        <v>6.38</v>
      </c>
      <c r="G7" s="10">
        <v>8.34</v>
      </c>
      <c r="H7" s="10">
        <v>8.36</v>
      </c>
      <c r="I7" s="10">
        <v>7.99</v>
      </c>
      <c r="J7" s="55">
        <v>8</v>
      </c>
    </row>
    <row r="8" spans="2:10" x14ac:dyDescent="0.25">
      <c r="B8" s="54">
        <v>1</v>
      </c>
      <c r="C8" s="10">
        <v>4.87</v>
      </c>
      <c r="D8" s="10">
        <v>4.83</v>
      </c>
      <c r="E8" s="10">
        <v>6.77</v>
      </c>
      <c r="F8" s="10">
        <v>6.45</v>
      </c>
      <c r="G8" s="10">
        <v>7.25</v>
      </c>
      <c r="H8" s="10">
        <v>7.28</v>
      </c>
      <c r="I8" s="10">
        <v>7.84</v>
      </c>
      <c r="J8" s="55">
        <v>7.84</v>
      </c>
    </row>
    <row r="9" spans="2:10" x14ac:dyDescent="0.25">
      <c r="B9" s="54">
        <v>1.0001</v>
      </c>
      <c r="C9" s="10">
        <v>4.38</v>
      </c>
      <c r="D9" s="10">
        <v>4.47</v>
      </c>
      <c r="E9" s="10">
        <v>6.12</v>
      </c>
      <c r="F9" s="10">
        <v>6.04</v>
      </c>
      <c r="G9" s="10">
        <v>7.89</v>
      </c>
      <c r="H9" s="10">
        <v>8.02</v>
      </c>
      <c r="I9" s="10" t="e">
        <v>#N/A</v>
      </c>
      <c r="J9" s="55" t="e">
        <v>#N/A</v>
      </c>
    </row>
    <row r="10" spans="2:10" x14ac:dyDescent="0.25">
      <c r="B10" s="54">
        <v>2</v>
      </c>
      <c r="C10" s="10">
        <v>4.8499999999999996</v>
      </c>
      <c r="D10" s="10">
        <v>4.5999999999999996</v>
      </c>
      <c r="E10" s="10">
        <v>7.54</v>
      </c>
      <c r="F10" s="10">
        <v>7.52</v>
      </c>
      <c r="G10" s="10">
        <v>8.31</v>
      </c>
      <c r="H10" s="10">
        <v>8.36</v>
      </c>
      <c r="I10" s="10">
        <v>7.84</v>
      </c>
      <c r="J10" s="55">
        <v>7.78</v>
      </c>
    </row>
    <row r="11" spans="2:10" x14ac:dyDescent="0.25">
      <c r="B11" s="54">
        <v>2.0001000000000002</v>
      </c>
      <c r="C11" s="10">
        <v>4.55</v>
      </c>
      <c r="D11" s="10">
        <v>4.54</v>
      </c>
      <c r="E11" s="10">
        <v>5.99</v>
      </c>
      <c r="F11" s="10">
        <v>5.97</v>
      </c>
      <c r="G11" s="10">
        <v>8.0299999999999994</v>
      </c>
      <c r="H11" s="10">
        <v>8.0500000000000007</v>
      </c>
      <c r="I11" s="10" t="e">
        <v>#N/A</v>
      </c>
      <c r="J11" s="55" t="e">
        <v>#N/A</v>
      </c>
    </row>
    <row r="12" spans="2:10" x14ac:dyDescent="0.25">
      <c r="B12" s="54">
        <v>3</v>
      </c>
      <c r="C12" s="10">
        <v>5.03</v>
      </c>
      <c r="D12" s="10">
        <v>4.83</v>
      </c>
      <c r="E12" s="10">
        <v>6.14</v>
      </c>
      <c r="F12" s="10">
        <v>6.49</v>
      </c>
      <c r="G12" s="10">
        <v>8.09</v>
      </c>
      <c r="H12" s="10">
        <v>8.0399999999999991</v>
      </c>
      <c r="I12" s="10">
        <v>7.94</v>
      </c>
      <c r="J12" s="55">
        <v>7.96</v>
      </c>
    </row>
    <row r="13" spans="2:10" x14ac:dyDescent="0.25">
      <c r="B13" s="54">
        <v>3.0001000000000002</v>
      </c>
      <c r="C13" s="10">
        <v>4.54</v>
      </c>
      <c r="D13" s="10">
        <v>4.46</v>
      </c>
      <c r="E13" s="10" t="e">
        <v>#N/A</v>
      </c>
      <c r="F13" s="10">
        <v>6.01</v>
      </c>
      <c r="G13" s="10" t="e">
        <v>#N/A</v>
      </c>
      <c r="H13" s="10" t="e">
        <v>#N/A</v>
      </c>
      <c r="I13" s="10" t="e">
        <v>#N/A</v>
      </c>
      <c r="J13" s="55" t="e">
        <v>#N/A</v>
      </c>
    </row>
    <row r="14" spans="2:10" ht="15.75" thickBot="1" x14ac:dyDescent="0.3">
      <c r="B14" s="56">
        <v>4</v>
      </c>
      <c r="C14" s="57">
        <v>4.6500000000000004</v>
      </c>
      <c r="D14" s="57">
        <v>4.47</v>
      </c>
      <c r="E14" s="57">
        <v>6.42</v>
      </c>
      <c r="F14" s="57">
        <v>6.54</v>
      </c>
      <c r="G14" s="57">
        <v>7.95</v>
      </c>
      <c r="H14" s="57">
        <v>7.99</v>
      </c>
      <c r="I14" s="57">
        <v>7.92</v>
      </c>
      <c r="J14" s="58">
        <v>7.87</v>
      </c>
    </row>
    <row r="16" spans="2:10" x14ac:dyDescent="0.25">
      <c r="B16" t="s">
        <v>108</v>
      </c>
    </row>
    <row r="17" spans="2:10" ht="15.75" thickBot="1" x14ac:dyDescent="0.3">
      <c r="B17" t="s">
        <v>4</v>
      </c>
      <c r="C17" t="s">
        <v>1</v>
      </c>
      <c r="E17" t="s">
        <v>2</v>
      </c>
      <c r="G17" t="s">
        <v>3</v>
      </c>
      <c r="I17" t="s">
        <v>99</v>
      </c>
    </row>
    <row r="18" spans="2:10" ht="31.5" customHeight="1" x14ac:dyDescent="0.25">
      <c r="B18" s="50" t="s">
        <v>19</v>
      </c>
      <c r="C18" s="51" t="s">
        <v>66</v>
      </c>
      <c r="D18" s="51" t="s">
        <v>100</v>
      </c>
      <c r="E18" s="51" t="s">
        <v>67</v>
      </c>
      <c r="F18" s="52" t="s">
        <v>107</v>
      </c>
      <c r="G18" s="51" t="s">
        <v>68</v>
      </c>
      <c r="H18" s="52" t="s">
        <v>107</v>
      </c>
      <c r="I18" s="51" t="s">
        <v>69</v>
      </c>
      <c r="J18" s="53" t="s">
        <v>107</v>
      </c>
    </row>
    <row r="19" spans="2:10" x14ac:dyDescent="0.25">
      <c r="B19" s="54">
        <v>0</v>
      </c>
      <c r="C19" s="10">
        <f>AVERAGE(C5:D5)</f>
        <v>7.9600000000000009</v>
      </c>
      <c r="D19" s="10">
        <f t="shared" ref="D19:D28" si="0">_xlfn.STDEV.P(C5:D5)</f>
        <v>2.0000000000000018E-2</v>
      </c>
      <c r="E19" s="10">
        <f>AVERAGE(E5:F5)</f>
        <v>8.0300000000000011</v>
      </c>
      <c r="F19" s="10">
        <f>_xlfn.STDEV.P(E5:F5)</f>
        <v>3.0000000000000249E-2</v>
      </c>
      <c r="G19" s="10">
        <f>AVERAGE(G5:H5)</f>
        <v>8.1150000000000002</v>
      </c>
      <c r="H19" s="10">
        <f>_xlfn.STDEV.P(G5:H5)</f>
        <v>1.5000000000000568E-2</v>
      </c>
      <c r="I19" s="10">
        <f>AVERAGE(I5:J5)</f>
        <v>7.915</v>
      </c>
      <c r="J19" s="55">
        <f>_xlfn.STDEV.P(I5:J5)</f>
        <v>2.5000000000000355E-2</v>
      </c>
    </row>
    <row r="20" spans="2:10" x14ac:dyDescent="0.25">
      <c r="B20" s="54">
        <v>1E-4</v>
      </c>
      <c r="C20" s="10">
        <f t="shared" ref="C20:E28" si="1">AVERAGE(C6:D6)</f>
        <v>4.5199999999999996</v>
      </c>
      <c r="D20" s="10">
        <f t="shared" si="0"/>
        <v>1.0000000000000231E-2</v>
      </c>
      <c r="E20" s="10">
        <f t="shared" si="1"/>
        <v>5.9950000000000001</v>
      </c>
      <c r="F20" s="10">
        <f t="shared" ref="F20:F28" si="2">_xlfn.STDEV.P(E6:F6)</f>
        <v>0.13499999999999979</v>
      </c>
      <c r="G20" s="10" t="e">
        <f t="shared" ref="G20" si="3">AVERAGE(G6:H6)</f>
        <v>#N/A</v>
      </c>
      <c r="H20" s="10" t="e">
        <f t="shared" ref="H20" si="4">_xlfn.STDEV.P(G6:H6)</f>
        <v>#N/A</v>
      </c>
      <c r="I20" s="10" t="e">
        <f t="shared" ref="I20" si="5">AVERAGE(I6:J6)</f>
        <v>#N/A</v>
      </c>
      <c r="J20" s="55" t="e">
        <f t="shared" ref="J20" si="6">_xlfn.STDEV.P(I6:J6)</f>
        <v>#N/A</v>
      </c>
    </row>
    <row r="21" spans="2:10" x14ac:dyDescent="0.25">
      <c r="B21" s="54">
        <f>3.5/24</f>
        <v>0.14583333333333334</v>
      </c>
      <c r="C21" s="10">
        <f t="shared" si="1"/>
        <v>5.1150000000000002</v>
      </c>
      <c r="D21" s="10">
        <f t="shared" si="0"/>
        <v>1.5000000000000124E-2</v>
      </c>
      <c r="E21" s="10">
        <f t="shared" si="1"/>
        <v>6.43</v>
      </c>
      <c r="F21" s="10">
        <f t="shared" si="2"/>
        <v>5.0000000000000266E-2</v>
      </c>
      <c r="G21" s="10">
        <f t="shared" ref="G21" si="7">AVERAGE(G7:H7)</f>
        <v>8.35</v>
      </c>
      <c r="H21" s="10">
        <f t="shared" ref="H21" si="8">_xlfn.STDEV.P(G7:H7)</f>
        <v>9.9999999999997868E-3</v>
      </c>
      <c r="I21" s="10">
        <f t="shared" ref="I21" si="9">AVERAGE(I7:J7)</f>
        <v>7.9950000000000001</v>
      </c>
      <c r="J21" s="55">
        <f>_xlfn.STDEV.P(I7:J7)</f>
        <v>4.9999999999998934E-3</v>
      </c>
    </row>
    <row r="22" spans="2:10" x14ac:dyDescent="0.25">
      <c r="B22" s="54">
        <v>1</v>
      </c>
      <c r="C22" s="10">
        <f t="shared" si="1"/>
        <v>4.8499999999999996</v>
      </c>
      <c r="D22" s="10">
        <f t="shared" si="0"/>
        <v>2.0000000000000018E-2</v>
      </c>
      <c r="E22" s="10">
        <f t="shared" si="1"/>
        <v>6.6099999999999994</v>
      </c>
      <c r="F22" s="10">
        <f t="shared" si="2"/>
        <v>0.1599999999999997</v>
      </c>
      <c r="G22" s="10">
        <f t="shared" ref="G22" si="10">AVERAGE(G8:H8)</f>
        <v>7.2650000000000006</v>
      </c>
      <c r="H22" s="10">
        <f t="shared" ref="H22" si="11">_xlfn.STDEV.P(G8:H8)</f>
        <v>1.5000000000000124E-2</v>
      </c>
      <c r="I22" s="10">
        <f t="shared" ref="I22" si="12">AVERAGE(I8:J8)</f>
        <v>7.84</v>
      </c>
      <c r="J22" s="55">
        <f t="shared" ref="J22" si="13">_xlfn.STDEV.P(I8:J8)</f>
        <v>0</v>
      </c>
    </row>
    <row r="23" spans="2:10" x14ac:dyDescent="0.25">
      <c r="B23" s="54">
        <v>1.0001</v>
      </c>
      <c r="C23" s="10">
        <f t="shared" si="1"/>
        <v>4.4249999999999998</v>
      </c>
      <c r="D23" s="10">
        <f t="shared" si="0"/>
        <v>4.4999999999999929E-2</v>
      </c>
      <c r="E23" s="10">
        <f t="shared" si="1"/>
        <v>6.08</v>
      </c>
      <c r="F23" s="10">
        <f t="shared" si="2"/>
        <v>4.0000000000000036E-2</v>
      </c>
      <c r="G23" s="10">
        <f>AVERAGE(G9:H9)</f>
        <v>7.9550000000000001</v>
      </c>
      <c r="H23" s="10">
        <f t="shared" ref="H23" si="14">_xlfn.STDEV.P(G9:H9)</f>
        <v>6.4999999999999947E-2</v>
      </c>
      <c r="I23" s="10" t="e">
        <f t="shared" ref="I23" si="15">AVERAGE(I9:J9)</f>
        <v>#N/A</v>
      </c>
      <c r="J23" s="55" t="e">
        <f t="shared" ref="J23" si="16">_xlfn.STDEV.P(I9:J9)</f>
        <v>#N/A</v>
      </c>
    </row>
    <row r="24" spans="2:10" x14ac:dyDescent="0.25">
      <c r="B24" s="54">
        <v>2</v>
      </c>
      <c r="C24" s="10">
        <f t="shared" si="1"/>
        <v>4.7249999999999996</v>
      </c>
      <c r="D24" s="10">
        <f t="shared" si="0"/>
        <v>0.125</v>
      </c>
      <c r="E24" s="10">
        <f t="shared" si="1"/>
        <v>7.5299999999999994</v>
      </c>
      <c r="F24" s="10">
        <f t="shared" si="2"/>
        <v>1.0000000000000231E-2</v>
      </c>
      <c r="G24" s="10">
        <f t="shared" ref="G24" si="17">AVERAGE(G10:H10)</f>
        <v>8.3350000000000009</v>
      </c>
      <c r="H24" s="10">
        <f t="shared" ref="H24" si="18">_xlfn.STDEV.P(G10:H10)</f>
        <v>2.4999999999999471E-2</v>
      </c>
      <c r="I24" s="10">
        <f t="shared" ref="I24" si="19">AVERAGE(I10:J10)</f>
        <v>7.8100000000000005</v>
      </c>
      <c r="J24" s="55">
        <f t="shared" ref="J24" si="20">_xlfn.STDEV.P(I10:J10)</f>
        <v>2.9999999999999805E-2</v>
      </c>
    </row>
    <row r="25" spans="2:10" x14ac:dyDescent="0.25">
      <c r="B25" s="54">
        <v>2.0001000000000002</v>
      </c>
      <c r="C25" s="10">
        <f t="shared" si="1"/>
        <v>4.5449999999999999</v>
      </c>
      <c r="D25" s="10">
        <f t="shared" si="0"/>
        <v>4.9999999999998934E-3</v>
      </c>
      <c r="E25" s="10">
        <f t="shared" si="1"/>
        <v>5.98</v>
      </c>
      <c r="F25" s="10">
        <f t="shared" si="2"/>
        <v>1.0000000000000231E-2</v>
      </c>
      <c r="G25" s="10">
        <f t="shared" ref="G25" si="21">AVERAGE(G11:H11)</f>
        <v>8.0399999999999991</v>
      </c>
      <c r="H25" s="10">
        <f t="shared" ref="H25" si="22">_xlfn.STDEV.P(G11:H11)</f>
        <v>1.0000000000000675E-2</v>
      </c>
      <c r="I25" s="10" t="e">
        <f t="shared" ref="I25" si="23">AVERAGE(I11:J11)</f>
        <v>#N/A</v>
      </c>
      <c r="J25" s="55" t="e">
        <f t="shared" ref="J25" si="24">_xlfn.STDEV.P(I11:J11)</f>
        <v>#N/A</v>
      </c>
    </row>
    <row r="26" spans="2:10" x14ac:dyDescent="0.25">
      <c r="B26" s="54">
        <v>3</v>
      </c>
      <c r="C26" s="10">
        <f t="shared" si="1"/>
        <v>4.93</v>
      </c>
      <c r="D26" s="10">
        <f t="shared" si="0"/>
        <v>0.10000000000000009</v>
      </c>
      <c r="E26" s="10">
        <f t="shared" si="1"/>
        <v>6.3149999999999995</v>
      </c>
      <c r="F26" s="10">
        <f t="shared" si="2"/>
        <v>0.17500000000000027</v>
      </c>
      <c r="G26" s="10">
        <f t="shared" ref="G26" si="25">AVERAGE(G12:H12)</f>
        <v>8.0649999999999995</v>
      </c>
      <c r="H26" s="10">
        <f t="shared" ref="H26" si="26">_xlfn.STDEV.P(G12:H12)</f>
        <v>2.5000000000000355E-2</v>
      </c>
      <c r="I26" s="10">
        <f t="shared" ref="I26" si="27">AVERAGE(I12:J12)</f>
        <v>7.95</v>
      </c>
      <c r="J26" s="55">
        <f t="shared" ref="J26" si="28">_xlfn.STDEV.P(I12:J12)</f>
        <v>9.9999999999997868E-3</v>
      </c>
    </row>
    <row r="27" spans="2:10" x14ac:dyDescent="0.25">
      <c r="B27" s="54">
        <v>3.0001000000000002</v>
      </c>
      <c r="C27" s="10">
        <f t="shared" si="1"/>
        <v>4.5</v>
      </c>
      <c r="D27" s="10">
        <f t="shared" si="0"/>
        <v>4.0000000000000036E-2</v>
      </c>
      <c r="E27" s="10" t="e">
        <f t="shared" si="1"/>
        <v>#N/A</v>
      </c>
      <c r="F27" s="10" t="e">
        <f t="shared" si="2"/>
        <v>#N/A</v>
      </c>
      <c r="G27" s="10" t="e">
        <f t="shared" ref="G27" si="29">AVERAGE(G13:H13)</f>
        <v>#N/A</v>
      </c>
      <c r="H27" s="10" t="e">
        <f t="shared" ref="H27" si="30">_xlfn.STDEV.P(G13:H13)</f>
        <v>#N/A</v>
      </c>
      <c r="I27" s="10" t="e">
        <f t="shared" ref="I27" si="31">AVERAGE(I13:J13)</f>
        <v>#N/A</v>
      </c>
      <c r="J27" s="55" t="e">
        <f t="shared" ref="J27" si="32">_xlfn.STDEV.P(I13:J13)</f>
        <v>#N/A</v>
      </c>
    </row>
    <row r="28" spans="2:10" ht="15.75" thickBot="1" x14ac:dyDescent="0.3">
      <c r="B28" s="56">
        <v>4</v>
      </c>
      <c r="C28" s="57">
        <f t="shared" si="1"/>
        <v>4.5600000000000005</v>
      </c>
      <c r="D28" s="57">
        <f t="shared" si="0"/>
        <v>9.0000000000000302E-2</v>
      </c>
      <c r="E28" s="57">
        <f t="shared" si="1"/>
        <v>6.48</v>
      </c>
      <c r="F28" s="57">
        <f t="shared" si="2"/>
        <v>6.0000000000000053E-2</v>
      </c>
      <c r="G28" s="57">
        <f t="shared" ref="G28" si="33">AVERAGE(G14:H14)</f>
        <v>7.9700000000000006</v>
      </c>
      <c r="H28" s="57">
        <f t="shared" ref="H28" si="34">_xlfn.STDEV.P(G14:H14)</f>
        <v>2.0000000000000018E-2</v>
      </c>
      <c r="I28" s="57">
        <f t="shared" ref="I28" si="35">AVERAGE(I14:J14)</f>
        <v>7.8949999999999996</v>
      </c>
      <c r="J28" s="58">
        <f t="shared" ref="J28" si="36">_xlfn.STDEV.P(I14:J14)</f>
        <v>2.4999999999999911E-2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3:AA22"/>
  <sheetViews>
    <sheetView workbookViewId="0">
      <selection activeCell="J13" sqref="J13"/>
    </sheetView>
  </sheetViews>
  <sheetFormatPr defaultRowHeight="15" x14ac:dyDescent="0.25"/>
  <cols>
    <col min="3" max="3" width="13.42578125" customWidth="1"/>
    <col min="4" max="27" width="6.7109375" customWidth="1"/>
  </cols>
  <sheetData>
    <row r="3" spans="3:27" ht="15.75" thickBot="1" x14ac:dyDescent="0.3">
      <c r="C3" t="s">
        <v>4</v>
      </c>
      <c r="D3" t="s">
        <v>20</v>
      </c>
      <c r="G3" t="s">
        <v>21</v>
      </c>
      <c r="J3" t="s">
        <v>22</v>
      </c>
      <c r="M3" t="s">
        <v>23</v>
      </c>
      <c r="P3" t="s">
        <v>24</v>
      </c>
      <c r="S3" t="s">
        <v>25</v>
      </c>
      <c r="V3" t="s">
        <v>26</v>
      </c>
      <c r="Y3" t="s">
        <v>27</v>
      </c>
    </row>
    <row r="4" spans="3:27" x14ac:dyDescent="0.25">
      <c r="C4" s="33" t="s">
        <v>19</v>
      </c>
      <c r="D4" s="34" t="s">
        <v>34</v>
      </c>
      <c r="E4" s="34" t="s">
        <v>35</v>
      </c>
      <c r="F4" s="34" t="s">
        <v>36</v>
      </c>
      <c r="G4" s="34" t="s">
        <v>34</v>
      </c>
      <c r="H4" s="34" t="s">
        <v>35</v>
      </c>
      <c r="I4" s="34" t="s">
        <v>36</v>
      </c>
      <c r="J4" s="34" t="s">
        <v>34</v>
      </c>
      <c r="K4" s="34" t="s">
        <v>35</v>
      </c>
      <c r="L4" s="34" t="s">
        <v>36</v>
      </c>
      <c r="M4" s="34" t="s">
        <v>34</v>
      </c>
      <c r="N4" s="34" t="s">
        <v>35</v>
      </c>
      <c r="O4" s="34" t="s">
        <v>36</v>
      </c>
      <c r="P4" s="34" t="s">
        <v>34</v>
      </c>
      <c r="Q4" s="34" t="s">
        <v>35</v>
      </c>
      <c r="R4" s="34" t="s">
        <v>36</v>
      </c>
      <c r="S4" s="34" t="s">
        <v>34</v>
      </c>
      <c r="T4" s="34" t="s">
        <v>35</v>
      </c>
      <c r="U4" s="34" t="s">
        <v>36</v>
      </c>
      <c r="V4" s="34" t="s">
        <v>34</v>
      </c>
      <c r="W4" s="34" t="s">
        <v>35</v>
      </c>
      <c r="X4" s="34" t="s">
        <v>36</v>
      </c>
      <c r="Y4" s="34" t="s">
        <v>34</v>
      </c>
      <c r="Z4" s="34" t="s">
        <v>35</v>
      </c>
      <c r="AA4" s="35" t="s">
        <v>36</v>
      </c>
    </row>
    <row r="5" spans="3:27" x14ac:dyDescent="0.25">
      <c r="C5" s="36">
        <v>0</v>
      </c>
      <c r="D5" s="43">
        <v>193.66900000000001</v>
      </c>
      <c r="E5" s="43">
        <v>193.66900000000001</v>
      </c>
      <c r="F5" s="43">
        <v>196.316</v>
      </c>
      <c r="G5" s="43">
        <v>193.501</v>
      </c>
      <c r="H5" s="43">
        <v>193.501</v>
      </c>
      <c r="I5" s="43">
        <v>197.24</v>
      </c>
      <c r="J5" s="43">
        <v>193.83799999999999</v>
      </c>
      <c r="K5" s="43">
        <v>193.83799999999999</v>
      </c>
      <c r="L5" s="43">
        <v>195.916</v>
      </c>
      <c r="M5" s="43">
        <v>194.10499999999999</v>
      </c>
      <c r="N5" s="43">
        <v>194.10499999999999</v>
      </c>
      <c r="O5" s="43">
        <v>182.62</v>
      </c>
      <c r="P5" s="43">
        <v>194.125</v>
      </c>
      <c r="Q5" s="43">
        <v>194.125</v>
      </c>
      <c r="R5" s="43">
        <v>193.33500000000001</v>
      </c>
      <c r="S5" s="43">
        <v>193.94</v>
      </c>
      <c r="T5" s="43">
        <v>193.94</v>
      </c>
      <c r="U5" s="43">
        <v>193.125</v>
      </c>
      <c r="V5" s="43">
        <v>191.52099999999999</v>
      </c>
      <c r="W5" s="43">
        <v>191.52099999999999</v>
      </c>
      <c r="X5" s="43">
        <v>190.80099999999999</v>
      </c>
      <c r="Y5" s="43">
        <v>191.678</v>
      </c>
      <c r="Z5" s="43">
        <v>191.678</v>
      </c>
      <c r="AA5" s="44">
        <v>191.304</v>
      </c>
    </row>
    <row r="6" spans="3:27" x14ac:dyDescent="0.25">
      <c r="C6" s="36">
        <v>1</v>
      </c>
      <c r="D6" s="43">
        <v>194.77500000000001</v>
      </c>
      <c r="E6" s="43">
        <v>175.46100000000001</v>
      </c>
      <c r="F6" s="43">
        <v>175.34</v>
      </c>
      <c r="G6" s="43">
        <v>196.126</v>
      </c>
      <c r="H6" s="43">
        <v>176.15100000000001</v>
      </c>
      <c r="I6" s="43">
        <v>175.7</v>
      </c>
      <c r="J6" s="43">
        <v>194.465</v>
      </c>
      <c r="K6" s="43">
        <v>174.74799999999999</v>
      </c>
      <c r="L6" s="43">
        <v>174.99600000000001</v>
      </c>
      <c r="M6" s="43">
        <v>181.054</v>
      </c>
      <c r="N6" s="43">
        <v>163.108</v>
      </c>
      <c r="O6" s="43">
        <v>163.077</v>
      </c>
      <c r="P6" s="43">
        <v>192.46199999999999</v>
      </c>
      <c r="Q6" s="43">
        <v>171.26400000000001</v>
      </c>
      <c r="R6" s="43">
        <v>170.828</v>
      </c>
      <c r="S6" s="43">
        <v>192.28</v>
      </c>
      <c r="T6" s="43">
        <v>172.18</v>
      </c>
      <c r="U6" s="43">
        <v>172.30500000000001</v>
      </c>
      <c r="V6" s="43">
        <v>189.965</v>
      </c>
      <c r="W6" s="43">
        <v>169.03</v>
      </c>
      <c r="X6" s="43">
        <v>168.52699999999999</v>
      </c>
      <c r="Y6" s="43">
        <v>190.571</v>
      </c>
      <c r="Z6" s="43">
        <v>170.554</v>
      </c>
      <c r="AA6" s="44">
        <v>170.10400000000001</v>
      </c>
    </row>
    <row r="7" spans="3:27" x14ac:dyDescent="0.25">
      <c r="C7" s="36">
        <v>2</v>
      </c>
      <c r="D7" s="43">
        <v>175.08</v>
      </c>
      <c r="E7" s="43">
        <v>154.083</v>
      </c>
      <c r="F7" s="43">
        <v>153.708</v>
      </c>
      <c r="G7" s="43">
        <v>175.44</v>
      </c>
      <c r="H7" s="43">
        <v>154.197</v>
      </c>
      <c r="I7" s="43">
        <v>153.755</v>
      </c>
      <c r="J7" s="43">
        <v>174.83699999999999</v>
      </c>
      <c r="K7" s="43">
        <v>154.49199999999999</v>
      </c>
      <c r="L7" s="43">
        <v>159.14400000000001</v>
      </c>
      <c r="M7" s="43">
        <v>162.94800000000001</v>
      </c>
      <c r="N7" s="43">
        <v>141.84899999999999</v>
      </c>
      <c r="O7" s="43">
        <v>143.72800000000001</v>
      </c>
      <c r="P7" s="43">
        <v>170.78200000000001</v>
      </c>
      <c r="Q7" s="43">
        <v>150.685</v>
      </c>
      <c r="R7" s="43">
        <v>150.512</v>
      </c>
      <c r="S7" s="43">
        <v>172.22399999999999</v>
      </c>
      <c r="T7" s="43">
        <v>150.93299999999999</v>
      </c>
      <c r="U7" s="43">
        <v>150.869</v>
      </c>
      <c r="V7" s="43">
        <v>168.452</v>
      </c>
      <c r="W7" s="43">
        <v>147.58699999999999</v>
      </c>
      <c r="X7" s="43">
        <v>147.06299999999999</v>
      </c>
      <c r="Y7" s="43">
        <v>170.05500000000001</v>
      </c>
      <c r="Z7" s="43">
        <v>150.15799999999999</v>
      </c>
      <c r="AA7" s="44">
        <v>149.892</v>
      </c>
    </row>
    <row r="8" spans="3:27" x14ac:dyDescent="0.25">
      <c r="C8" s="36">
        <v>3</v>
      </c>
      <c r="D8" s="43">
        <v>153.59200000000001</v>
      </c>
      <c r="E8" s="43">
        <v>133.547</v>
      </c>
      <c r="F8" s="43">
        <v>133.51300000000001</v>
      </c>
      <c r="G8" s="43">
        <v>153.61199999999999</v>
      </c>
      <c r="H8" s="43">
        <v>133.048</v>
      </c>
      <c r="I8" s="43">
        <v>132.86799999999999</v>
      </c>
      <c r="J8" s="43">
        <v>159.06700000000001</v>
      </c>
      <c r="K8" s="43">
        <v>138.52699999999999</v>
      </c>
      <c r="L8" s="43">
        <v>138.23599999999999</v>
      </c>
      <c r="M8" s="43">
        <v>143.60300000000001</v>
      </c>
      <c r="N8" s="43">
        <v>120.866</v>
      </c>
      <c r="O8" s="43">
        <v>120.779</v>
      </c>
      <c r="P8" s="43">
        <v>150.46600000000001</v>
      </c>
      <c r="Q8" s="43">
        <v>130.39400000000001</v>
      </c>
      <c r="R8" s="43">
        <v>130.18100000000001</v>
      </c>
      <c r="S8" s="43">
        <v>150.81299999999999</v>
      </c>
      <c r="T8" s="43">
        <v>129.453</v>
      </c>
      <c r="U8" s="43">
        <v>129.11000000000001</v>
      </c>
      <c r="V8" s="43">
        <v>146.99199999999999</v>
      </c>
      <c r="W8" s="43">
        <v>126.761</v>
      </c>
      <c r="X8" s="43">
        <v>126.503</v>
      </c>
      <c r="Y8" s="43">
        <v>149.82</v>
      </c>
      <c r="Z8" s="43">
        <v>128.744</v>
      </c>
      <c r="AA8" s="44">
        <v>128.52699999999999</v>
      </c>
    </row>
    <row r="9" spans="3:27" ht="15.75" thickBot="1" x14ac:dyDescent="0.3">
      <c r="C9" s="39">
        <v>4</v>
      </c>
      <c r="D9" s="46">
        <v>133.447</v>
      </c>
      <c r="E9" s="46">
        <v>133.447</v>
      </c>
      <c r="F9" s="46">
        <v>133.447</v>
      </c>
      <c r="G9" s="46">
        <v>132.803</v>
      </c>
      <c r="H9" s="46">
        <v>132.803</v>
      </c>
      <c r="I9" s="46">
        <v>132.803</v>
      </c>
      <c r="J9" s="46">
        <v>138.16900000000001</v>
      </c>
      <c r="K9" s="46">
        <v>138.16900000000001</v>
      </c>
      <c r="L9" s="46">
        <v>138.16900000000001</v>
      </c>
      <c r="M9" s="46">
        <v>120.706</v>
      </c>
      <c r="N9" s="46">
        <v>120.706</v>
      </c>
      <c r="O9" s="46">
        <v>120.706</v>
      </c>
      <c r="P9" s="46">
        <v>130.13</v>
      </c>
      <c r="Q9" s="46">
        <v>130.13</v>
      </c>
      <c r="R9" s="46">
        <v>130.13</v>
      </c>
      <c r="S9" s="46">
        <v>129.03299999999999</v>
      </c>
      <c r="T9" s="46">
        <v>129.03299999999999</v>
      </c>
      <c r="U9" s="46">
        <v>129.03299999999999</v>
      </c>
      <c r="V9" s="46">
        <v>126.43300000000001</v>
      </c>
      <c r="W9" s="46">
        <v>126.43300000000001</v>
      </c>
      <c r="X9" s="46">
        <v>126.43300000000001</v>
      </c>
      <c r="Y9" s="46">
        <v>128.447</v>
      </c>
      <c r="Z9" s="46">
        <v>128.447</v>
      </c>
      <c r="AA9" s="47">
        <v>128.447</v>
      </c>
    </row>
    <row r="11" spans="3:27" x14ac:dyDescent="0.25">
      <c r="C11" s="1" t="s">
        <v>37</v>
      </c>
      <c r="D11" s="1"/>
      <c r="F11" s="1" t="s">
        <v>38</v>
      </c>
      <c r="G11" s="1"/>
      <c r="H11" s="1"/>
    </row>
    <row r="12" spans="3:27" x14ac:dyDescent="0.25">
      <c r="C12" s="1" t="s">
        <v>28</v>
      </c>
      <c r="D12" s="1" t="s">
        <v>29</v>
      </c>
      <c r="F12" s="1" t="s">
        <v>39</v>
      </c>
      <c r="G12" s="1"/>
      <c r="H12" s="1" t="s">
        <v>40</v>
      </c>
    </row>
    <row r="13" spans="3:27" x14ac:dyDescent="0.25">
      <c r="C13" s="1" t="s">
        <v>30</v>
      </c>
      <c r="D13" s="1" t="s">
        <v>31</v>
      </c>
      <c r="F13" s="1" t="s">
        <v>41</v>
      </c>
      <c r="G13" s="1"/>
      <c r="H13" s="1" t="s">
        <v>42</v>
      </c>
    </row>
    <row r="14" spans="3:27" x14ac:dyDescent="0.25">
      <c r="C14" s="1" t="s">
        <v>32</v>
      </c>
      <c r="D14" s="1" t="s">
        <v>33</v>
      </c>
      <c r="F14" s="1" t="s">
        <v>45</v>
      </c>
      <c r="H14" s="1" t="s">
        <v>1</v>
      </c>
    </row>
    <row r="16" spans="3:27" ht="15.75" thickBot="1" x14ac:dyDescent="0.3">
      <c r="C16" t="s">
        <v>4</v>
      </c>
      <c r="D16" t="s">
        <v>20</v>
      </c>
      <c r="G16" t="s">
        <v>21</v>
      </c>
      <c r="J16" t="s">
        <v>22</v>
      </c>
      <c r="M16" t="s">
        <v>23</v>
      </c>
      <c r="P16" t="s">
        <v>24</v>
      </c>
      <c r="S16" t="s">
        <v>25</v>
      </c>
      <c r="V16" t="s">
        <v>26</v>
      </c>
      <c r="Y16" t="s">
        <v>27</v>
      </c>
    </row>
    <row r="17" spans="3:27" x14ac:dyDescent="0.25">
      <c r="C17" s="33" t="s">
        <v>19</v>
      </c>
      <c r="D17" s="42" t="s">
        <v>46</v>
      </c>
      <c r="E17" s="34" t="s">
        <v>43</v>
      </c>
      <c r="F17" s="34" t="s">
        <v>44</v>
      </c>
      <c r="G17" s="42" t="s">
        <v>46</v>
      </c>
      <c r="H17" s="34" t="s">
        <v>43</v>
      </c>
      <c r="I17" s="34" t="s">
        <v>44</v>
      </c>
      <c r="J17" s="42" t="s">
        <v>46</v>
      </c>
      <c r="K17" s="34" t="s">
        <v>43</v>
      </c>
      <c r="L17" s="34" t="s">
        <v>44</v>
      </c>
      <c r="M17" s="42" t="s">
        <v>46</v>
      </c>
      <c r="N17" s="34" t="s">
        <v>43</v>
      </c>
      <c r="O17" s="34" t="s">
        <v>44</v>
      </c>
      <c r="P17" s="42" t="s">
        <v>46</v>
      </c>
      <c r="Q17" s="34" t="s">
        <v>43</v>
      </c>
      <c r="R17" s="34" t="s">
        <v>44</v>
      </c>
      <c r="S17" s="42" t="s">
        <v>46</v>
      </c>
      <c r="T17" s="34" t="s">
        <v>43</v>
      </c>
      <c r="U17" s="34" t="s">
        <v>44</v>
      </c>
      <c r="V17" s="42" t="s">
        <v>46</v>
      </c>
      <c r="W17" s="34" t="s">
        <v>43</v>
      </c>
      <c r="X17" s="34" t="s">
        <v>44</v>
      </c>
      <c r="Y17" s="42" t="s">
        <v>46</v>
      </c>
      <c r="Z17" s="34" t="s">
        <v>43</v>
      </c>
      <c r="AA17" s="35" t="s">
        <v>44</v>
      </c>
    </row>
    <row r="18" spans="3:27" x14ac:dyDescent="0.25">
      <c r="C18" s="36">
        <v>0</v>
      </c>
      <c r="D18" s="43">
        <f>D5-E5</f>
        <v>0</v>
      </c>
      <c r="E18" s="43">
        <v>0</v>
      </c>
      <c r="F18" s="43">
        <f>F5-E5</f>
        <v>2.6469999999999914</v>
      </c>
      <c r="G18" s="43">
        <f t="shared" ref="G18:Y22" si="0">G5-H5</f>
        <v>0</v>
      </c>
      <c r="H18" s="43">
        <v>1</v>
      </c>
      <c r="I18" s="43">
        <f t="shared" ref="I18:AA22" si="1">I5-H5</f>
        <v>3.7390000000000043</v>
      </c>
      <c r="J18" s="43">
        <f t="shared" ref="J18" si="2">J5-K5</f>
        <v>0</v>
      </c>
      <c r="K18" s="43">
        <v>2</v>
      </c>
      <c r="L18" s="43">
        <f t="shared" ref="L18" si="3">L5-K5</f>
        <v>2.078000000000003</v>
      </c>
      <c r="M18" s="43">
        <f t="shared" ref="M18" si="4">M5-N5</f>
        <v>0</v>
      </c>
      <c r="N18" s="43">
        <v>3</v>
      </c>
      <c r="O18" s="43">
        <f t="shared" ref="O18" si="5">O5-N5</f>
        <v>-11.484999999999985</v>
      </c>
      <c r="P18" s="43">
        <f t="shared" ref="P18" si="6">P5-Q5</f>
        <v>0</v>
      </c>
      <c r="Q18" s="43">
        <v>4</v>
      </c>
      <c r="R18" s="43">
        <f t="shared" ref="R18" si="7">R5-Q5</f>
        <v>-0.78999999999999204</v>
      </c>
      <c r="S18" s="43">
        <f t="shared" ref="S18" si="8">S5-T5</f>
        <v>0</v>
      </c>
      <c r="T18" s="43">
        <v>5</v>
      </c>
      <c r="U18" s="43">
        <f t="shared" ref="U18" si="9">U5-T5</f>
        <v>-0.81499999999999773</v>
      </c>
      <c r="V18" s="43">
        <f t="shared" ref="V18" si="10">V5-W5</f>
        <v>0</v>
      </c>
      <c r="W18" s="43">
        <v>6</v>
      </c>
      <c r="X18" s="43">
        <f t="shared" ref="X18" si="11">X5-W5</f>
        <v>-0.71999999999999886</v>
      </c>
      <c r="Y18" s="43">
        <f t="shared" ref="Y18" si="12">Y5-Z5</f>
        <v>0</v>
      </c>
      <c r="Z18" s="43">
        <v>7</v>
      </c>
      <c r="AA18" s="44">
        <f t="shared" ref="AA18" si="13">AA5-Z5</f>
        <v>-0.37399999999999523</v>
      </c>
    </row>
    <row r="19" spans="3:27" x14ac:dyDescent="0.25">
      <c r="C19" s="36">
        <v>1</v>
      </c>
      <c r="D19" s="43">
        <f t="shared" ref="D19:D22" si="14">D6-E6</f>
        <v>19.313999999999993</v>
      </c>
      <c r="E19" s="43">
        <f>F5-D6</f>
        <v>1.5409999999999968</v>
      </c>
      <c r="F19" s="43">
        <f t="shared" ref="F19:F22" si="15">F6-E6</f>
        <v>-0.12100000000000932</v>
      </c>
      <c r="G19" s="43">
        <f t="shared" si="0"/>
        <v>19.974999999999994</v>
      </c>
      <c r="H19" s="43">
        <f t="shared" ref="H19" si="16">I5-G6</f>
        <v>1.1140000000000043</v>
      </c>
      <c r="I19" s="43">
        <f t="shared" si="1"/>
        <v>-0.45100000000002183</v>
      </c>
      <c r="J19" s="43">
        <f t="shared" si="0"/>
        <v>19.717000000000013</v>
      </c>
      <c r="K19" s="43">
        <f t="shared" ref="K19" si="17">L5-J6</f>
        <v>1.4509999999999934</v>
      </c>
      <c r="L19" s="43">
        <f t="shared" si="1"/>
        <v>0.24800000000001887</v>
      </c>
      <c r="M19" s="43">
        <f t="shared" si="0"/>
        <v>17.945999999999998</v>
      </c>
      <c r="N19" s="43">
        <f t="shared" ref="N19" si="18">O5-M6</f>
        <v>1.5660000000000025</v>
      </c>
      <c r="O19" s="43">
        <f t="shared" si="1"/>
        <v>-3.1000000000005912E-2</v>
      </c>
      <c r="P19" s="43">
        <f t="shared" si="0"/>
        <v>21.197999999999979</v>
      </c>
      <c r="Q19" s="43">
        <f t="shared" ref="Q19" si="19">R5-P6</f>
        <v>0.87300000000001887</v>
      </c>
      <c r="R19" s="43">
        <f t="shared" si="1"/>
        <v>-0.43600000000000705</v>
      </c>
      <c r="S19" s="43">
        <f t="shared" si="0"/>
        <v>20.099999999999994</v>
      </c>
      <c r="T19" s="43">
        <f t="shared" ref="T19" si="20">U5-S6</f>
        <v>0.84499999999999886</v>
      </c>
      <c r="U19" s="43">
        <f t="shared" si="1"/>
        <v>0.125</v>
      </c>
      <c r="V19" s="43">
        <f t="shared" si="0"/>
        <v>20.935000000000002</v>
      </c>
      <c r="W19" s="43">
        <f t="shared" ref="W19" si="21">X5-V6</f>
        <v>0.83599999999998431</v>
      </c>
      <c r="X19" s="43">
        <f t="shared" si="1"/>
        <v>-0.50300000000001432</v>
      </c>
      <c r="Y19" s="43">
        <f t="shared" si="0"/>
        <v>20.016999999999996</v>
      </c>
      <c r="Z19" s="43">
        <f t="shared" ref="Z19" si="22">AA5-Y6</f>
        <v>0.73300000000000409</v>
      </c>
      <c r="AA19" s="44">
        <f t="shared" si="1"/>
        <v>-0.44999999999998863</v>
      </c>
    </row>
    <row r="20" spans="3:27" x14ac:dyDescent="0.25">
      <c r="C20" s="36">
        <v>2</v>
      </c>
      <c r="D20" s="43">
        <f t="shared" si="14"/>
        <v>20.997000000000014</v>
      </c>
      <c r="E20" s="43">
        <f>F6-D7</f>
        <v>0.25999999999999091</v>
      </c>
      <c r="F20" s="43">
        <f t="shared" si="15"/>
        <v>-0.375</v>
      </c>
      <c r="G20" s="43">
        <f t="shared" si="0"/>
        <v>21.242999999999995</v>
      </c>
      <c r="H20" s="43">
        <f t="shared" ref="H20" si="23">I6-G7</f>
        <v>0.25999999999999091</v>
      </c>
      <c r="I20" s="43">
        <f t="shared" si="1"/>
        <v>-0.44200000000000728</v>
      </c>
      <c r="J20" s="43">
        <f t="shared" si="0"/>
        <v>20.344999999999999</v>
      </c>
      <c r="K20" s="43">
        <f t="shared" ref="K20" si="24">L6-J7</f>
        <v>0.15900000000002024</v>
      </c>
      <c r="L20" s="45">
        <f t="shared" si="1"/>
        <v>4.6520000000000152</v>
      </c>
      <c r="M20" s="43">
        <f t="shared" si="0"/>
        <v>21.099000000000018</v>
      </c>
      <c r="N20" s="43">
        <f t="shared" ref="N20" si="25">O6-M7</f>
        <v>0.12899999999999068</v>
      </c>
      <c r="O20" s="43">
        <f t="shared" si="1"/>
        <v>1.8790000000000191</v>
      </c>
      <c r="P20" s="43">
        <f t="shared" si="0"/>
        <v>20.097000000000008</v>
      </c>
      <c r="Q20" s="43">
        <f t="shared" ref="Q20" si="26">R6-P7</f>
        <v>4.5999999999992269E-2</v>
      </c>
      <c r="R20" s="43">
        <f t="shared" si="1"/>
        <v>-0.17300000000000182</v>
      </c>
      <c r="S20" s="43">
        <f t="shared" si="0"/>
        <v>21.290999999999997</v>
      </c>
      <c r="T20" s="43">
        <f t="shared" ref="T20" si="27">U6-S7</f>
        <v>8.100000000001728E-2</v>
      </c>
      <c r="U20" s="43">
        <f t="shared" si="1"/>
        <v>-6.3999999999992951E-2</v>
      </c>
      <c r="V20" s="43">
        <f t="shared" si="0"/>
        <v>20.865000000000009</v>
      </c>
      <c r="W20" s="43">
        <f t="shared" ref="W20" si="28">X6-V7</f>
        <v>7.4999999999988631E-2</v>
      </c>
      <c r="X20" s="43">
        <f t="shared" si="1"/>
        <v>-0.52400000000000091</v>
      </c>
      <c r="Y20" s="43">
        <f t="shared" si="0"/>
        <v>19.89700000000002</v>
      </c>
      <c r="Z20" s="43">
        <f t="shared" ref="Z20" si="29">AA6-Y7</f>
        <v>4.9000000000006594E-2</v>
      </c>
      <c r="AA20" s="44">
        <f t="shared" si="1"/>
        <v>-0.26599999999999113</v>
      </c>
    </row>
    <row r="21" spans="3:27" x14ac:dyDescent="0.25">
      <c r="C21" s="36">
        <v>3</v>
      </c>
      <c r="D21" s="43">
        <f t="shared" si="14"/>
        <v>20.045000000000016</v>
      </c>
      <c r="E21" s="43">
        <f>F7-D8</f>
        <v>0.11599999999998545</v>
      </c>
      <c r="F21" s="43">
        <f t="shared" si="15"/>
        <v>-3.3999999999991815E-2</v>
      </c>
      <c r="G21" s="43">
        <f t="shared" si="0"/>
        <v>20.563999999999993</v>
      </c>
      <c r="H21" s="43">
        <f t="shared" ref="H21:Z22" si="30">I7-G8</f>
        <v>0.14300000000000068</v>
      </c>
      <c r="I21" s="43">
        <f t="shared" si="1"/>
        <v>-0.18000000000000682</v>
      </c>
      <c r="J21" s="43">
        <f t="shared" si="0"/>
        <v>20.54000000000002</v>
      </c>
      <c r="K21" s="43">
        <f t="shared" ref="K21" si="31">L7-J8</f>
        <v>7.6999999999998181E-2</v>
      </c>
      <c r="L21" s="43">
        <f t="shared" si="1"/>
        <v>-0.29099999999999682</v>
      </c>
      <c r="M21" s="43">
        <f t="shared" si="0"/>
        <v>22.737000000000009</v>
      </c>
      <c r="N21" s="43">
        <f t="shared" ref="N21" si="32">O7-M8</f>
        <v>0.125</v>
      </c>
      <c r="O21" s="43">
        <f t="shared" si="1"/>
        <v>-8.7000000000003297E-2</v>
      </c>
      <c r="P21" s="43">
        <f t="shared" si="0"/>
        <v>20.072000000000003</v>
      </c>
      <c r="Q21" s="43">
        <f t="shared" ref="Q21" si="33">R7-P8</f>
        <v>4.5999999999992269E-2</v>
      </c>
      <c r="R21" s="43">
        <f t="shared" si="1"/>
        <v>-0.21299999999999386</v>
      </c>
      <c r="S21" s="43">
        <f t="shared" si="0"/>
        <v>21.359999999999985</v>
      </c>
      <c r="T21" s="43">
        <f t="shared" ref="T21" si="34">U7-S8</f>
        <v>5.6000000000011596E-2</v>
      </c>
      <c r="U21" s="43">
        <f t="shared" si="1"/>
        <v>-0.34299999999998931</v>
      </c>
      <c r="V21" s="43">
        <f t="shared" si="0"/>
        <v>20.230999999999995</v>
      </c>
      <c r="W21" s="43">
        <f t="shared" ref="W21" si="35">X7-V8</f>
        <v>7.0999999999997954E-2</v>
      </c>
      <c r="X21" s="43">
        <f t="shared" si="1"/>
        <v>-0.25799999999999557</v>
      </c>
      <c r="Y21" s="43">
        <f t="shared" si="0"/>
        <v>21.075999999999993</v>
      </c>
      <c r="Z21" s="43">
        <f t="shared" ref="Z21" si="36">AA7-Y8</f>
        <v>7.2000000000002728E-2</v>
      </c>
      <c r="AA21" s="44">
        <f t="shared" si="1"/>
        <v>-0.21700000000001296</v>
      </c>
    </row>
    <row r="22" spans="3:27" ht="15.75" thickBot="1" x14ac:dyDescent="0.3">
      <c r="C22" s="39">
        <v>4</v>
      </c>
      <c r="D22" s="46">
        <f t="shared" si="14"/>
        <v>0</v>
      </c>
      <c r="E22" s="46">
        <f t="shared" ref="E22" si="37">F8-D9</f>
        <v>6.6000000000002501E-2</v>
      </c>
      <c r="F22" s="46">
        <f t="shared" si="15"/>
        <v>0</v>
      </c>
      <c r="G22" s="46">
        <f t="shared" si="0"/>
        <v>0</v>
      </c>
      <c r="H22" s="46">
        <f t="shared" si="30"/>
        <v>6.4999999999997726E-2</v>
      </c>
      <c r="I22" s="46">
        <f t="shared" si="1"/>
        <v>0</v>
      </c>
      <c r="J22" s="46">
        <f t="shared" si="0"/>
        <v>0</v>
      </c>
      <c r="K22" s="46">
        <f t="shared" si="30"/>
        <v>6.6999999999978854E-2</v>
      </c>
      <c r="L22" s="46">
        <f t="shared" si="1"/>
        <v>0</v>
      </c>
      <c r="M22" s="46">
        <f t="shared" si="0"/>
        <v>0</v>
      </c>
      <c r="N22" s="46">
        <f t="shared" si="30"/>
        <v>7.2999999999993292E-2</v>
      </c>
      <c r="O22" s="46">
        <f t="shared" si="1"/>
        <v>0</v>
      </c>
      <c r="P22" s="46">
        <f t="shared" si="0"/>
        <v>0</v>
      </c>
      <c r="Q22" s="46">
        <f t="shared" si="30"/>
        <v>5.1000000000016144E-2</v>
      </c>
      <c r="R22" s="46">
        <f t="shared" si="1"/>
        <v>0</v>
      </c>
      <c r="S22" s="46">
        <f t="shared" si="0"/>
        <v>0</v>
      </c>
      <c r="T22" s="46">
        <f t="shared" si="30"/>
        <v>7.7000000000026603E-2</v>
      </c>
      <c r="U22" s="46">
        <f t="shared" si="1"/>
        <v>0</v>
      </c>
      <c r="V22" s="46">
        <f t="shared" si="0"/>
        <v>0</v>
      </c>
      <c r="W22" s="46">
        <f t="shared" si="30"/>
        <v>6.9999999999993179E-2</v>
      </c>
      <c r="X22" s="46">
        <f t="shared" si="1"/>
        <v>0</v>
      </c>
      <c r="Y22" s="46">
        <f t="shared" si="0"/>
        <v>0</v>
      </c>
      <c r="Z22" s="46">
        <f t="shared" si="30"/>
        <v>7.9999999999984084E-2</v>
      </c>
      <c r="AA22" s="47">
        <f t="shared" si="1"/>
        <v>0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59"/>
  <sheetViews>
    <sheetView topLeftCell="A30" workbookViewId="0">
      <selection activeCell="G23" sqref="G23"/>
    </sheetView>
  </sheetViews>
  <sheetFormatPr defaultRowHeight="15" x14ac:dyDescent="0.25"/>
  <cols>
    <col min="3" max="3" width="12.140625" customWidth="1"/>
    <col min="4" max="4" width="17" customWidth="1"/>
    <col min="5" max="5" width="12.7109375" customWidth="1"/>
    <col min="9" max="9" width="11.5703125" customWidth="1"/>
    <col min="12" max="12" width="10.7109375" customWidth="1"/>
    <col min="17" max="17" width="18.85546875" customWidth="1"/>
  </cols>
  <sheetData>
    <row r="1" spans="1:8" x14ac:dyDescent="0.25">
      <c r="A1" s="1"/>
      <c r="E1" s="1" t="s">
        <v>47</v>
      </c>
      <c r="F1" s="6">
        <v>0.93710000000000004</v>
      </c>
    </row>
    <row r="2" spans="1:8" x14ac:dyDescent="0.25">
      <c r="C2" t="s">
        <v>48</v>
      </c>
      <c r="D2" s="1" t="s">
        <v>103</v>
      </c>
      <c r="E2" s="1" t="s">
        <v>49</v>
      </c>
      <c r="F2" s="1">
        <v>1.052</v>
      </c>
    </row>
    <row r="3" spans="1:8" x14ac:dyDescent="0.25">
      <c r="A3" t="s">
        <v>50</v>
      </c>
      <c r="B3" t="s">
        <v>51</v>
      </c>
      <c r="C3" t="s">
        <v>52</v>
      </c>
      <c r="D3" t="s">
        <v>53</v>
      </c>
      <c r="E3" t="s">
        <v>54</v>
      </c>
      <c r="F3" t="s">
        <v>55</v>
      </c>
      <c r="G3" t="s">
        <v>88</v>
      </c>
    </row>
    <row r="4" spans="1:8" x14ac:dyDescent="0.25">
      <c r="A4" t="s">
        <v>56</v>
      </c>
      <c r="B4">
        <v>30</v>
      </c>
      <c r="C4">
        <v>0.01</v>
      </c>
      <c r="D4">
        <f>(C4-$C$4)*14*0.25*$F$1*1000/B4</f>
        <v>0</v>
      </c>
      <c r="E4">
        <f t="shared" ref="E4:E14" si="0">D4/14*18</f>
        <v>0</v>
      </c>
      <c r="F4" s="7">
        <f>E4/1000</f>
        <v>0</v>
      </c>
    </row>
    <row r="5" spans="1:8" x14ac:dyDescent="0.25">
      <c r="A5" t="s">
        <v>57</v>
      </c>
      <c r="B5">
        <v>10</v>
      </c>
      <c r="C5">
        <v>2.4900000000000002</v>
      </c>
      <c r="D5">
        <f>(C5-$C$4)*14*0.25*$F$1*1000/B5</f>
        <v>813.40280000000018</v>
      </c>
      <c r="E5">
        <f>D5/14*18</f>
        <v>1045.8036000000002</v>
      </c>
      <c r="F5" s="7">
        <f t="shared" ref="F5:F16" si="1">E5/1000</f>
        <v>1.0458036000000002</v>
      </c>
      <c r="G5" s="5">
        <f>($F$2*1000-D5)/($F$2*1000)</f>
        <v>0.22680342205323176</v>
      </c>
      <c r="H5" s="29">
        <f>AVERAGE(G5:G6)</f>
        <v>0.20342046102661582</v>
      </c>
    </row>
    <row r="6" spans="1:8" x14ac:dyDescent="0.25">
      <c r="A6" t="s">
        <v>57</v>
      </c>
      <c r="B6">
        <v>10</v>
      </c>
      <c r="C6">
        <v>2.64</v>
      </c>
      <c r="D6">
        <f>(C6-$C$4)*14*0.25*$F$1*1000/B6</f>
        <v>862.60055000000011</v>
      </c>
      <c r="E6">
        <f t="shared" si="0"/>
        <v>1109.0578500000001</v>
      </c>
      <c r="F6" s="7">
        <f t="shared" si="1"/>
        <v>1.1090578500000001</v>
      </c>
      <c r="G6" s="5">
        <f>($F$2*1000-D6)/($F$2*1000)</f>
        <v>0.18003749999999991</v>
      </c>
      <c r="H6" s="29"/>
    </row>
    <row r="7" spans="1:8" x14ac:dyDescent="0.25">
      <c r="A7" t="s">
        <v>59</v>
      </c>
      <c r="B7">
        <v>5</v>
      </c>
      <c r="C7">
        <v>3.6</v>
      </c>
      <c r="D7">
        <f>(C7-$C$4)*14*0.25*$F$1*1000/B7</f>
        <v>2354.9323000000004</v>
      </c>
      <c r="E7">
        <f t="shared" si="0"/>
        <v>3027.7701000000006</v>
      </c>
      <c r="F7" s="7">
        <f t="shared" si="1"/>
        <v>3.0277701000000006</v>
      </c>
    </row>
    <row r="8" spans="1:8" x14ac:dyDescent="0.25">
      <c r="A8" t="s">
        <v>58</v>
      </c>
      <c r="B8">
        <v>5</v>
      </c>
      <c r="C8">
        <v>3.48</v>
      </c>
      <c r="D8">
        <f t="shared" ref="D8:D16" si="2">(C8-$C$4)*14*0.25*$F$1*1000/B8</f>
        <v>2276.2159000000001</v>
      </c>
      <c r="E8">
        <f t="shared" si="0"/>
        <v>2926.5632999999998</v>
      </c>
      <c r="F8" s="7">
        <f t="shared" si="1"/>
        <v>2.9265632999999998</v>
      </c>
    </row>
    <row r="9" spans="1:8" x14ac:dyDescent="0.25">
      <c r="A9" t="s">
        <v>60</v>
      </c>
      <c r="B9">
        <v>5</v>
      </c>
      <c r="C9">
        <v>4.51</v>
      </c>
      <c r="D9">
        <f t="shared" si="2"/>
        <v>2951.8650000000002</v>
      </c>
      <c r="E9">
        <f t="shared" si="0"/>
        <v>3795.2550000000006</v>
      </c>
      <c r="F9" s="7">
        <f t="shared" si="1"/>
        <v>3.7952550000000005</v>
      </c>
    </row>
    <row r="10" spans="1:8" x14ac:dyDescent="0.25">
      <c r="A10" t="s">
        <v>61</v>
      </c>
      <c r="B10">
        <v>5</v>
      </c>
      <c r="C10">
        <v>4.45</v>
      </c>
      <c r="D10">
        <f t="shared" si="2"/>
        <v>2912.5068000000001</v>
      </c>
      <c r="E10">
        <f t="shared" si="0"/>
        <v>3744.6516000000001</v>
      </c>
      <c r="F10" s="7">
        <f t="shared" si="1"/>
        <v>3.7446516000000001</v>
      </c>
    </row>
    <row r="11" spans="1:8" x14ac:dyDescent="0.25">
      <c r="A11" t="s">
        <v>62</v>
      </c>
      <c r="B11">
        <v>5</v>
      </c>
      <c r="C11">
        <v>4.76</v>
      </c>
      <c r="D11">
        <f t="shared" si="2"/>
        <v>3115.8575000000005</v>
      </c>
      <c r="E11">
        <f t="shared" si="0"/>
        <v>4006.1025000000004</v>
      </c>
      <c r="F11" s="7">
        <f t="shared" si="1"/>
        <v>4.0061025000000008</v>
      </c>
      <c r="G11" s="8"/>
    </row>
    <row r="12" spans="1:8" x14ac:dyDescent="0.25">
      <c r="A12" t="s">
        <v>63</v>
      </c>
      <c r="B12">
        <v>5</v>
      </c>
      <c r="C12">
        <v>4.75</v>
      </c>
      <c r="D12">
        <f t="shared" si="2"/>
        <v>3109.2978000000003</v>
      </c>
      <c r="E12">
        <f t="shared" si="0"/>
        <v>3997.6686</v>
      </c>
      <c r="F12" s="7">
        <f t="shared" si="1"/>
        <v>3.9976685999999999</v>
      </c>
      <c r="G12" s="8"/>
    </row>
    <row r="13" spans="1:8" x14ac:dyDescent="0.25">
      <c r="A13" t="s">
        <v>64</v>
      </c>
      <c r="B13">
        <v>5</v>
      </c>
      <c r="C13">
        <v>1.89</v>
      </c>
      <c r="D13">
        <f t="shared" si="2"/>
        <v>1233.2236</v>
      </c>
      <c r="E13">
        <f t="shared" si="0"/>
        <v>1585.5732</v>
      </c>
      <c r="F13" s="7">
        <f t="shared" si="1"/>
        <v>1.5855732</v>
      </c>
      <c r="G13" s="8"/>
    </row>
    <row r="14" spans="1:8" x14ac:dyDescent="0.25">
      <c r="A14" t="s">
        <v>65</v>
      </c>
      <c r="B14">
        <v>5</v>
      </c>
      <c r="C14">
        <v>1.87</v>
      </c>
      <c r="D14">
        <f t="shared" si="2"/>
        <v>1220.1042000000002</v>
      </c>
      <c r="E14">
        <f t="shared" si="0"/>
        <v>1568.7054000000003</v>
      </c>
      <c r="F14" s="7">
        <f t="shared" si="1"/>
        <v>1.5687054000000002</v>
      </c>
      <c r="G14" s="8"/>
    </row>
    <row r="15" spans="1:8" x14ac:dyDescent="0.25">
      <c r="A15" t="s">
        <v>11</v>
      </c>
      <c r="B15">
        <v>5</v>
      </c>
      <c r="C15">
        <v>1.74</v>
      </c>
      <c r="D15">
        <f t="shared" si="2"/>
        <v>1134.8281000000002</v>
      </c>
      <c r="E15">
        <f t="shared" ref="E15:E16" si="3">D15/14*18</f>
        <v>1459.0647000000004</v>
      </c>
      <c r="F15" s="7">
        <f t="shared" si="1"/>
        <v>1.4590647000000003</v>
      </c>
    </row>
    <row r="16" spans="1:8" x14ac:dyDescent="0.25">
      <c r="A16" t="s">
        <v>11</v>
      </c>
      <c r="B16">
        <v>5</v>
      </c>
      <c r="C16">
        <v>1.77</v>
      </c>
      <c r="D16">
        <f t="shared" si="2"/>
        <v>1154.5072000000002</v>
      </c>
      <c r="E16">
        <f t="shared" si="3"/>
        <v>1484.3664000000001</v>
      </c>
      <c r="F16" s="7">
        <f t="shared" si="1"/>
        <v>1.4843664000000001</v>
      </c>
    </row>
    <row r="17" spans="1:23" x14ac:dyDescent="0.25">
      <c r="E17" s="7"/>
      <c r="F17" s="5"/>
    </row>
    <row r="18" spans="1:23" x14ac:dyDescent="0.25">
      <c r="E18" s="7"/>
      <c r="F18" s="5"/>
    </row>
    <row r="19" spans="1:23" ht="15.75" thickBot="1" x14ac:dyDescent="0.3">
      <c r="E19" s="1" t="s">
        <v>47</v>
      </c>
      <c r="F19" s="6">
        <v>0.93710000000000004</v>
      </c>
      <c r="K19" t="s">
        <v>104</v>
      </c>
      <c r="L19" t="s">
        <v>70</v>
      </c>
      <c r="R19" t="s">
        <v>107</v>
      </c>
    </row>
    <row r="20" spans="1:23" x14ac:dyDescent="0.25">
      <c r="C20" t="s">
        <v>48</v>
      </c>
      <c r="D20" s="1" t="s">
        <v>103</v>
      </c>
      <c r="E20" s="1" t="s">
        <v>49</v>
      </c>
      <c r="F20" s="1">
        <v>1.052</v>
      </c>
      <c r="K20" s="33" t="s">
        <v>4</v>
      </c>
      <c r="L20" s="34">
        <v>0</v>
      </c>
      <c r="M20" s="34">
        <v>1</v>
      </c>
      <c r="N20" s="34">
        <v>2</v>
      </c>
      <c r="O20" s="34">
        <v>3</v>
      </c>
      <c r="P20" s="35">
        <v>4</v>
      </c>
      <c r="R20" s="33" t="s">
        <v>4</v>
      </c>
      <c r="S20" s="34">
        <v>0</v>
      </c>
      <c r="T20" s="34">
        <v>1</v>
      </c>
      <c r="U20" s="34">
        <v>2</v>
      </c>
      <c r="V20" s="34">
        <v>3</v>
      </c>
      <c r="W20" s="35">
        <v>4</v>
      </c>
    </row>
    <row r="21" spans="1:23" x14ac:dyDescent="0.25">
      <c r="A21" t="s">
        <v>50</v>
      </c>
      <c r="B21" t="s">
        <v>51</v>
      </c>
      <c r="C21" t="s">
        <v>52</v>
      </c>
      <c r="D21" t="s">
        <v>53</v>
      </c>
      <c r="E21" t="s">
        <v>54</v>
      </c>
      <c r="F21" t="s">
        <v>55</v>
      </c>
      <c r="K21" s="36" t="s">
        <v>66</v>
      </c>
      <c r="L21" s="37">
        <f>AVERAGE(D15:D16)/1000</f>
        <v>1.1446676500000004</v>
      </c>
      <c r="M21" s="37">
        <f>AVERAGE(D7:D8)/1000</f>
        <v>2.3155741000000001</v>
      </c>
      <c r="N21" s="37">
        <f>AVERAGE(D23:D24)/1000</f>
        <v>2.4172494500000004</v>
      </c>
      <c r="O21" s="37">
        <f>AVERAGE(D37:D38)/1000</f>
        <v>2.5714023999999998</v>
      </c>
      <c r="P21" s="38">
        <f>AVERAGE(D52:D53)/1000</f>
        <v>2.6533597999999996</v>
      </c>
      <c r="R21" s="36" t="s">
        <v>66</v>
      </c>
      <c r="S21" s="37">
        <f>_xlfn.STDEV.P($D$15:$D$16)/1000</f>
        <v>9.839550000000032E-3</v>
      </c>
      <c r="T21" s="37">
        <f>_xlfn.STDEV.P(D7:D8)/1000</f>
        <v>3.9358200000000128E-2</v>
      </c>
      <c r="U21" s="37">
        <f>_xlfn.STDEV.P(D23:D24)/1000</f>
        <v>9.8395500000001447E-3</v>
      </c>
      <c r="V21" s="37">
        <f>_xlfn.STDEV.P(D37:D38)/1000</f>
        <v>6.5597000000000207E-3</v>
      </c>
      <c r="W21" s="38">
        <f>_xlfn.STDEV.P(D52:D53)/1000</f>
        <v>0.23177979999999979</v>
      </c>
    </row>
    <row r="22" spans="1:23" x14ac:dyDescent="0.25">
      <c r="A22" t="s">
        <v>56</v>
      </c>
      <c r="B22">
        <v>30</v>
      </c>
      <c r="C22">
        <v>0</v>
      </c>
      <c r="D22">
        <f>(C22-$C$22)*14*0.25*$F$19*1000/B22</f>
        <v>0</v>
      </c>
      <c r="E22">
        <f t="shared" ref="E22:E30" si="4">D22/14*18</f>
        <v>0</v>
      </c>
      <c r="F22" s="7">
        <f>E22/1000</f>
        <v>0</v>
      </c>
      <c r="K22" s="36" t="s">
        <v>67</v>
      </c>
      <c r="L22" s="37">
        <f>AVERAGE(D15:D16)/1000</f>
        <v>1.1446676500000004</v>
      </c>
      <c r="M22" s="37">
        <f>AVERAGE(D9:D10)/1000</f>
        <v>2.9321859000000003</v>
      </c>
      <c r="N22" s="37">
        <f>AVERAGE(D25:D26)/1000</f>
        <v>3.7849469</v>
      </c>
      <c r="O22" s="37">
        <f>AVERAGE(D39:D40)/1000</f>
        <v>3.7062304999999998</v>
      </c>
      <c r="P22" s="38">
        <f>AVERAGE(D54:D55)/1000</f>
        <v>4.3000341999999998</v>
      </c>
      <c r="R22" s="36" t="s">
        <v>67</v>
      </c>
      <c r="S22" s="37">
        <f>_xlfn.STDEV.P($D$15:$D$16)/1000</f>
        <v>9.839550000000032E-3</v>
      </c>
      <c r="T22" s="37">
        <f>_xlfn.STDEV.P(D9:D10)/1000</f>
        <v>1.9679100000000064E-2</v>
      </c>
      <c r="U22" s="37">
        <f>_xlfn.STDEV.P(D25:D26)/1000</f>
        <v>2.6238799999999854E-2</v>
      </c>
      <c r="V22" s="37">
        <f>_xlfn.STDEV.P(D39:D40)/1000</f>
        <v>5.9037300000000417E-2</v>
      </c>
      <c r="W22" s="38">
        <f>_xlfn.STDEV.P(D54:D55)/1000</f>
        <v>3.1134599999999863E-2</v>
      </c>
    </row>
    <row r="23" spans="1:23" x14ac:dyDescent="0.25">
      <c r="A23" t="s">
        <v>71</v>
      </c>
      <c r="B23">
        <v>5</v>
      </c>
      <c r="C23">
        <v>3.67</v>
      </c>
      <c r="D23">
        <f t="shared" ref="D23:D30" si="5">(C23-$C$22)*14*0.25*$F$19*1000/B23</f>
        <v>2407.4099000000001</v>
      </c>
      <c r="E23">
        <f t="shared" si="4"/>
        <v>3095.2413000000001</v>
      </c>
      <c r="F23" s="7">
        <f t="shared" ref="F23:F30" si="6">E23/1000</f>
        <v>3.0952413000000001</v>
      </c>
      <c r="K23" s="36" t="s">
        <v>68</v>
      </c>
      <c r="L23" s="37">
        <f>AVERAGE(D15:D16)/1000</f>
        <v>1.1446676500000004</v>
      </c>
      <c r="M23" s="37">
        <f>AVERAGE(D11:D12)/1000</f>
        <v>3.11257765</v>
      </c>
      <c r="N23" s="37">
        <f>AVERAGE(D27:D28)/1000</f>
        <v>3.7357491500000002</v>
      </c>
      <c r="O23" s="37">
        <f>AVERAGE(D41:D42)/1000</f>
        <v>3.7259096000000009</v>
      </c>
      <c r="P23" s="38">
        <f>AVERAGE(D56:D57)/1000</f>
        <v>4.2273868000000006</v>
      </c>
      <c r="Q23" s="7"/>
      <c r="R23" s="36" t="s">
        <v>68</v>
      </c>
      <c r="S23" s="37">
        <f>_xlfn.STDEV.P($D$15:$D$16)/1000</f>
        <v>9.839550000000032E-3</v>
      </c>
      <c r="T23" s="37">
        <f>_xlfn.STDEV.P(D11:D12)/1000</f>
        <v>3.279850000000124E-3</v>
      </c>
      <c r="U23" s="37">
        <f>_xlfn.STDEV.P(D27:D28)/1000</f>
        <v>9.8395500000001447E-3</v>
      </c>
      <c r="V23" s="37">
        <f>_xlfn.STDEV.P(D41:D42)/1000</f>
        <v>4.5917899999999692E-2</v>
      </c>
      <c r="W23" s="38">
        <f>_xlfn.STDEV.P(D56:D57)/1000</f>
        <v>2.7675199999999678E-2</v>
      </c>
    </row>
    <row r="24" spans="1:23" ht="15.75" thickBot="1" x14ac:dyDescent="0.3">
      <c r="A24" t="s">
        <v>72</v>
      </c>
      <c r="B24">
        <v>5</v>
      </c>
      <c r="C24">
        <v>3.7</v>
      </c>
      <c r="D24">
        <f t="shared" si="5"/>
        <v>2427.0890000000004</v>
      </c>
      <c r="E24">
        <f t="shared" si="4"/>
        <v>3120.5430000000001</v>
      </c>
      <c r="F24" s="7">
        <f t="shared" si="6"/>
        <v>3.1205430000000001</v>
      </c>
      <c r="K24" s="39" t="s">
        <v>69</v>
      </c>
      <c r="L24" s="40">
        <f>AVERAGE(D15:D16)/1000</f>
        <v>1.1446676500000004</v>
      </c>
      <c r="M24" s="40">
        <f>AVERAGE(D13:D14)/1000</f>
        <v>1.2266638999999999</v>
      </c>
      <c r="N24" s="40">
        <f>AVERAGE(D29:D30)/1000</f>
        <v>1.3053802999999999</v>
      </c>
      <c r="O24" s="40">
        <f>AVERAGE(D43:D44)/1000</f>
        <v>1.3086601499999999</v>
      </c>
      <c r="P24" s="41">
        <f>AVERAGE(D58:D59)/1000</f>
        <v>1.5290547999999997</v>
      </c>
      <c r="Q24" s="7"/>
      <c r="R24" s="39" t="s">
        <v>69</v>
      </c>
      <c r="S24" s="40">
        <f>_xlfn.STDEV.P($D$15:$D$16)/1000</f>
        <v>9.839550000000032E-3</v>
      </c>
      <c r="T24" s="40">
        <f>_xlfn.STDEV.P(D13:D14)/1000</f>
        <v>6.5596999999999071E-3</v>
      </c>
      <c r="U24" s="40">
        <f>_xlfn.STDEV.P(D29:D30)/1000</f>
        <v>6.5597000000000207E-3</v>
      </c>
      <c r="V24" s="40">
        <f>_xlfn.STDEV.P(D43:D44)/1000</f>
        <v>9.8395499999999175E-3</v>
      </c>
      <c r="W24" s="41">
        <f>_xlfn.STDEV.P(D58:D59)/1000</f>
        <v>0</v>
      </c>
    </row>
    <row r="25" spans="1:23" ht="15.75" thickBot="1" x14ac:dyDescent="0.3">
      <c r="A25" t="s">
        <v>73</v>
      </c>
      <c r="B25">
        <v>5</v>
      </c>
      <c r="C25">
        <v>5.73</v>
      </c>
      <c r="D25">
        <f t="shared" si="5"/>
        <v>3758.7080999999998</v>
      </c>
      <c r="E25">
        <f t="shared" si="4"/>
        <v>4832.6247000000003</v>
      </c>
      <c r="F25" s="7">
        <f t="shared" si="6"/>
        <v>4.8326247000000002</v>
      </c>
      <c r="K25" t="s">
        <v>89</v>
      </c>
      <c r="Q25" s="7"/>
    </row>
    <row r="26" spans="1:23" ht="15.75" thickBot="1" x14ac:dyDescent="0.3">
      <c r="A26" t="s">
        <v>74</v>
      </c>
      <c r="B26">
        <v>5</v>
      </c>
      <c r="C26">
        <v>5.81</v>
      </c>
      <c r="D26">
        <f t="shared" si="5"/>
        <v>3811.1856999999995</v>
      </c>
      <c r="E26">
        <f t="shared" si="4"/>
        <v>4900.0958999999993</v>
      </c>
      <c r="F26" s="7">
        <f t="shared" si="6"/>
        <v>4.9000958999999993</v>
      </c>
      <c r="K26" s="17" t="s">
        <v>104</v>
      </c>
      <c r="L26" s="18" t="s">
        <v>70</v>
      </c>
      <c r="M26" s="18"/>
      <c r="N26" s="18"/>
      <c r="O26" s="18"/>
      <c r="P26" s="19"/>
    </row>
    <row r="27" spans="1:23" x14ac:dyDescent="0.25">
      <c r="A27" t="s">
        <v>75</v>
      </c>
      <c r="B27">
        <v>5</v>
      </c>
      <c r="C27">
        <v>5.71</v>
      </c>
      <c r="D27">
        <f t="shared" si="5"/>
        <v>3745.5887000000002</v>
      </c>
      <c r="E27">
        <f t="shared" si="4"/>
        <v>4815.7569000000003</v>
      </c>
      <c r="F27" s="7">
        <f t="shared" si="6"/>
        <v>4.8157569000000002</v>
      </c>
      <c r="K27" s="20" t="s">
        <v>4</v>
      </c>
      <c r="L27" s="21">
        <v>0</v>
      </c>
      <c r="M27" s="21">
        <v>1</v>
      </c>
      <c r="N27" s="21">
        <v>2</v>
      </c>
      <c r="O27" s="21">
        <v>3</v>
      </c>
      <c r="P27" s="22">
        <v>4</v>
      </c>
      <c r="Q27" s="30" t="s">
        <v>105</v>
      </c>
    </row>
    <row r="28" spans="1:23" x14ac:dyDescent="0.25">
      <c r="A28" t="s">
        <v>76</v>
      </c>
      <c r="B28">
        <v>5</v>
      </c>
      <c r="C28">
        <v>5.68</v>
      </c>
      <c r="D28">
        <f t="shared" si="5"/>
        <v>3725.9096</v>
      </c>
      <c r="E28">
        <f t="shared" si="4"/>
        <v>4790.4551999999994</v>
      </c>
      <c r="F28" s="7">
        <f t="shared" si="6"/>
        <v>4.7904551999999994</v>
      </c>
      <c r="K28" s="20" t="s">
        <v>66</v>
      </c>
      <c r="L28" s="24">
        <f>L21+L21*$H$5</f>
        <v>1.3775164710852534</v>
      </c>
      <c r="M28" s="24">
        <f>M21+M21*$H$5</f>
        <v>2.7866092509632909</v>
      </c>
      <c r="N28" s="24">
        <f>N21+N21*$H$5</f>
        <v>2.9089674475353338</v>
      </c>
      <c r="O28" s="24">
        <f>O21+O21*$H$5</f>
        <v>3.094478261692946</v>
      </c>
      <c r="P28" s="25">
        <f>P21+P21*$H$5</f>
        <v>3.1931074737854885</v>
      </c>
      <c r="Q28" s="31">
        <f>(P28-$P$31)/'set up'!I4</f>
        <v>0.50239029700596582</v>
      </c>
    </row>
    <row r="29" spans="1:23" x14ac:dyDescent="0.25">
      <c r="A29" t="s">
        <v>77</v>
      </c>
      <c r="B29">
        <v>5</v>
      </c>
      <c r="C29">
        <v>1.98</v>
      </c>
      <c r="D29">
        <f t="shared" si="5"/>
        <v>1298.8206</v>
      </c>
      <c r="E29">
        <f t="shared" si="4"/>
        <v>1669.9122000000002</v>
      </c>
      <c r="F29" s="7">
        <f t="shared" si="6"/>
        <v>1.6699122000000002</v>
      </c>
      <c r="K29" s="20" t="s">
        <v>67</v>
      </c>
      <c r="L29" s="24">
        <f t="shared" ref="L29:O31" si="7">L22+L22*$H$5</f>
        <v>1.3775164710852534</v>
      </c>
      <c r="M29" s="24">
        <f t="shared" si="7"/>
        <v>3.5286525075937427</v>
      </c>
      <c r="N29" s="24">
        <f t="shared" si="7"/>
        <v>4.5548825433592608</v>
      </c>
      <c r="O29" s="24">
        <f t="shared" si="7"/>
        <v>4.4601536169809046</v>
      </c>
      <c r="P29" s="25">
        <f>P22+P22*$G$51</f>
        <v>4.584238665722129</v>
      </c>
      <c r="Q29" s="31">
        <f>(P29-$P$31)/'set up'!I5</f>
        <v>0.94953960869988585</v>
      </c>
      <c r="S29" s="7"/>
      <c r="T29" s="7"/>
      <c r="U29" s="7"/>
      <c r="V29" s="7"/>
      <c r="W29" s="7"/>
    </row>
    <row r="30" spans="1:23" ht="15.75" thickBot="1" x14ac:dyDescent="0.3">
      <c r="A30" t="s">
        <v>78</v>
      </c>
      <c r="B30">
        <v>5</v>
      </c>
      <c r="C30">
        <v>2</v>
      </c>
      <c r="D30">
        <f t="shared" si="5"/>
        <v>1311.94</v>
      </c>
      <c r="E30">
        <f t="shared" si="4"/>
        <v>1686.7800000000002</v>
      </c>
      <c r="F30" s="7">
        <f t="shared" si="6"/>
        <v>1.6867800000000002</v>
      </c>
      <c r="K30" s="20" t="s">
        <v>68</v>
      </c>
      <c r="L30" s="24">
        <f t="shared" si="7"/>
        <v>1.3775164710852534</v>
      </c>
      <c r="M30" s="24">
        <f t="shared" si="7"/>
        <v>3.7457396305441404</v>
      </c>
      <c r="N30" s="24">
        <f t="shared" si="7"/>
        <v>4.4956769643727883</v>
      </c>
      <c r="O30" s="24">
        <f t="shared" si="7"/>
        <v>4.4838358485754952</v>
      </c>
      <c r="P30" s="25">
        <f>P23+P23*$G$51</f>
        <v>4.5067897421660845</v>
      </c>
      <c r="Q30" s="32">
        <f>(P30-$P$31)/'set up'!I6</f>
        <v>0.9246453118425858</v>
      </c>
      <c r="S30" s="7"/>
      <c r="T30" s="7"/>
      <c r="U30" s="7"/>
      <c r="V30" s="7"/>
      <c r="W30" s="7"/>
    </row>
    <row r="31" spans="1:23" ht="15.75" thickBot="1" x14ac:dyDescent="0.3">
      <c r="F31" s="7"/>
      <c r="K31" s="23" t="s">
        <v>69</v>
      </c>
      <c r="L31" s="26">
        <f t="shared" si="7"/>
        <v>1.3775164710852534</v>
      </c>
      <c r="M31" s="26">
        <f t="shared" si="7"/>
        <v>1.4761924360627066</v>
      </c>
      <c r="N31" s="26">
        <f t="shared" si="7"/>
        <v>1.5709213624410621</v>
      </c>
      <c r="O31" s="26">
        <f t="shared" si="7"/>
        <v>1.5748684010401601</v>
      </c>
      <c r="P31" s="27">
        <f>P24+P24*$G$51</f>
        <v>1.6301154386558172</v>
      </c>
      <c r="Q31" s="28"/>
      <c r="S31" s="7"/>
      <c r="T31" s="7"/>
      <c r="U31" s="7"/>
      <c r="V31" s="7"/>
      <c r="W31" s="7"/>
    </row>
    <row r="32" spans="1:23" x14ac:dyDescent="0.25">
      <c r="F32" s="7"/>
      <c r="S32" s="7"/>
      <c r="T32" s="7"/>
      <c r="U32" s="7"/>
      <c r="V32" s="7"/>
      <c r="W32" s="7"/>
    </row>
    <row r="33" spans="1:6" x14ac:dyDescent="0.25">
      <c r="E33" s="1" t="s">
        <v>47</v>
      </c>
      <c r="F33" s="6">
        <v>0.93710000000000004</v>
      </c>
    </row>
    <row r="34" spans="1:6" x14ac:dyDescent="0.25">
      <c r="C34" t="s">
        <v>48</v>
      </c>
      <c r="D34" s="1" t="s">
        <v>103</v>
      </c>
      <c r="E34" s="1" t="s">
        <v>49</v>
      </c>
      <c r="F34" s="1">
        <v>1.052</v>
      </c>
    </row>
    <row r="35" spans="1:6" x14ac:dyDescent="0.25">
      <c r="A35" t="s">
        <v>50</v>
      </c>
      <c r="B35" t="s">
        <v>51</v>
      </c>
      <c r="C35" t="s">
        <v>52</v>
      </c>
      <c r="D35" t="s">
        <v>53</v>
      </c>
      <c r="E35" t="s">
        <v>54</v>
      </c>
      <c r="F35" t="s">
        <v>55</v>
      </c>
    </row>
    <row r="36" spans="1:6" x14ac:dyDescent="0.25">
      <c r="A36" t="s">
        <v>56</v>
      </c>
      <c r="B36">
        <v>30</v>
      </c>
      <c r="C36">
        <v>0</v>
      </c>
      <c r="D36">
        <f>(C36-$C$36)*14*0.25*$F$33*1000/B36</f>
        <v>0</v>
      </c>
      <c r="E36">
        <f t="shared" ref="E36:E44" si="8">D36/14*18</f>
        <v>0</v>
      </c>
      <c r="F36" s="7">
        <f>E36/1000</f>
        <v>0</v>
      </c>
    </row>
    <row r="37" spans="1:6" x14ac:dyDescent="0.25">
      <c r="A37" t="s">
        <v>79</v>
      </c>
      <c r="B37">
        <v>5</v>
      </c>
      <c r="C37">
        <v>3.93</v>
      </c>
      <c r="D37">
        <f t="shared" ref="D37:D44" si="9">(C37-$C$36)*14*0.25*$F$33*1000/B37</f>
        <v>2577.9621000000002</v>
      </c>
      <c r="E37">
        <f t="shared" si="8"/>
        <v>3314.5227</v>
      </c>
      <c r="F37" s="7">
        <f t="shared" ref="F37:F44" si="10">E37/1000</f>
        <v>3.3145226999999999</v>
      </c>
    </row>
    <row r="38" spans="1:6" x14ac:dyDescent="0.25">
      <c r="A38" t="s">
        <v>80</v>
      </c>
      <c r="B38">
        <v>5</v>
      </c>
      <c r="C38">
        <v>3.91</v>
      </c>
      <c r="D38">
        <f t="shared" si="9"/>
        <v>2564.8427000000001</v>
      </c>
      <c r="E38">
        <f t="shared" si="8"/>
        <v>3297.6549000000005</v>
      </c>
      <c r="F38" s="7">
        <f t="shared" si="10"/>
        <v>3.2976549000000004</v>
      </c>
    </row>
    <row r="39" spans="1:6" x14ac:dyDescent="0.25">
      <c r="A39" t="s">
        <v>81</v>
      </c>
      <c r="B39">
        <v>5</v>
      </c>
      <c r="C39">
        <v>5.56</v>
      </c>
      <c r="D39">
        <f t="shared" si="9"/>
        <v>3647.1931999999993</v>
      </c>
      <c r="E39">
        <f t="shared" si="8"/>
        <v>4689.2483999999986</v>
      </c>
      <c r="F39" s="7">
        <f t="shared" si="10"/>
        <v>4.6892483999999985</v>
      </c>
    </row>
    <row r="40" spans="1:6" x14ac:dyDescent="0.25">
      <c r="A40" t="s">
        <v>82</v>
      </c>
      <c r="B40">
        <v>5</v>
      </c>
      <c r="C40">
        <v>5.74</v>
      </c>
      <c r="D40">
        <f t="shared" si="9"/>
        <v>3765.2678000000001</v>
      </c>
      <c r="E40">
        <f t="shared" si="8"/>
        <v>4841.0586000000003</v>
      </c>
      <c r="F40" s="7">
        <f t="shared" si="10"/>
        <v>4.8410586000000002</v>
      </c>
    </row>
    <row r="41" spans="1:6" x14ac:dyDescent="0.25">
      <c r="A41" t="s">
        <v>83</v>
      </c>
      <c r="B41">
        <v>5</v>
      </c>
      <c r="C41">
        <v>5.61</v>
      </c>
      <c r="D41">
        <f t="shared" si="9"/>
        <v>3679.9917000000009</v>
      </c>
      <c r="E41">
        <f t="shared" si="8"/>
        <v>4731.4179000000013</v>
      </c>
      <c r="F41" s="7">
        <f t="shared" si="10"/>
        <v>4.7314179000000012</v>
      </c>
    </row>
    <row r="42" spans="1:6" x14ac:dyDescent="0.25">
      <c r="A42" t="s">
        <v>84</v>
      </c>
      <c r="B42">
        <v>5</v>
      </c>
      <c r="C42">
        <v>5.75</v>
      </c>
      <c r="D42">
        <f t="shared" si="9"/>
        <v>3771.8275000000003</v>
      </c>
      <c r="E42">
        <f t="shared" si="8"/>
        <v>4849.4925000000012</v>
      </c>
      <c r="F42" s="7">
        <f t="shared" si="10"/>
        <v>4.8494925000000011</v>
      </c>
    </row>
    <row r="43" spans="1:6" x14ac:dyDescent="0.25">
      <c r="A43" t="s">
        <v>85</v>
      </c>
      <c r="B43">
        <v>5</v>
      </c>
      <c r="C43">
        <v>2.0099999999999998</v>
      </c>
      <c r="D43">
        <f t="shared" si="9"/>
        <v>1318.4996999999998</v>
      </c>
      <c r="E43">
        <f t="shared" si="8"/>
        <v>1695.2138999999997</v>
      </c>
      <c r="F43" s="7">
        <f t="shared" si="10"/>
        <v>1.6952138999999997</v>
      </c>
    </row>
    <row r="44" spans="1:6" x14ac:dyDescent="0.25">
      <c r="A44" t="s">
        <v>86</v>
      </c>
      <c r="B44">
        <v>5</v>
      </c>
      <c r="C44">
        <v>1.98</v>
      </c>
      <c r="D44">
        <f t="shared" si="9"/>
        <v>1298.8206</v>
      </c>
      <c r="E44">
        <f t="shared" si="8"/>
        <v>1669.9122000000002</v>
      </c>
      <c r="F44" s="7">
        <f t="shared" si="10"/>
        <v>1.6699122000000002</v>
      </c>
    </row>
    <row r="47" spans="1:6" x14ac:dyDescent="0.25">
      <c r="E47" s="1" t="s">
        <v>47</v>
      </c>
      <c r="F47" s="6">
        <v>0.98839999999999995</v>
      </c>
    </row>
    <row r="48" spans="1:6" x14ac:dyDescent="0.25">
      <c r="C48" t="s">
        <v>48</v>
      </c>
      <c r="D48" s="1" t="s">
        <v>103</v>
      </c>
      <c r="E48" s="1" t="s">
        <v>49</v>
      </c>
      <c r="F48" s="1">
        <v>1.052</v>
      </c>
    </row>
    <row r="49" spans="1:8" x14ac:dyDescent="0.25">
      <c r="A49" t="s">
        <v>50</v>
      </c>
      <c r="B49" t="s">
        <v>51</v>
      </c>
      <c r="C49" t="s">
        <v>52</v>
      </c>
      <c r="D49" t="s">
        <v>53</v>
      </c>
      <c r="E49" t="s">
        <v>54</v>
      </c>
      <c r="F49" t="s">
        <v>55</v>
      </c>
      <c r="G49" t="s">
        <v>88</v>
      </c>
    </row>
    <row r="50" spans="1:8" x14ac:dyDescent="0.25">
      <c r="A50" t="s">
        <v>56</v>
      </c>
      <c r="B50">
        <v>30</v>
      </c>
      <c r="C50">
        <v>0</v>
      </c>
      <c r="D50">
        <f>(C50-$C$50)*14*0.25*$F$47*1000/B50</f>
        <v>0</v>
      </c>
      <c r="E50">
        <f>D50/14*18</f>
        <v>0</v>
      </c>
      <c r="F50" s="7">
        <f>E50/1000</f>
        <v>0</v>
      </c>
    </row>
    <row r="51" spans="1:8" x14ac:dyDescent="0.25">
      <c r="A51" s="14" t="s">
        <v>57</v>
      </c>
      <c r="B51" s="14">
        <v>10</v>
      </c>
      <c r="C51" s="14">
        <v>2.84</v>
      </c>
      <c r="D51" s="14">
        <f>(C51-$C$50)*14*0.25*$F$47*1000/B51</f>
        <v>982.46960000000001</v>
      </c>
      <c r="E51" s="14">
        <f>D51/14*18</f>
        <v>1263.1752000000001</v>
      </c>
      <c r="F51" s="15">
        <f>E51/1000</f>
        <v>1.2631752000000001</v>
      </c>
      <c r="G51" s="16">
        <f>($F$48*1000-D51)/($F$48*1000)</f>
        <v>6.6093536121672986E-2</v>
      </c>
      <c r="H51" t="s">
        <v>98</v>
      </c>
    </row>
    <row r="52" spans="1:8" x14ac:dyDescent="0.25">
      <c r="A52" t="s">
        <v>90</v>
      </c>
      <c r="B52">
        <v>5</v>
      </c>
      <c r="C52">
        <v>4.17</v>
      </c>
      <c r="D52">
        <f t="shared" ref="D52:D59" si="11">(C52-$C$50)*14*0.25*$F$47*1000/B52</f>
        <v>2885.1395999999995</v>
      </c>
      <c r="E52">
        <f t="shared" ref="E52:E59" si="12">D52/14*18</f>
        <v>3709.4651999999996</v>
      </c>
      <c r="F52" s="7">
        <f t="shared" ref="F52:F59" si="13">E52/1000</f>
        <v>3.7094651999999995</v>
      </c>
    </row>
    <row r="53" spans="1:8" x14ac:dyDescent="0.25">
      <c r="A53" t="s">
        <v>91</v>
      </c>
      <c r="B53">
        <v>5</v>
      </c>
      <c r="C53">
        <v>3.5</v>
      </c>
      <c r="D53">
        <f t="shared" si="11"/>
        <v>2421.58</v>
      </c>
      <c r="E53">
        <f t="shared" si="12"/>
        <v>3113.46</v>
      </c>
      <c r="F53" s="7">
        <f t="shared" si="13"/>
        <v>3.1134599999999999</v>
      </c>
    </row>
    <row r="54" spans="1:8" x14ac:dyDescent="0.25">
      <c r="A54" t="s">
        <v>92</v>
      </c>
      <c r="B54">
        <v>5</v>
      </c>
      <c r="C54">
        <v>6.26</v>
      </c>
      <c r="D54">
        <f t="shared" si="11"/>
        <v>4331.1687999999995</v>
      </c>
      <c r="E54">
        <f>D54/14*18</f>
        <v>5568.6455999999998</v>
      </c>
      <c r="F54" s="7">
        <f>E54/1000</f>
        <v>5.5686456</v>
      </c>
    </row>
    <row r="55" spans="1:8" x14ac:dyDescent="0.25">
      <c r="A55" t="s">
        <v>93</v>
      </c>
      <c r="B55">
        <v>5</v>
      </c>
      <c r="C55">
        <v>6.17</v>
      </c>
      <c r="D55">
        <f t="shared" si="11"/>
        <v>4268.8995999999997</v>
      </c>
      <c r="E55">
        <f t="shared" si="12"/>
        <v>5488.5852000000004</v>
      </c>
      <c r="F55" s="7">
        <f t="shared" si="13"/>
        <v>5.4885852000000002</v>
      </c>
    </row>
    <row r="56" spans="1:8" x14ac:dyDescent="0.25">
      <c r="A56" t="s">
        <v>94</v>
      </c>
      <c r="B56">
        <v>5</v>
      </c>
      <c r="C56">
        <v>6.07</v>
      </c>
      <c r="D56">
        <f t="shared" si="11"/>
        <v>4199.7116000000005</v>
      </c>
      <c r="E56">
        <f t="shared" si="12"/>
        <v>5399.6292000000012</v>
      </c>
      <c r="F56" s="7">
        <f t="shared" si="13"/>
        <v>5.3996292000000015</v>
      </c>
    </row>
    <row r="57" spans="1:8" x14ac:dyDescent="0.25">
      <c r="A57" t="s">
        <v>95</v>
      </c>
      <c r="B57">
        <v>5</v>
      </c>
      <c r="C57">
        <v>6.15</v>
      </c>
      <c r="D57">
        <f t="shared" si="11"/>
        <v>4255.0619999999999</v>
      </c>
      <c r="E57">
        <f t="shared" si="12"/>
        <v>5470.7939999999999</v>
      </c>
      <c r="F57" s="7">
        <f t="shared" si="13"/>
        <v>5.4707939999999997</v>
      </c>
    </row>
    <row r="58" spans="1:8" x14ac:dyDescent="0.25">
      <c r="A58" t="s">
        <v>96</v>
      </c>
      <c r="B58">
        <v>5</v>
      </c>
      <c r="C58">
        <v>2.21</v>
      </c>
      <c r="D58">
        <f t="shared" si="11"/>
        <v>1529.0547999999997</v>
      </c>
      <c r="E58">
        <f t="shared" si="12"/>
        <v>1965.9275999999998</v>
      </c>
      <c r="F58" s="7">
        <f t="shared" si="13"/>
        <v>1.9659275999999997</v>
      </c>
    </row>
    <row r="59" spans="1:8" x14ac:dyDescent="0.25">
      <c r="A59" t="s">
        <v>97</v>
      </c>
      <c r="B59">
        <v>5</v>
      </c>
      <c r="C59">
        <v>2.21</v>
      </c>
      <c r="D59">
        <f t="shared" si="11"/>
        <v>1529.0547999999997</v>
      </c>
      <c r="E59">
        <f t="shared" si="12"/>
        <v>1965.9275999999998</v>
      </c>
      <c r="F59" s="7">
        <f t="shared" si="13"/>
        <v>1.9659275999999997</v>
      </c>
    </row>
  </sheetData>
  <mergeCells count="1">
    <mergeCell ref="H5:H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set up</vt:lpstr>
      <vt:lpstr>VS TS</vt:lpstr>
      <vt:lpstr>pH</vt:lpstr>
      <vt:lpstr>mass balance</vt:lpstr>
      <vt:lpstr>TAN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2024-10-28T18:38:08Z</dcterms:modified>
</cp:coreProperties>
</file>