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36824062-2A5D-451A-81DB-37053A125D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t up" sheetId="1" r:id="rId1"/>
    <sheet name="pH" sheetId="3" r:id="rId2"/>
    <sheet name="TAN" sheetId="12" r:id="rId3"/>
    <sheet name="VFA summary" sheetId="11" r:id="rId4"/>
    <sheet name="VFA day 1" sheetId="4" r:id="rId5"/>
    <sheet name="VFA day 2" sheetId="5" r:id="rId6"/>
    <sheet name="VFA day 3" sheetId="6" r:id="rId7"/>
    <sheet name="VFA day 4" sheetId="7" r:id="rId8"/>
    <sheet name="VFA day 5" sheetId="8" r:id="rId9"/>
    <sheet name="VFA day 6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0" i="3" l="1"/>
  <c r="P25" i="3"/>
  <c r="P24" i="3"/>
  <c r="P23" i="3"/>
  <c r="P22" i="3"/>
  <c r="P21" i="3"/>
  <c r="P26" i="3"/>
  <c r="F55" i="11"/>
  <c r="O41" i="11"/>
  <c r="O42" i="11"/>
  <c r="O43" i="11"/>
  <c r="O44" i="11"/>
  <c r="O45" i="11"/>
  <c r="O46" i="11"/>
  <c r="O47" i="11"/>
  <c r="O40" i="11"/>
  <c r="N41" i="11"/>
  <c r="N42" i="11"/>
  <c r="N43" i="11"/>
  <c r="N44" i="11"/>
  <c r="N45" i="11"/>
  <c r="N46" i="11"/>
  <c r="N47" i="11"/>
  <c r="N40" i="11"/>
  <c r="M41" i="11"/>
  <c r="M42" i="11"/>
  <c r="M43" i="11"/>
  <c r="M44" i="11"/>
  <c r="M45" i="11"/>
  <c r="M46" i="11"/>
  <c r="M47" i="11"/>
  <c r="M40" i="11"/>
  <c r="L41" i="11"/>
  <c r="L42" i="11"/>
  <c r="L43" i="11"/>
  <c r="L44" i="11"/>
  <c r="L45" i="11"/>
  <c r="L46" i="11"/>
  <c r="L47" i="11"/>
  <c r="L40" i="11"/>
  <c r="K41" i="11"/>
  <c r="K42" i="11"/>
  <c r="K43" i="11"/>
  <c r="K44" i="11"/>
  <c r="K45" i="11"/>
  <c r="K46" i="11"/>
  <c r="K47" i="11"/>
  <c r="K40" i="11"/>
  <c r="J41" i="11"/>
  <c r="F52" i="11" s="1"/>
  <c r="J42" i="11"/>
  <c r="F53" i="11" s="1"/>
  <c r="J43" i="11"/>
  <c r="F54" i="11" s="1"/>
  <c r="J44" i="11"/>
  <c r="J45" i="11"/>
  <c r="F56" i="11" s="1"/>
  <c r="J46" i="11"/>
  <c r="F57" i="11" s="1"/>
  <c r="J47" i="11"/>
  <c r="F58" i="11" s="1"/>
  <c r="J40" i="11"/>
  <c r="F51" i="11" s="1"/>
  <c r="I41" i="11"/>
  <c r="I42" i="11"/>
  <c r="I43" i="11"/>
  <c r="I44" i="11"/>
  <c r="I45" i="11"/>
  <c r="I46" i="11"/>
  <c r="I47" i="11"/>
  <c r="I40" i="11"/>
  <c r="H41" i="11"/>
  <c r="H42" i="11"/>
  <c r="H43" i="11"/>
  <c r="H44" i="11"/>
  <c r="H45" i="11"/>
  <c r="H46" i="11"/>
  <c r="H47" i="11"/>
  <c r="H40" i="11"/>
  <c r="G41" i="11"/>
  <c r="G42" i="11"/>
  <c r="G43" i="11"/>
  <c r="G44" i="11"/>
  <c r="G45" i="11"/>
  <c r="G46" i="11"/>
  <c r="G47" i="11"/>
  <c r="G40" i="11"/>
  <c r="F41" i="11"/>
  <c r="F42" i="11"/>
  <c r="F43" i="11"/>
  <c r="F44" i="11"/>
  <c r="F45" i="11"/>
  <c r="F46" i="11"/>
  <c r="F47" i="11"/>
  <c r="F40" i="11"/>
  <c r="E41" i="11"/>
  <c r="E42" i="11"/>
  <c r="E43" i="11"/>
  <c r="E44" i="11"/>
  <c r="E45" i="11"/>
  <c r="E46" i="11"/>
  <c r="E47" i="11"/>
  <c r="E40" i="11"/>
  <c r="D41" i="11"/>
  <c r="D42" i="11"/>
  <c r="D43" i="11"/>
  <c r="D44" i="11"/>
  <c r="D45" i="11"/>
  <c r="D46" i="11"/>
  <c r="D47" i="11"/>
  <c r="D40" i="11"/>
  <c r="C41" i="11"/>
  <c r="C42" i="11"/>
  <c r="C43" i="11"/>
  <c r="C44" i="11"/>
  <c r="C45" i="11"/>
  <c r="C46" i="11"/>
  <c r="C47" i="11"/>
  <c r="C40" i="11"/>
  <c r="B41" i="11"/>
  <c r="B42" i="11"/>
  <c r="B43" i="11"/>
  <c r="B44" i="11"/>
  <c r="B45" i="11"/>
  <c r="B46" i="11"/>
  <c r="B47" i="11"/>
  <c r="B40" i="11"/>
  <c r="H16" i="11"/>
  <c r="H15" i="11"/>
  <c r="H14" i="11"/>
  <c r="H13" i="11"/>
  <c r="H12" i="11"/>
  <c r="H11" i="11"/>
  <c r="H24" i="11" s="1"/>
  <c r="H10" i="11"/>
  <c r="H9" i="11"/>
  <c r="H8" i="11"/>
  <c r="H7" i="11"/>
  <c r="H6" i="11"/>
  <c r="H5" i="11"/>
  <c r="H4" i="11"/>
  <c r="H3" i="11"/>
  <c r="G16" i="11"/>
  <c r="G15" i="11"/>
  <c r="G14" i="11"/>
  <c r="G13" i="11"/>
  <c r="G12" i="11"/>
  <c r="G11" i="11"/>
  <c r="G24" i="11" s="1"/>
  <c r="G10" i="11"/>
  <c r="G9" i="11"/>
  <c r="G8" i="11"/>
  <c r="G7" i="11"/>
  <c r="G6" i="11"/>
  <c r="G5" i="11"/>
  <c r="G4" i="11"/>
  <c r="G3" i="11"/>
  <c r="F16" i="11"/>
  <c r="F15" i="11"/>
  <c r="F14" i="11"/>
  <c r="F13" i="11"/>
  <c r="F12" i="11"/>
  <c r="F11" i="11"/>
  <c r="F24" i="11" s="1"/>
  <c r="F10" i="11"/>
  <c r="F9" i="11"/>
  <c r="F8" i="11"/>
  <c r="F7" i="11"/>
  <c r="F6" i="11"/>
  <c r="F5" i="11"/>
  <c r="F4" i="11"/>
  <c r="F3" i="11"/>
  <c r="E16" i="11"/>
  <c r="E15" i="11"/>
  <c r="E14" i="11"/>
  <c r="E13" i="11"/>
  <c r="E12" i="11"/>
  <c r="E11" i="11"/>
  <c r="E24" i="11" s="1"/>
  <c r="E10" i="11"/>
  <c r="E9" i="11"/>
  <c r="E8" i="11"/>
  <c r="E7" i="11"/>
  <c r="E6" i="11"/>
  <c r="E5" i="11"/>
  <c r="E4" i="11"/>
  <c r="E3" i="11"/>
  <c r="D14" i="11"/>
  <c r="D13" i="11"/>
  <c r="D12" i="11"/>
  <c r="D11" i="11"/>
  <c r="D24" i="11" s="1"/>
  <c r="D10" i="11"/>
  <c r="D9" i="11"/>
  <c r="D8" i="11"/>
  <c r="D7" i="11"/>
  <c r="D6" i="11"/>
  <c r="D5" i="11"/>
  <c r="D4" i="11"/>
  <c r="D3" i="11"/>
  <c r="C16" i="11"/>
  <c r="C15" i="11"/>
  <c r="C14" i="11"/>
  <c r="C13" i="11"/>
  <c r="C12" i="11"/>
  <c r="C11" i="11"/>
  <c r="C24" i="11" s="1"/>
  <c r="C10" i="11"/>
  <c r="C9" i="11"/>
  <c r="C8" i="11"/>
  <c r="C7" i="11"/>
  <c r="C6" i="11"/>
  <c r="C5" i="11"/>
  <c r="C4" i="11"/>
  <c r="C3" i="11"/>
  <c r="F79" i="11" l="1"/>
  <c r="F59" i="11"/>
  <c r="O54" i="11" s="1"/>
  <c r="F78" i="11"/>
  <c r="F75" i="11"/>
  <c r="O52" i="11"/>
  <c r="F74" i="11"/>
  <c r="F77" i="11"/>
  <c r="F73" i="11"/>
  <c r="F76" i="11"/>
  <c r="F80" i="11"/>
  <c r="E20" i="8"/>
  <c r="E16" i="7"/>
  <c r="B52" i="11"/>
  <c r="B51" i="11"/>
  <c r="H70" i="11"/>
  <c r="G70" i="11"/>
  <c r="E70" i="11"/>
  <c r="D70" i="11"/>
  <c r="C70" i="11"/>
  <c r="B70" i="11"/>
  <c r="H69" i="11"/>
  <c r="G69" i="11"/>
  <c r="E69" i="11"/>
  <c r="D69" i="11"/>
  <c r="C69" i="11"/>
  <c r="B69" i="11"/>
  <c r="H68" i="11"/>
  <c r="G68" i="11"/>
  <c r="E68" i="11"/>
  <c r="D68" i="11"/>
  <c r="C68" i="11"/>
  <c r="B68" i="11"/>
  <c r="H67" i="11"/>
  <c r="G67" i="11"/>
  <c r="E67" i="11"/>
  <c r="D67" i="11"/>
  <c r="C67" i="11"/>
  <c r="B67" i="11"/>
  <c r="H66" i="11"/>
  <c r="G66" i="11"/>
  <c r="E66" i="11"/>
  <c r="D66" i="11"/>
  <c r="C66" i="11"/>
  <c r="B66" i="11"/>
  <c r="H65" i="11"/>
  <c r="G65" i="11"/>
  <c r="E65" i="11"/>
  <c r="D65" i="11"/>
  <c r="C65" i="11"/>
  <c r="B65" i="11"/>
  <c r="H64" i="11"/>
  <c r="G64" i="11"/>
  <c r="E64" i="11"/>
  <c r="D64" i="11"/>
  <c r="C64" i="11"/>
  <c r="B64" i="11"/>
  <c r="H63" i="11"/>
  <c r="G63" i="11"/>
  <c r="E63" i="11"/>
  <c r="D63" i="11"/>
  <c r="C63" i="11"/>
  <c r="B63" i="11"/>
  <c r="H58" i="11"/>
  <c r="G58" i="11"/>
  <c r="E58" i="11"/>
  <c r="D58" i="11"/>
  <c r="C58" i="11"/>
  <c r="B58" i="11"/>
  <c r="H57" i="11"/>
  <c r="G57" i="11"/>
  <c r="E57" i="11"/>
  <c r="D57" i="11"/>
  <c r="C57" i="11"/>
  <c r="B57" i="11"/>
  <c r="H56" i="11"/>
  <c r="G56" i="11"/>
  <c r="E56" i="11"/>
  <c r="D56" i="11"/>
  <c r="C56" i="11"/>
  <c r="B56" i="11"/>
  <c r="H55" i="11"/>
  <c r="G55" i="11"/>
  <c r="E55" i="11"/>
  <c r="D55" i="11"/>
  <c r="C55" i="11"/>
  <c r="B55" i="11"/>
  <c r="H54" i="11"/>
  <c r="G54" i="11"/>
  <c r="E54" i="11"/>
  <c r="D54" i="11"/>
  <c r="C54" i="11"/>
  <c r="B54" i="11"/>
  <c r="H53" i="11"/>
  <c r="G53" i="11"/>
  <c r="E53" i="11"/>
  <c r="D53" i="11"/>
  <c r="C53" i="11"/>
  <c r="B53" i="11"/>
  <c r="H52" i="11"/>
  <c r="G52" i="11"/>
  <c r="E52" i="11"/>
  <c r="D52" i="11"/>
  <c r="C52" i="11"/>
  <c r="H51" i="11"/>
  <c r="G51" i="11"/>
  <c r="E51" i="11"/>
  <c r="D51" i="11"/>
  <c r="C51" i="11"/>
  <c r="O55" i="11" l="1"/>
  <c r="O58" i="11"/>
  <c r="O53" i="11"/>
  <c r="O51" i="11"/>
  <c r="H59" i="11"/>
  <c r="Q58" i="11" s="1"/>
  <c r="P58" i="11"/>
  <c r="L56" i="11"/>
  <c r="O56" i="11"/>
  <c r="E59" i="11"/>
  <c r="N55" i="11" s="1"/>
  <c r="M52" i="11"/>
  <c r="B59" i="11"/>
  <c r="K58" i="11" s="1"/>
  <c r="K51" i="11"/>
  <c r="O57" i="11"/>
  <c r="G59" i="11"/>
  <c r="P57" i="11" s="1"/>
  <c r="C59" i="11"/>
  <c r="L58" i="11" s="1"/>
  <c r="L51" i="11"/>
  <c r="D59" i="11"/>
  <c r="M55" i="11" s="1"/>
  <c r="M51" i="11"/>
  <c r="L35" i="11"/>
  <c r="O22" i="1"/>
  <c r="N22" i="1"/>
  <c r="G22" i="1"/>
  <c r="H22" i="1" s="1"/>
  <c r="F22" i="1"/>
  <c r="O21" i="1"/>
  <c r="N21" i="1"/>
  <c r="G21" i="1"/>
  <c r="F21" i="1"/>
  <c r="O20" i="1"/>
  <c r="N20" i="1"/>
  <c r="G20" i="1"/>
  <c r="F20" i="1"/>
  <c r="L32" i="11"/>
  <c r="L30" i="11"/>
  <c r="L29" i="11"/>
  <c r="L34" i="11"/>
  <c r="L33" i="11"/>
  <c r="L31" i="11"/>
  <c r="P22" i="1" l="1"/>
  <c r="N51" i="11"/>
  <c r="K56" i="11"/>
  <c r="N58" i="11"/>
  <c r="N54" i="11"/>
  <c r="N57" i="11"/>
  <c r="K57" i="11"/>
  <c r="K52" i="11"/>
  <c r="Q57" i="11"/>
  <c r="M54" i="11"/>
  <c r="M53" i="11"/>
  <c r="M58" i="11"/>
  <c r="Q54" i="11"/>
  <c r="N52" i="11"/>
  <c r="L55" i="11"/>
  <c r="Q51" i="11"/>
  <c r="K54" i="11"/>
  <c r="K55" i="11"/>
  <c r="P51" i="11"/>
  <c r="P52" i="11"/>
  <c r="M57" i="11"/>
  <c r="N56" i="11"/>
  <c r="K53" i="11"/>
  <c r="M56" i="11"/>
  <c r="N53" i="11"/>
  <c r="L57" i="11"/>
  <c r="Q56" i="11"/>
  <c r="L53" i="11"/>
  <c r="P54" i="11"/>
  <c r="L52" i="11"/>
  <c r="P53" i="11"/>
  <c r="Q53" i="11"/>
  <c r="Q55" i="11"/>
  <c r="Q52" i="11"/>
  <c r="P55" i="11"/>
  <c r="L54" i="11"/>
  <c r="P56" i="11"/>
  <c r="H21" i="1"/>
  <c r="P21" i="1"/>
  <c r="F23" i="1"/>
  <c r="G23" i="1"/>
  <c r="N23" i="1"/>
  <c r="O23" i="1"/>
  <c r="P20" i="1"/>
  <c r="P23" i="1" s="1"/>
  <c r="H20" i="1"/>
  <c r="H23" i="1" s="1"/>
  <c r="I34" i="1" l="1"/>
  <c r="J34" i="1" s="1"/>
  <c r="I35" i="1"/>
  <c r="J35" i="1" s="1"/>
  <c r="I36" i="1"/>
  <c r="J36" i="1" s="1"/>
  <c r="I31" i="1"/>
  <c r="J31" i="1" s="1"/>
  <c r="I37" i="1"/>
  <c r="J37" i="1" s="1"/>
  <c r="I38" i="1"/>
  <c r="J38" i="1" s="1"/>
  <c r="I39" i="1"/>
  <c r="J39" i="1" s="1"/>
  <c r="I29" i="1"/>
  <c r="J29" i="1" s="1"/>
  <c r="I40" i="1"/>
  <c r="J40" i="1" s="1"/>
  <c r="I33" i="1"/>
  <c r="J33" i="1" s="1"/>
  <c r="I27" i="1"/>
  <c r="J27" i="1" s="1"/>
  <c r="I28" i="1"/>
  <c r="J28" i="1" s="1"/>
  <c r="I30" i="1"/>
  <c r="J30" i="1" s="1"/>
  <c r="I32" i="1"/>
  <c r="J32" i="1" s="1"/>
  <c r="L26" i="11"/>
  <c r="L25" i="11"/>
  <c r="L24" i="11"/>
  <c r="L23" i="11"/>
  <c r="L22" i="11"/>
  <c r="L21" i="11"/>
  <c r="L20" i="11"/>
  <c r="C29" i="3"/>
  <c r="D29" i="3"/>
  <c r="E29" i="3"/>
  <c r="F29" i="3"/>
  <c r="G29" i="3"/>
  <c r="H29" i="3"/>
  <c r="I29" i="3"/>
  <c r="J29" i="3"/>
  <c r="K29" i="3"/>
  <c r="L29" i="3"/>
  <c r="M29" i="3"/>
  <c r="N29" i="3"/>
  <c r="C30" i="3"/>
  <c r="D30" i="3"/>
  <c r="E30" i="3"/>
  <c r="F30" i="3"/>
  <c r="G30" i="3"/>
  <c r="H30" i="3"/>
  <c r="I30" i="3"/>
  <c r="J30" i="3"/>
  <c r="K30" i="3"/>
  <c r="L30" i="3"/>
  <c r="M30" i="3"/>
  <c r="N30" i="3"/>
  <c r="C31" i="3"/>
  <c r="D31" i="3"/>
  <c r="E31" i="3"/>
  <c r="F31" i="3"/>
  <c r="G31" i="3"/>
  <c r="H31" i="3"/>
  <c r="I31" i="3"/>
  <c r="J31" i="3"/>
  <c r="K31" i="3"/>
  <c r="L31" i="3"/>
  <c r="M31" i="3"/>
  <c r="N31" i="3"/>
  <c r="C32" i="3"/>
  <c r="D32" i="3"/>
  <c r="E32" i="3"/>
  <c r="F32" i="3"/>
  <c r="G32" i="3"/>
  <c r="H32" i="3"/>
  <c r="I32" i="3"/>
  <c r="J32" i="3"/>
  <c r="K32" i="3"/>
  <c r="L32" i="3"/>
  <c r="M32" i="3"/>
  <c r="N32" i="3"/>
  <c r="C33" i="3"/>
  <c r="D33" i="3"/>
  <c r="E33" i="3"/>
  <c r="F33" i="3"/>
  <c r="G33" i="3"/>
  <c r="H33" i="3"/>
  <c r="I33" i="3"/>
  <c r="J33" i="3"/>
  <c r="K33" i="3"/>
  <c r="L33" i="3"/>
  <c r="M33" i="3"/>
  <c r="N33" i="3"/>
  <c r="C34" i="3"/>
  <c r="D34" i="3"/>
  <c r="E34" i="3"/>
  <c r="F34" i="3"/>
  <c r="G34" i="3"/>
  <c r="H34" i="3"/>
  <c r="I34" i="3"/>
  <c r="J34" i="3"/>
  <c r="K34" i="3"/>
  <c r="L34" i="3"/>
  <c r="M34" i="3"/>
  <c r="N34" i="3"/>
  <c r="C35" i="3"/>
  <c r="D35" i="3"/>
  <c r="E35" i="3"/>
  <c r="F35" i="3"/>
  <c r="G35" i="3"/>
  <c r="H35" i="3"/>
  <c r="I35" i="3"/>
  <c r="J35" i="3"/>
  <c r="K35" i="3"/>
  <c r="L35" i="3"/>
  <c r="M35" i="3"/>
  <c r="N35" i="3"/>
  <c r="B35" i="3"/>
  <c r="B34" i="3"/>
  <c r="B33" i="3"/>
  <c r="B32" i="3"/>
  <c r="B31" i="3"/>
  <c r="B30" i="3"/>
  <c r="B29" i="3"/>
  <c r="O8" i="11" l="1"/>
  <c r="P8" i="11"/>
  <c r="R8" i="11"/>
  <c r="N8" i="11"/>
  <c r="Q8" i="11"/>
  <c r="M8" i="11"/>
  <c r="M16" i="11"/>
  <c r="P16" i="11"/>
  <c r="R16" i="11"/>
  <c r="O16" i="11"/>
  <c r="N16" i="11"/>
  <c r="Q16" i="11"/>
  <c r="R5" i="11"/>
  <c r="M5" i="11"/>
  <c r="O5" i="11"/>
  <c r="P5" i="11"/>
  <c r="Q5" i="11"/>
  <c r="N5" i="11"/>
  <c r="O14" i="11"/>
  <c r="R14" i="11"/>
  <c r="M14" i="11"/>
  <c r="N14" i="11"/>
  <c r="P14" i="11"/>
  <c r="Q14" i="11"/>
  <c r="O3" i="11"/>
  <c r="P3" i="11"/>
  <c r="Q3" i="11"/>
  <c r="R3" i="11"/>
  <c r="M3" i="11"/>
  <c r="N3" i="11"/>
  <c r="R13" i="11"/>
  <c r="M13" i="11"/>
  <c r="Q13" i="11"/>
  <c r="N13" i="11"/>
  <c r="O13" i="11"/>
  <c r="O34" i="11" s="1"/>
  <c r="P13" i="11"/>
  <c r="N6" i="11"/>
  <c r="O6" i="11"/>
  <c r="P6" i="11"/>
  <c r="R6" i="11"/>
  <c r="Q6" i="11"/>
  <c r="M6" i="11"/>
  <c r="M12" i="11"/>
  <c r="N12" i="11"/>
  <c r="R12" i="11"/>
  <c r="O12" i="11"/>
  <c r="P12" i="11"/>
  <c r="Q12" i="11"/>
  <c r="R9" i="11"/>
  <c r="M9" i="11"/>
  <c r="Q9" i="11"/>
  <c r="N9" i="11"/>
  <c r="O9" i="11"/>
  <c r="P9" i="11"/>
  <c r="M11" i="11"/>
  <c r="O11" i="11"/>
  <c r="N11" i="11"/>
  <c r="P11" i="11"/>
  <c r="P24" i="11" s="1"/>
  <c r="Q11" i="11"/>
  <c r="Q24" i="11" s="1"/>
  <c r="R11" i="11"/>
  <c r="M4" i="11"/>
  <c r="O4" i="11"/>
  <c r="R4" i="11"/>
  <c r="P4" i="11"/>
  <c r="Q4" i="11"/>
  <c r="N4" i="11"/>
  <c r="O15" i="11"/>
  <c r="M15" i="11"/>
  <c r="P15" i="11"/>
  <c r="Q15" i="11"/>
  <c r="R15" i="11"/>
  <c r="N15" i="11"/>
  <c r="N35" i="11" s="1"/>
  <c r="N7" i="11"/>
  <c r="O7" i="11"/>
  <c r="O31" i="11" s="1"/>
  <c r="P7" i="11"/>
  <c r="Q7" i="11"/>
  <c r="R7" i="11"/>
  <c r="M7" i="11"/>
  <c r="M10" i="11"/>
  <c r="O10" i="11"/>
  <c r="P10" i="11"/>
  <c r="R10" i="11"/>
  <c r="N10" i="11"/>
  <c r="Q10" i="11"/>
  <c r="M34" i="11" l="1"/>
  <c r="M25" i="11"/>
  <c r="R25" i="11"/>
  <c r="R34" i="11"/>
  <c r="R30" i="11"/>
  <c r="R21" i="11"/>
  <c r="M29" i="11"/>
  <c r="M20" i="11"/>
  <c r="M31" i="11"/>
  <c r="M22" i="11"/>
  <c r="R31" i="11"/>
  <c r="R22" i="11"/>
  <c r="S22" i="11" s="1"/>
  <c r="N31" i="11"/>
  <c r="N22" i="11"/>
  <c r="N24" i="11"/>
  <c r="N33" i="11"/>
  <c r="R29" i="11"/>
  <c r="R20" i="11"/>
  <c r="R24" i="11"/>
  <c r="R33" i="11"/>
  <c r="N29" i="11"/>
  <c r="N20" i="11"/>
  <c r="O24" i="11"/>
  <c r="O33" i="11"/>
  <c r="R35" i="11"/>
  <c r="R26" i="11"/>
  <c r="M24" i="11"/>
  <c r="M33" i="11"/>
  <c r="M30" i="11"/>
  <c r="M21" i="11"/>
  <c r="N32" i="11"/>
  <c r="N23" i="11"/>
  <c r="O32" i="11"/>
  <c r="M35" i="11"/>
  <c r="M26" i="11"/>
  <c r="O35" i="11"/>
  <c r="M32" i="11"/>
  <c r="M23" i="11"/>
  <c r="N25" i="11"/>
  <c r="N34" i="11"/>
  <c r="N30" i="11"/>
  <c r="N21" i="11"/>
  <c r="R32" i="11"/>
  <c r="R23" i="11"/>
  <c r="S23" i="11" s="1"/>
  <c r="N6" i="1"/>
  <c r="S21" i="11" l="1"/>
  <c r="S24" i="11"/>
  <c r="S25" i="11"/>
  <c r="S20" i="11"/>
  <c r="M22" i="3"/>
  <c r="N25" i="3"/>
  <c r="M26" i="3"/>
  <c r="M25" i="3"/>
  <c r="M24" i="3"/>
  <c r="M23" i="3"/>
  <c r="M21" i="3"/>
  <c r="M20" i="3"/>
  <c r="D14" i="12"/>
  <c r="E14" i="12" s="1"/>
  <c r="F14" i="12" s="1"/>
  <c r="D13" i="12"/>
  <c r="D12" i="12"/>
  <c r="D11" i="12"/>
  <c r="D10" i="12"/>
  <c r="E10" i="12" s="1"/>
  <c r="F10" i="12" s="1"/>
  <c r="D9" i="12"/>
  <c r="D8" i="12"/>
  <c r="E8" i="12" s="1"/>
  <c r="F8" i="12" s="1"/>
  <c r="D7" i="12"/>
  <c r="D6" i="12"/>
  <c r="G6" i="12" s="1"/>
  <c r="D5" i="12"/>
  <c r="G5" i="12" s="1"/>
  <c r="D4" i="12"/>
  <c r="E4" i="12" s="1"/>
  <c r="F4" i="12" s="1"/>
  <c r="E12" i="12" l="1"/>
  <c r="F12" i="12" s="1"/>
  <c r="E11" i="12"/>
  <c r="F11" i="12" s="1"/>
  <c r="L5" i="12"/>
  <c r="E7" i="12"/>
  <c r="F7" i="12" s="1"/>
  <c r="L3" i="12"/>
  <c r="L11" i="12" s="1"/>
  <c r="E13" i="12"/>
  <c r="F13" i="12" s="1"/>
  <c r="L6" i="12"/>
  <c r="E9" i="12"/>
  <c r="F9" i="12" s="1"/>
  <c r="L4" i="12"/>
  <c r="E5" i="12"/>
  <c r="F5" i="12" s="1"/>
  <c r="H5" i="12"/>
  <c r="G11" i="12" s="1"/>
  <c r="E6" i="12"/>
  <c r="F6" i="12" s="1"/>
  <c r="L13" i="12" l="1"/>
  <c r="G12" i="12"/>
  <c r="L12" i="12"/>
  <c r="L14" i="12"/>
  <c r="L25" i="3" l="1"/>
  <c r="K20" i="3"/>
  <c r="K21" i="3"/>
  <c r="K22" i="3"/>
  <c r="K23" i="3"/>
  <c r="K24" i="3"/>
  <c r="K25" i="3"/>
  <c r="K26" i="3"/>
  <c r="I26" i="3"/>
  <c r="I21" i="3"/>
  <c r="I20" i="3"/>
  <c r="I22" i="3"/>
  <c r="I23" i="3"/>
  <c r="J23" i="3"/>
  <c r="I24" i="3"/>
  <c r="I25" i="3"/>
  <c r="J25" i="3"/>
  <c r="B26" i="11" l="1"/>
  <c r="B25" i="11"/>
  <c r="B24" i="11"/>
  <c r="B23" i="11"/>
  <c r="B22" i="11"/>
  <c r="B21" i="11"/>
  <c r="B20" i="11"/>
  <c r="I59" i="9"/>
  <c r="J59" i="9" s="1"/>
  <c r="D59" i="9"/>
  <c r="E59" i="9" s="1"/>
  <c r="I58" i="9"/>
  <c r="J58" i="9" s="1"/>
  <c r="D58" i="9"/>
  <c r="E58" i="9" s="1"/>
  <c r="I56" i="9"/>
  <c r="J56" i="9" s="1"/>
  <c r="D56" i="9"/>
  <c r="E56" i="9" s="1"/>
  <c r="I54" i="9"/>
  <c r="J54" i="9" s="1"/>
  <c r="D54" i="9"/>
  <c r="E54" i="9" s="1"/>
  <c r="S47" i="9"/>
  <c r="T47" i="9" s="1"/>
  <c r="N47" i="9"/>
  <c r="O47" i="9" s="1"/>
  <c r="I47" i="9"/>
  <c r="J47" i="9" s="1"/>
  <c r="S46" i="9"/>
  <c r="T46" i="9" s="1"/>
  <c r="I46" i="9"/>
  <c r="J46" i="9" s="1"/>
  <c r="S45" i="9"/>
  <c r="T45" i="9" s="1"/>
  <c r="N45" i="9"/>
  <c r="O45" i="9" s="1"/>
  <c r="I44" i="9"/>
  <c r="J44" i="9" s="1"/>
  <c r="I42" i="9"/>
  <c r="J42" i="9" s="1"/>
  <c r="S35" i="9"/>
  <c r="T35" i="9" s="1"/>
  <c r="N35" i="9"/>
  <c r="O35" i="9" s="1"/>
  <c r="I35" i="9"/>
  <c r="J35" i="9" s="1"/>
  <c r="D35" i="9"/>
  <c r="E35" i="9" s="1"/>
  <c r="S34" i="9"/>
  <c r="T34" i="9" s="1"/>
  <c r="I34" i="9"/>
  <c r="J34" i="9" s="1"/>
  <c r="D34" i="9"/>
  <c r="E34" i="9" s="1"/>
  <c r="S33" i="9"/>
  <c r="T33" i="9" s="1"/>
  <c r="I33" i="9"/>
  <c r="J33" i="9" s="1"/>
  <c r="I32" i="9"/>
  <c r="J32" i="9" s="1"/>
  <c r="S30" i="9"/>
  <c r="T30" i="9" s="1"/>
  <c r="I30" i="9"/>
  <c r="J30" i="9" s="1"/>
  <c r="S23" i="9"/>
  <c r="T23" i="9" s="1"/>
  <c r="N23" i="9"/>
  <c r="O23" i="9" s="1"/>
  <c r="I23" i="9"/>
  <c r="J23" i="9" s="1"/>
  <c r="D23" i="9"/>
  <c r="E23" i="9" s="1"/>
  <c r="S22" i="9"/>
  <c r="T22" i="9" s="1"/>
  <c r="N22" i="9"/>
  <c r="O22" i="9" s="1"/>
  <c r="I22" i="9"/>
  <c r="J22" i="9" s="1"/>
  <c r="D22" i="9"/>
  <c r="E22" i="9" s="1"/>
  <c r="N21" i="9"/>
  <c r="O21" i="9" s="1"/>
  <c r="I21" i="9"/>
  <c r="J21" i="9" s="1"/>
  <c r="D21" i="9"/>
  <c r="E21" i="9" s="1"/>
  <c r="S20" i="9"/>
  <c r="T20" i="9" s="1"/>
  <c r="N20" i="9"/>
  <c r="O20" i="9" s="1"/>
  <c r="I20" i="9"/>
  <c r="J20" i="9" s="1"/>
  <c r="D20" i="9"/>
  <c r="E20" i="9" s="1"/>
  <c r="S18" i="9"/>
  <c r="T18" i="9" s="1"/>
  <c r="N18" i="9"/>
  <c r="O18" i="9" s="1"/>
  <c r="I18" i="9"/>
  <c r="J18" i="9" s="1"/>
  <c r="D18" i="9"/>
  <c r="E18" i="9" s="1"/>
  <c r="K12" i="9"/>
  <c r="J12" i="9"/>
  <c r="I12" i="9"/>
  <c r="K11" i="9"/>
  <c r="J11" i="9"/>
  <c r="I11" i="9"/>
  <c r="K10" i="9"/>
  <c r="J10" i="9"/>
  <c r="I10" i="9"/>
  <c r="K9" i="9"/>
  <c r="J9" i="9"/>
  <c r="I9" i="9"/>
  <c r="K8" i="9"/>
  <c r="J8" i="9"/>
  <c r="I8" i="9"/>
  <c r="K7" i="9"/>
  <c r="J7" i="9"/>
  <c r="I7" i="9"/>
  <c r="K6" i="9"/>
  <c r="J6" i="9"/>
  <c r="I6" i="9"/>
  <c r="K5" i="9"/>
  <c r="J5" i="9"/>
  <c r="I5" i="9"/>
  <c r="I59" i="8"/>
  <c r="J59" i="8" s="1"/>
  <c r="D59" i="8"/>
  <c r="E59" i="8" s="1"/>
  <c r="I58" i="8"/>
  <c r="J58" i="8" s="1"/>
  <c r="I57" i="8"/>
  <c r="J57" i="8" s="1"/>
  <c r="D57" i="8"/>
  <c r="E57" i="8" s="1"/>
  <c r="I56" i="8"/>
  <c r="J56" i="8" s="1"/>
  <c r="D56" i="8"/>
  <c r="E56" i="8" s="1"/>
  <c r="D55" i="8"/>
  <c r="E55" i="8" s="1"/>
  <c r="I54" i="8"/>
  <c r="J54" i="8" s="1"/>
  <c r="D54" i="8"/>
  <c r="E54" i="8" s="1"/>
  <c r="S47" i="8"/>
  <c r="T47" i="8" s="1"/>
  <c r="N47" i="8"/>
  <c r="O47" i="8" s="1"/>
  <c r="I47" i="8"/>
  <c r="J47" i="8" s="1"/>
  <c r="D47" i="8"/>
  <c r="E47" i="8" s="1"/>
  <c r="S46" i="8"/>
  <c r="T46" i="8" s="1"/>
  <c r="N46" i="8"/>
  <c r="O46" i="8" s="1"/>
  <c r="I46" i="8"/>
  <c r="J46" i="8" s="1"/>
  <c r="S45" i="8"/>
  <c r="T45" i="8" s="1"/>
  <c r="N45" i="8"/>
  <c r="O45" i="8" s="1"/>
  <c r="I45" i="8"/>
  <c r="J45" i="8" s="1"/>
  <c r="I44" i="8"/>
  <c r="J44" i="8" s="1"/>
  <c r="I42" i="8"/>
  <c r="J42" i="8" s="1"/>
  <c r="S35" i="8"/>
  <c r="T35" i="8" s="1"/>
  <c r="N35" i="8"/>
  <c r="O35" i="8" s="1"/>
  <c r="I35" i="8"/>
  <c r="J35" i="8" s="1"/>
  <c r="D35" i="8"/>
  <c r="E35" i="8" s="1"/>
  <c r="S34" i="8"/>
  <c r="T34" i="8" s="1"/>
  <c r="I34" i="8"/>
  <c r="J34" i="8" s="1"/>
  <c r="I33" i="8"/>
  <c r="J33" i="8" s="1"/>
  <c r="S32" i="8"/>
  <c r="T32" i="8" s="1"/>
  <c r="I32" i="8"/>
  <c r="J32" i="8" s="1"/>
  <c r="S30" i="8"/>
  <c r="T30" i="8" s="1"/>
  <c r="I30" i="8"/>
  <c r="J30" i="8" s="1"/>
  <c r="S23" i="8"/>
  <c r="T23" i="8" s="1"/>
  <c r="N23" i="8"/>
  <c r="O23" i="8" s="1"/>
  <c r="I23" i="8"/>
  <c r="J23" i="8" s="1"/>
  <c r="D23" i="8"/>
  <c r="E23" i="8" s="1"/>
  <c r="S22" i="8"/>
  <c r="T22" i="8" s="1"/>
  <c r="N22" i="8"/>
  <c r="O22" i="8" s="1"/>
  <c r="I22" i="8"/>
  <c r="J22" i="8" s="1"/>
  <c r="D22" i="8"/>
  <c r="E22" i="8" s="1"/>
  <c r="S21" i="8"/>
  <c r="T21" i="8" s="1"/>
  <c r="D21" i="8"/>
  <c r="E21" i="8" s="1"/>
  <c r="S20" i="8"/>
  <c r="T20" i="8" s="1"/>
  <c r="N20" i="8"/>
  <c r="O20" i="8" s="1"/>
  <c r="I20" i="8"/>
  <c r="J20" i="8" s="1"/>
  <c r="D20" i="8"/>
  <c r="S18" i="8"/>
  <c r="T18" i="8" s="1"/>
  <c r="N18" i="8"/>
  <c r="O18" i="8" s="1"/>
  <c r="I18" i="8"/>
  <c r="J18" i="8" s="1"/>
  <c r="D18" i="8"/>
  <c r="E18" i="8" s="1"/>
  <c r="K12" i="8"/>
  <c r="J12" i="8"/>
  <c r="I12" i="8"/>
  <c r="K11" i="8"/>
  <c r="J11" i="8"/>
  <c r="I11" i="8"/>
  <c r="K10" i="8"/>
  <c r="J10" i="8"/>
  <c r="I10" i="8"/>
  <c r="T33" i="8" s="1"/>
  <c r="K9" i="8"/>
  <c r="J9" i="8"/>
  <c r="I9" i="8"/>
  <c r="K8" i="8"/>
  <c r="J8" i="8"/>
  <c r="I8" i="8"/>
  <c r="K7" i="8"/>
  <c r="J7" i="8"/>
  <c r="I7" i="8"/>
  <c r="K6" i="8"/>
  <c r="J6" i="8"/>
  <c r="I6" i="8"/>
  <c r="K5" i="8"/>
  <c r="J5" i="8"/>
  <c r="I5" i="8"/>
  <c r="I59" i="7"/>
  <c r="J59" i="7" s="1"/>
  <c r="D59" i="7"/>
  <c r="E59" i="7" s="1"/>
  <c r="I57" i="7"/>
  <c r="J57" i="7" s="1"/>
  <c r="D57" i="7"/>
  <c r="E57" i="7" s="1"/>
  <c r="I56" i="7"/>
  <c r="J56" i="7" s="1"/>
  <c r="D56" i="7"/>
  <c r="E56" i="7" s="1"/>
  <c r="I54" i="7"/>
  <c r="J54" i="7" s="1"/>
  <c r="D54" i="7"/>
  <c r="E54" i="7" s="1"/>
  <c r="S47" i="7"/>
  <c r="T47" i="7" s="1"/>
  <c r="N47" i="7"/>
  <c r="O47" i="7" s="1"/>
  <c r="I47" i="7"/>
  <c r="J47" i="7" s="1"/>
  <c r="D47" i="7"/>
  <c r="E47" i="7" s="1"/>
  <c r="S46" i="7"/>
  <c r="T46" i="7" s="1"/>
  <c r="N46" i="7"/>
  <c r="O46" i="7" s="1"/>
  <c r="I46" i="7"/>
  <c r="J46" i="7" s="1"/>
  <c r="D46" i="7"/>
  <c r="E46" i="7" s="1"/>
  <c r="S45" i="7"/>
  <c r="T45" i="7" s="1"/>
  <c r="N45" i="7"/>
  <c r="O45" i="7" s="1"/>
  <c r="I45" i="7"/>
  <c r="J45" i="7" s="1"/>
  <c r="N44" i="7"/>
  <c r="O44" i="7" s="1"/>
  <c r="I44" i="7"/>
  <c r="J44" i="7" s="1"/>
  <c r="S42" i="7"/>
  <c r="T42" i="7" s="1"/>
  <c r="N42" i="7"/>
  <c r="O42" i="7" s="1"/>
  <c r="I42" i="7"/>
  <c r="J42" i="7" s="1"/>
  <c r="S35" i="7"/>
  <c r="T35" i="7" s="1"/>
  <c r="N35" i="7"/>
  <c r="O35" i="7" s="1"/>
  <c r="I35" i="7"/>
  <c r="J35" i="7" s="1"/>
  <c r="D35" i="7"/>
  <c r="E35" i="7" s="1"/>
  <c r="S34" i="7"/>
  <c r="T34" i="7" s="1"/>
  <c r="N34" i="7"/>
  <c r="O34" i="7" s="1"/>
  <c r="I34" i="7"/>
  <c r="J34" i="7" s="1"/>
  <c r="D34" i="7"/>
  <c r="E34" i="7" s="1"/>
  <c r="S33" i="7"/>
  <c r="T33" i="7" s="1"/>
  <c r="N33" i="7"/>
  <c r="O33" i="7" s="1"/>
  <c r="I33" i="7"/>
  <c r="J33" i="7" s="1"/>
  <c r="D33" i="7"/>
  <c r="E33" i="7" s="1"/>
  <c r="S32" i="7"/>
  <c r="T32" i="7" s="1"/>
  <c r="N32" i="7"/>
  <c r="O32" i="7" s="1"/>
  <c r="I32" i="7"/>
  <c r="J32" i="7" s="1"/>
  <c r="D32" i="7"/>
  <c r="E32" i="7" s="1"/>
  <c r="S30" i="7"/>
  <c r="T30" i="7" s="1"/>
  <c r="N30" i="7"/>
  <c r="O30" i="7" s="1"/>
  <c r="I30" i="7"/>
  <c r="J30" i="7" s="1"/>
  <c r="D30" i="7"/>
  <c r="E30" i="7" s="1"/>
  <c r="S23" i="7"/>
  <c r="T23" i="7" s="1"/>
  <c r="N23" i="7"/>
  <c r="O23" i="7" s="1"/>
  <c r="I23" i="7"/>
  <c r="J23" i="7" s="1"/>
  <c r="S22" i="7"/>
  <c r="T22" i="7" s="1"/>
  <c r="N22" i="7"/>
  <c r="O22" i="7" s="1"/>
  <c r="S21" i="7"/>
  <c r="T21" i="7" s="1"/>
  <c r="N21" i="7"/>
  <c r="O21" i="7" s="1"/>
  <c r="I21" i="7"/>
  <c r="J21" i="7" s="1"/>
  <c r="S20" i="7"/>
  <c r="T20" i="7" s="1"/>
  <c r="N20" i="7"/>
  <c r="O20" i="7" s="1"/>
  <c r="I20" i="7"/>
  <c r="J20" i="7" s="1"/>
  <c r="N19" i="7"/>
  <c r="O19" i="7" s="1"/>
  <c r="S18" i="7"/>
  <c r="T18" i="7" s="1"/>
  <c r="N18" i="7"/>
  <c r="O18" i="7" s="1"/>
  <c r="I18" i="7"/>
  <c r="J18" i="7" s="1"/>
  <c r="K12" i="7"/>
  <c r="J12" i="7"/>
  <c r="I12" i="7"/>
  <c r="K11" i="7"/>
  <c r="J11" i="7"/>
  <c r="I11" i="7"/>
  <c r="K10" i="7"/>
  <c r="J10" i="7"/>
  <c r="I10" i="7"/>
  <c r="K9" i="7"/>
  <c r="J9" i="7"/>
  <c r="I9" i="7"/>
  <c r="K8" i="7"/>
  <c r="J8" i="7"/>
  <c r="I8" i="7"/>
  <c r="K7" i="7"/>
  <c r="J7" i="7"/>
  <c r="I7" i="7"/>
  <c r="K6" i="7"/>
  <c r="J6" i="7"/>
  <c r="I6" i="7"/>
  <c r="K5" i="7"/>
  <c r="J5" i="7"/>
  <c r="I5" i="7"/>
  <c r="I59" i="6"/>
  <c r="J59" i="6" s="1"/>
  <c r="D59" i="6"/>
  <c r="E59" i="6" s="1"/>
  <c r="D57" i="6"/>
  <c r="E57" i="6" s="1"/>
  <c r="I56" i="6"/>
  <c r="J56" i="6" s="1"/>
  <c r="D56" i="6"/>
  <c r="E56" i="6" s="1"/>
  <c r="D54" i="6"/>
  <c r="E54" i="6" s="1"/>
  <c r="S47" i="6"/>
  <c r="T47" i="6" s="1"/>
  <c r="N47" i="6"/>
  <c r="O47" i="6" s="1"/>
  <c r="I47" i="6"/>
  <c r="J47" i="6" s="1"/>
  <c r="D47" i="6"/>
  <c r="E47" i="6" s="1"/>
  <c r="S46" i="6"/>
  <c r="T46" i="6" s="1"/>
  <c r="N46" i="6"/>
  <c r="O46" i="6" s="1"/>
  <c r="I46" i="6"/>
  <c r="J46" i="6" s="1"/>
  <c r="D46" i="6"/>
  <c r="E46" i="6" s="1"/>
  <c r="S45" i="6"/>
  <c r="T45" i="6" s="1"/>
  <c r="N45" i="6"/>
  <c r="O45" i="6" s="1"/>
  <c r="I45" i="6"/>
  <c r="J45" i="6" s="1"/>
  <c r="D45" i="6"/>
  <c r="E45" i="6" s="1"/>
  <c r="S44" i="6"/>
  <c r="T44" i="6" s="1"/>
  <c r="N44" i="6"/>
  <c r="O44" i="6" s="1"/>
  <c r="I44" i="6"/>
  <c r="J44" i="6" s="1"/>
  <c r="D44" i="6"/>
  <c r="E44" i="6" s="1"/>
  <c r="S42" i="6"/>
  <c r="T42" i="6" s="1"/>
  <c r="N42" i="6"/>
  <c r="O42" i="6" s="1"/>
  <c r="I42" i="6"/>
  <c r="J42" i="6" s="1"/>
  <c r="D42" i="6"/>
  <c r="E42" i="6" s="1"/>
  <c r="S35" i="6"/>
  <c r="T35" i="6" s="1"/>
  <c r="N35" i="6"/>
  <c r="O35" i="6" s="1"/>
  <c r="I35" i="6"/>
  <c r="J35" i="6" s="1"/>
  <c r="D35" i="6"/>
  <c r="E35" i="6" s="1"/>
  <c r="S34" i="6"/>
  <c r="T34" i="6" s="1"/>
  <c r="N34" i="6"/>
  <c r="O34" i="6" s="1"/>
  <c r="I34" i="6"/>
  <c r="J34" i="6" s="1"/>
  <c r="D34" i="6"/>
  <c r="E34" i="6" s="1"/>
  <c r="S33" i="6"/>
  <c r="T33" i="6" s="1"/>
  <c r="N33" i="6"/>
  <c r="O33" i="6" s="1"/>
  <c r="I33" i="6"/>
  <c r="J33" i="6" s="1"/>
  <c r="S32" i="6"/>
  <c r="T32" i="6" s="1"/>
  <c r="N32" i="6"/>
  <c r="O32" i="6" s="1"/>
  <c r="I32" i="6"/>
  <c r="J32" i="6" s="1"/>
  <c r="D32" i="6"/>
  <c r="E32" i="6" s="1"/>
  <c r="S30" i="6"/>
  <c r="T30" i="6" s="1"/>
  <c r="N30" i="6"/>
  <c r="O30" i="6" s="1"/>
  <c r="I30" i="6"/>
  <c r="J30" i="6" s="1"/>
  <c r="D30" i="6"/>
  <c r="E30" i="6" s="1"/>
  <c r="S23" i="6"/>
  <c r="T23" i="6" s="1"/>
  <c r="N23" i="6"/>
  <c r="O23" i="6" s="1"/>
  <c r="I23" i="6"/>
  <c r="J23" i="6" s="1"/>
  <c r="D23" i="6"/>
  <c r="E23" i="6" s="1"/>
  <c r="S22" i="6"/>
  <c r="T22" i="6" s="1"/>
  <c r="N22" i="6"/>
  <c r="O22" i="6" s="1"/>
  <c r="I22" i="6"/>
  <c r="J22" i="6" s="1"/>
  <c r="D22" i="6"/>
  <c r="E22" i="6" s="1"/>
  <c r="S21" i="6"/>
  <c r="T21" i="6" s="1"/>
  <c r="N21" i="6"/>
  <c r="O21" i="6" s="1"/>
  <c r="I21" i="6"/>
  <c r="J21" i="6" s="1"/>
  <c r="D21" i="6"/>
  <c r="E21" i="6" s="1"/>
  <c r="S20" i="6"/>
  <c r="T20" i="6" s="1"/>
  <c r="N20" i="6"/>
  <c r="O20" i="6" s="1"/>
  <c r="I20" i="6"/>
  <c r="J20" i="6" s="1"/>
  <c r="D20" i="6"/>
  <c r="E20" i="6" s="1"/>
  <c r="S18" i="6"/>
  <c r="T18" i="6" s="1"/>
  <c r="N18" i="6"/>
  <c r="O18" i="6" s="1"/>
  <c r="I18" i="6"/>
  <c r="J18" i="6" s="1"/>
  <c r="D18" i="6"/>
  <c r="E18" i="6" s="1"/>
  <c r="K12" i="6"/>
  <c r="J12" i="6"/>
  <c r="I12" i="6"/>
  <c r="K11" i="6"/>
  <c r="J11" i="6"/>
  <c r="I11" i="6"/>
  <c r="K10" i="6"/>
  <c r="J10" i="6"/>
  <c r="D33" i="6" s="1"/>
  <c r="E33" i="6" s="1"/>
  <c r="I10" i="6"/>
  <c r="K9" i="6"/>
  <c r="J9" i="6"/>
  <c r="I9" i="6"/>
  <c r="K8" i="6"/>
  <c r="J8" i="6"/>
  <c r="I8" i="6"/>
  <c r="I55" i="6" s="1"/>
  <c r="J55" i="6" s="1"/>
  <c r="K7" i="6"/>
  <c r="J7" i="6"/>
  <c r="I7" i="6"/>
  <c r="K6" i="6"/>
  <c r="J6" i="6"/>
  <c r="I6" i="6"/>
  <c r="I41" i="6" s="1"/>
  <c r="J41" i="6" s="1"/>
  <c r="K5" i="6"/>
  <c r="J5" i="6"/>
  <c r="I5" i="6"/>
  <c r="I59" i="5"/>
  <c r="J59" i="5" s="1"/>
  <c r="D59" i="5"/>
  <c r="E59" i="5" s="1"/>
  <c r="I58" i="5"/>
  <c r="J58" i="5" s="1"/>
  <c r="D58" i="5"/>
  <c r="E58" i="5" s="1"/>
  <c r="I57" i="5"/>
  <c r="J57" i="5" s="1"/>
  <c r="D57" i="5"/>
  <c r="E57" i="5" s="1"/>
  <c r="I56" i="5"/>
  <c r="J56" i="5" s="1"/>
  <c r="D56" i="5"/>
  <c r="E56" i="5" s="1"/>
  <c r="I55" i="5"/>
  <c r="J55" i="5" s="1"/>
  <c r="D55" i="5"/>
  <c r="E55" i="5" s="1"/>
  <c r="I54" i="5"/>
  <c r="J54" i="5" s="1"/>
  <c r="D54" i="5"/>
  <c r="E54" i="5" s="1"/>
  <c r="I53" i="5"/>
  <c r="J53" i="5" s="1"/>
  <c r="D53" i="5"/>
  <c r="E53" i="5" s="1"/>
  <c r="I52" i="5"/>
  <c r="J52" i="5" s="1"/>
  <c r="D52" i="5"/>
  <c r="S47" i="5"/>
  <c r="T47" i="5" s="1"/>
  <c r="N47" i="5"/>
  <c r="O47" i="5" s="1"/>
  <c r="I47" i="5"/>
  <c r="J47" i="5" s="1"/>
  <c r="D47" i="5"/>
  <c r="E47" i="5" s="1"/>
  <c r="S46" i="5"/>
  <c r="T46" i="5" s="1"/>
  <c r="S45" i="5"/>
  <c r="T45" i="5" s="1"/>
  <c r="N45" i="5"/>
  <c r="O45" i="5" s="1"/>
  <c r="I45" i="5"/>
  <c r="J45" i="5" s="1"/>
  <c r="D45" i="5"/>
  <c r="E45" i="5" s="1"/>
  <c r="S44" i="5"/>
  <c r="T44" i="5" s="1"/>
  <c r="N44" i="5"/>
  <c r="O44" i="5" s="1"/>
  <c r="I44" i="5"/>
  <c r="J44" i="5" s="1"/>
  <c r="D44" i="5"/>
  <c r="E44" i="5" s="1"/>
  <c r="S35" i="5"/>
  <c r="T35" i="5" s="1"/>
  <c r="N35" i="5"/>
  <c r="O35" i="5" s="1"/>
  <c r="S33" i="5"/>
  <c r="T33" i="5" s="1"/>
  <c r="N33" i="5"/>
  <c r="O33" i="5" s="1"/>
  <c r="I33" i="5"/>
  <c r="J33" i="5" s="1"/>
  <c r="D33" i="5"/>
  <c r="E33" i="5" s="1"/>
  <c r="S32" i="5"/>
  <c r="T32" i="5" s="1"/>
  <c r="N32" i="5"/>
  <c r="O32" i="5" s="1"/>
  <c r="I32" i="5"/>
  <c r="J32" i="5" s="1"/>
  <c r="D32" i="5"/>
  <c r="E32" i="5" s="1"/>
  <c r="K12" i="5"/>
  <c r="J12" i="5"/>
  <c r="I12" i="5"/>
  <c r="K11" i="5"/>
  <c r="J11" i="5"/>
  <c r="I11" i="5"/>
  <c r="K10" i="5"/>
  <c r="J10" i="5"/>
  <c r="I10" i="5"/>
  <c r="K9" i="5"/>
  <c r="J9" i="5"/>
  <c r="I9" i="5"/>
  <c r="K8" i="5"/>
  <c r="J8" i="5"/>
  <c r="I8" i="5"/>
  <c r="K7" i="5"/>
  <c r="J7" i="5"/>
  <c r="I7" i="5"/>
  <c r="K6" i="5"/>
  <c r="J6" i="5"/>
  <c r="I6" i="5"/>
  <c r="K5" i="5"/>
  <c r="J5" i="5"/>
  <c r="I5" i="5"/>
  <c r="I59" i="4"/>
  <c r="J59" i="4" s="1"/>
  <c r="D59" i="4"/>
  <c r="E59" i="4" s="1"/>
  <c r="I58" i="4"/>
  <c r="J58" i="4" s="1"/>
  <c r="D58" i="4"/>
  <c r="E58" i="4" s="1"/>
  <c r="I57" i="4"/>
  <c r="J57" i="4" s="1"/>
  <c r="D57" i="4"/>
  <c r="E57" i="4" s="1"/>
  <c r="I56" i="4"/>
  <c r="J56" i="4" s="1"/>
  <c r="D56" i="4"/>
  <c r="E56" i="4" s="1"/>
  <c r="S47" i="4"/>
  <c r="T47" i="4" s="1"/>
  <c r="N47" i="4"/>
  <c r="O47" i="4" s="1"/>
  <c r="I47" i="4"/>
  <c r="J47" i="4" s="1"/>
  <c r="D47" i="4"/>
  <c r="E47" i="4" s="1"/>
  <c r="S46" i="4"/>
  <c r="T46" i="4" s="1"/>
  <c r="N46" i="4"/>
  <c r="O46" i="4" s="1"/>
  <c r="I46" i="4"/>
  <c r="J46" i="4" s="1"/>
  <c r="S45" i="4"/>
  <c r="T45" i="4" s="1"/>
  <c r="N45" i="4"/>
  <c r="O45" i="4" s="1"/>
  <c r="I45" i="4"/>
  <c r="J45" i="4" s="1"/>
  <c r="D45" i="4"/>
  <c r="E45" i="4" s="1"/>
  <c r="S44" i="4"/>
  <c r="T44" i="4" s="1"/>
  <c r="N44" i="4"/>
  <c r="O44" i="4" s="1"/>
  <c r="I44" i="4"/>
  <c r="J44" i="4" s="1"/>
  <c r="D44" i="4"/>
  <c r="E44" i="4" s="1"/>
  <c r="N42" i="4"/>
  <c r="O42" i="4" s="1"/>
  <c r="I42" i="4"/>
  <c r="J42" i="4" s="1"/>
  <c r="S35" i="4"/>
  <c r="T35" i="4" s="1"/>
  <c r="N35" i="4"/>
  <c r="O35" i="4" s="1"/>
  <c r="S34" i="4"/>
  <c r="T34" i="4" s="1"/>
  <c r="N34" i="4"/>
  <c r="O34" i="4" s="1"/>
  <c r="D34" i="4"/>
  <c r="E34" i="4" s="1"/>
  <c r="S33" i="4"/>
  <c r="T33" i="4" s="1"/>
  <c r="N33" i="4"/>
  <c r="O33" i="4" s="1"/>
  <c r="I33" i="4"/>
  <c r="J33" i="4" s="1"/>
  <c r="D33" i="4"/>
  <c r="E33" i="4" s="1"/>
  <c r="S32" i="4"/>
  <c r="T32" i="4" s="1"/>
  <c r="N32" i="4"/>
  <c r="O32" i="4" s="1"/>
  <c r="I32" i="4"/>
  <c r="J32" i="4" s="1"/>
  <c r="D32" i="4"/>
  <c r="E32" i="4" s="1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K5" i="4"/>
  <c r="J5" i="4"/>
  <c r="I5" i="4"/>
  <c r="D23" i="7" l="1"/>
  <c r="E23" i="7" s="1"/>
  <c r="N43" i="7"/>
  <c r="O43" i="7" s="1"/>
  <c r="S40" i="7"/>
  <c r="I58" i="7"/>
  <c r="S41" i="7"/>
  <c r="T41" i="7" s="1"/>
  <c r="E34" i="8"/>
  <c r="E42" i="8"/>
  <c r="S43" i="8"/>
  <c r="T43" i="8" s="1"/>
  <c r="N41" i="8"/>
  <c r="O41" i="8" s="1"/>
  <c r="E30" i="8"/>
  <c r="S40" i="8"/>
  <c r="T40" i="8" s="1"/>
  <c r="S29" i="8"/>
  <c r="T29" i="8" s="1"/>
  <c r="J55" i="8"/>
  <c r="T44" i="8"/>
  <c r="O33" i="8"/>
  <c r="E46" i="8"/>
  <c r="E58" i="8"/>
  <c r="T42" i="8"/>
  <c r="T17" i="8"/>
  <c r="S41" i="8"/>
  <c r="T41" i="8" s="1"/>
  <c r="O30" i="8"/>
  <c r="O34" i="8"/>
  <c r="O42" i="8"/>
  <c r="D31" i="8"/>
  <c r="E31" i="8" s="1"/>
  <c r="D43" i="8"/>
  <c r="E43" i="8" s="1"/>
  <c r="J19" i="8"/>
  <c r="I31" i="8"/>
  <c r="J31" i="8" s="1"/>
  <c r="J43" i="8"/>
  <c r="O19" i="8"/>
  <c r="N31" i="8"/>
  <c r="O31" i="8" s="1"/>
  <c r="N43" i="8"/>
  <c r="O43" i="8" s="1"/>
  <c r="T19" i="8"/>
  <c r="S31" i="8"/>
  <c r="T31" i="8" s="1"/>
  <c r="D16" i="8"/>
  <c r="E16" i="8" s="1"/>
  <c r="D28" i="8"/>
  <c r="E28" i="8" s="1"/>
  <c r="E32" i="8"/>
  <c r="D40" i="8"/>
  <c r="E40" i="8" s="1"/>
  <c r="E44" i="8"/>
  <c r="D52" i="8"/>
  <c r="E52" i="8" s="1"/>
  <c r="I16" i="8"/>
  <c r="J16" i="8" s="1"/>
  <c r="I28" i="8"/>
  <c r="J28" i="8" s="1"/>
  <c r="I40" i="8"/>
  <c r="J40" i="8" s="1"/>
  <c r="I52" i="8"/>
  <c r="J52" i="8" s="1"/>
  <c r="N16" i="8"/>
  <c r="O16" i="8" s="1"/>
  <c r="N28" i="8"/>
  <c r="O28" i="8" s="1"/>
  <c r="O32" i="8"/>
  <c r="N40" i="8"/>
  <c r="O40" i="8" s="1"/>
  <c r="O44" i="8"/>
  <c r="E53" i="8"/>
  <c r="S16" i="8"/>
  <c r="T16" i="8" s="1"/>
  <c r="S28" i="8"/>
  <c r="T28" i="8" s="1"/>
  <c r="J53" i="8"/>
  <c r="D29" i="8"/>
  <c r="E29" i="8" s="1"/>
  <c r="E33" i="8"/>
  <c r="D41" i="8"/>
  <c r="E41" i="8" s="1"/>
  <c r="E45" i="8"/>
  <c r="J17" i="8"/>
  <c r="I29" i="8"/>
  <c r="J29" i="8" s="1"/>
  <c r="J41" i="8"/>
  <c r="O17" i="8"/>
  <c r="O21" i="8"/>
  <c r="N29" i="8"/>
  <c r="O29" i="8" s="1"/>
  <c r="D16" i="7"/>
  <c r="D28" i="7"/>
  <c r="E28" i="7" s="1"/>
  <c r="D40" i="7"/>
  <c r="E40" i="7" s="1"/>
  <c r="D52" i="7"/>
  <c r="E52" i="7" s="1"/>
  <c r="I16" i="7"/>
  <c r="J16" i="7" s="1"/>
  <c r="I28" i="7"/>
  <c r="J28" i="7" s="1"/>
  <c r="J36" i="7" s="1"/>
  <c r="I40" i="7"/>
  <c r="I52" i="7"/>
  <c r="J52" i="7" s="1"/>
  <c r="N16" i="7"/>
  <c r="O16" i="7" s="1"/>
  <c r="N28" i="7"/>
  <c r="O28" i="7" s="1"/>
  <c r="O36" i="7" s="1"/>
  <c r="N40" i="7"/>
  <c r="O40" i="7" s="1"/>
  <c r="D53" i="7"/>
  <c r="E53" i="7" s="1"/>
  <c r="S16" i="7"/>
  <c r="T16" i="7" s="1"/>
  <c r="T24" i="7" s="1"/>
  <c r="S28" i="7"/>
  <c r="T28" i="7" s="1"/>
  <c r="T36" i="7" s="1"/>
  <c r="I53" i="7"/>
  <c r="J53" i="7" s="1"/>
  <c r="S43" i="7"/>
  <c r="T43" i="7" s="1"/>
  <c r="D29" i="7"/>
  <c r="E29" i="7" s="1"/>
  <c r="E36" i="7" s="1"/>
  <c r="D41" i="7"/>
  <c r="E41" i="7" s="1"/>
  <c r="J17" i="7"/>
  <c r="I41" i="7"/>
  <c r="O24" i="7"/>
  <c r="N29" i="7"/>
  <c r="O29" i="7" s="1"/>
  <c r="N41" i="7"/>
  <c r="O41" i="7" s="1"/>
  <c r="D55" i="7"/>
  <c r="E55" i="7" s="1"/>
  <c r="I55" i="7"/>
  <c r="J55" i="7" s="1"/>
  <c r="E24" i="7"/>
  <c r="J22" i="7"/>
  <c r="D31" i="7"/>
  <c r="E31" i="7" s="1"/>
  <c r="D43" i="7"/>
  <c r="E43" i="7" s="1"/>
  <c r="D58" i="7"/>
  <c r="J19" i="7"/>
  <c r="I31" i="7"/>
  <c r="J31" i="7" s="1"/>
  <c r="I43" i="7"/>
  <c r="J43" i="7" s="1"/>
  <c r="N31" i="7"/>
  <c r="O31" i="7" s="1"/>
  <c r="I54" i="6"/>
  <c r="J54" i="6" s="1"/>
  <c r="N19" i="6"/>
  <c r="O19" i="6" s="1"/>
  <c r="I19" i="6"/>
  <c r="J19" i="6" s="1"/>
  <c r="D55" i="6"/>
  <c r="E55" i="6" s="1"/>
  <c r="I57" i="6"/>
  <c r="J57" i="6" s="1"/>
  <c r="I58" i="6"/>
  <c r="J58" i="6" s="1"/>
  <c r="D41" i="6"/>
  <c r="E41" i="6" s="1"/>
  <c r="S28" i="6"/>
  <c r="T28" i="6" s="1"/>
  <c r="N41" i="6"/>
  <c r="O41" i="6" s="1"/>
  <c r="S19" i="6"/>
  <c r="T19" i="6" s="1"/>
  <c r="S41" i="6"/>
  <c r="T41" i="6" s="1"/>
  <c r="I29" i="6"/>
  <c r="J29" i="6" s="1"/>
  <c r="N29" i="6"/>
  <c r="O29" i="6" s="1"/>
  <c r="D58" i="6"/>
  <c r="E58" i="6" s="1"/>
  <c r="S29" i="6"/>
  <c r="T29" i="6" s="1"/>
  <c r="D17" i="6"/>
  <c r="E17" i="6" s="1"/>
  <c r="D43" i="6"/>
  <c r="E43" i="6" s="1"/>
  <c r="D29" i="6"/>
  <c r="E29" i="6" s="1"/>
  <c r="I17" i="6"/>
  <c r="J17" i="6" s="1"/>
  <c r="I43" i="6"/>
  <c r="J43" i="6" s="1"/>
  <c r="N17" i="6"/>
  <c r="O17" i="6" s="1"/>
  <c r="N43" i="6"/>
  <c r="O43" i="6" s="1"/>
  <c r="S17" i="6"/>
  <c r="T17" i="6" s="1"/>
  <c r="S43" i="6"/>
  <c r="T43" i="6" s="1"/>
  <c r="D31" i="6"/>
  <c r="E31" i="6" s="1"/>
  <c r="D53" i="6"/>
  <c r="E53" i="6" s="1"/>
  <c r="I31" i="6"/>
  <c r="J31" i="6" s="1"/>
  <c r="I53" i="6"/>
  <c r="J53" i="6" s="1"/>
  <c r="N31" i="6"/>
  <c r="O31" i="6" s="1"/>
  <c r="S31" i="6"/>
  <c r="T31" i="6" s="1"/>
  <c r="D19" i="6"/>
  <c r="E19" i="6" s="1"/>
  <c r="D16" i="6"/>
  <c r="D28" i="6"/>
  <c r="E28" i="6" s="1"/>
  <c r="D40" i="6"/>
  <c r="E40" i="6" s="1"/>
  <c r="D52" i="6"/>
  <c r="E52" i="6" s="1"/>
  <c r="I52" i="6"/>
  <c r="J52" i="6" s="1"/>
  <c r="I28" i="6"/>
  <c r="J28" i="6" s="1"/>
  <c r="N16" i="6"/>
  <c r="O16" i="6" s="1"/>
  <c r="N28" i="6"/>
  <c r="O28" i="6" s="1"/>
  <c r="N40" i="6"/>
  <c r="O40" i="6" s="1"/>
  <c r="I40" i="6"/>
  <c r="J40" i="6" s="1"/>
  <c r="S40" i="6"/>
  <c r="T40" i="6" s="1"/>
  <c r="S16" i="6"/>
  <c r="T16" i="6" s="1"/>
  <c r="I16" i="6"/>
  <c r="J16" i="6" s="1"/>
  <c r="I24" i="7"/>
  <c r="I36" i="7"/>
  <c r="I48" i="7"/>
  <c r="S24" i="7"/>
  <c r="N42" i="9"/>
  <c r="O42" i="9" s="1"/>
  <c r="N46" i="9"/>
  <c r="O46" i="9" s="1"/>
  <c r="S16" i="9"/>
  <c r="T16" i="9" s="1"/>
  <c r="S44" i="9"/>
  <c r="T44" i="9" s="1"/>
  <c r="S31" i="9"/>
  <c r="T31" i="9" s="1"/>
  <c r="D53" i="9"/>
  <c r="E53" i="9" s="1"/>
  <c r="D57" i="9"/>
  <c r="E57" i="9" s="1"/>
  <c r="S19" i="9"/>
  <c r="T19" i="9" s="1"/>
  <c r="S40" i="9"/>
  <c r="N40" i="9"/>
  <c r="O40" i="9" s="1"/>
  <c r="N44" i="9"/>
  <c r="O44" i="9" s="1"/>
  <c r="S28" i="9"/>
  <c r="T28" i="9" s="1"/>
  <c r="D55" i="9"/>
  <c r="E55" i="9" s="1"/>
  <c r="D47" i="9"/>
  <c r="E47" i="9" s="1"/>
  <c r="S32" i="9"/>
  <c r="T32" i="9" s="1"/>
  <c r="S43" i="9"/>
  <c r="T43" i="9" s="1"/>
  <c r="I55" i="9"/>
  <c r="J55" i="9" s="1"/>
  <c r="I53" i="9"/>
  <c r="J53" i="9" s="1"/>
  <c r="I57" i="9"/>
  <c r="J57" i="9" s="1"/>
  <c r="S21" i="9"/>
  <c r="T21" i="9" s="1"/>
  <c r="S29" i="9"/>
  <c r="T29" i="9" s="1"/>
  <c r="D16" i="9"/>
  <c r="E16" i="9" s="1"/>
  <c r="D17" i="9"/>
  <c r="E17" i="9" s="1"/>
  <c r="D19" i="9"/>
  <c r="E19" i="9" s="1"/>
  <c r="D28" i="9"/>
  <c r="E28" i="9" s="1"/>
  <c r="D29" i="9"/>
  <c r="E29" i="9" s="1"/>
  <c r="D30" i="9"/>
  <c r="E30" i="9" s="1"/>
  <c r="D31" i="9"/>
  <c r="E31" i="9" s="1"/>
  <c r="D32" i="9"/>
  <c r="E32" i="9" s="1"/>
  <c r="D33" i="9"/>
  <c r="E33" i="9" s="1"/>
  <c r="D40" i="9"/>
  <c r="D41" i="9"/>
  <c r="E41" i="9" s="1"/>
  <c r="D42" i="9"/>
  <c r="E42" i="9" s="1"/>
  <c r="D43" i="9"/>
  <c r="E43" i="9" s="1"/>
  <c r="D44" i="9"/>
  <c r="E44" i="9" s="1"/>
  <c r="D45" i="9"/>
  <c r="E45" i="9" s="1"/>
  <c r="D46" i="9"/>
  <c r="E46" i="9" s="1"/>
  <c r="D52" i="9"/>
  <c r="E52" i="9" s="1"/>
  <c r="S17" i="9"/>
  <c r="T17" i="9" s="1"/>
  <c r="S41" i="9"/>
  <c r="T41" i="9" s="1"/>
  <c r="S42" i="9"/>
  <c r="T42" i="9" s="1"/>
  <c r="I16" i="9"/>
  <c r="J16" i="9" s="1"/>
  <c r="I17" i="9"/>
  <c r="J17" i="9" s="1"/>
  <c r="I19" i="9"/>
  <c r="J19" i="9" s="1"/>
  <c r="I28" i="9"/>
  <c r="J28" i="9" s="1"/>
  <c r="I29" i="9"/>
  <c r="J29" i="9" s="1"/>
  <c r="I31" i="9"/>
  <c r="J31" i="9" s="1"/>
  <c r="I40" i="9"/>
  <c r="J40" i="9" s="1"/>
  <c r="I41" i="9"/>
  <c r="J41" i="9" s="1"/>
  <c r="I43" i="9"/>
  <c r="J43" i="9" s="1"/>
  <c r="I45" i="9"/>
  <c r="J45" i="9" s="1"/>
  <c r="I52" i="9"/>
  <c r="J52" i="9" s="1"/>
  <c r="N16" i="9"/>
  <c r="O16" i="9" s="1"/>
  <c r="N17" i="9"/>
  <c r="O17" i="9" s="1"/>
  <c r="N19" i="9"/>
  <c r="O19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41" i="9"/>
  <c r="O41" i="9" s="1"/>
  <c r="N43" i="9"/>
  <c r="O43" i="9" s="1"/>
  <c r="D52" i="4"/>
  <c r="E52" i="4" s="1"/>
  <c r="I20" i="4"/>
  <c r="J20" i="4" s="1"/>
  <c r="I42" i="5"/>
  <c r="J42" i="5" s="1"/>
  <c r="I34" i="5"/>
  <c r="J34" i="5" s="1"/>
  <c r="N29" i="4"/>
  <c r="O29" i="4" s="1"/>
  <c r="N21" i="4"/>
  <c r="O21" i="4" s="1"/>
  <c r="D54" i="4"/>
  <c r="E54" i="4" s="1"/>
  <c r="D46" i="4"/>
  <c r="E46" i="4" s="1"/>
  <c r="D41" i="5"/>
  <c r="E41" i="5" s="1"/>
  <c r="D21" i="5"/>
  <c r="E21" i="5" s="1"/>
  <c r="I40" i="4"/>
  <c r="J40" i="4" s="1"/>
  <c r="D43" i="5"/>
  <c r="E43" i="5" s="1"/>
  <c r="D35" i="5"/>
  <c r="E35" i="5" s="1"/>
  <c r="I21" i="5"/>
  <c r="J21" i="5" s="1"/>
  <c r="N17" i="4"/>
  <c r="O17" i="4" s="1"/>
  <c r="N30" i="4"/>
  <c r="O30" i="4" s="1"/>
  <c r="D43" i="4"/>
  <c r="E43" i="4" s="1"/>
  <c r="I34" i="4"/>
  <c r="J34" i="4" s="1"/>
  <c r="D35" i="4"/>
  <c r="E35" i="4" s="1"/>
  <c r="N20" i="4"/>
  <c r="O20" i="4" s="1"/>
  <c r="I52" i="4"/>
  <c r="J52" i="4" s="1"/>
  <c r="D42" i="5"/>
  <c r="E42" i="5" s="1"/>
  <c r="D46" i="5"/>
  <c r="E46" i="5" s="1"/>
  <c r="I22" i="5"/>
  <c r="J22" i="5" s="1"/>
  <c r="I46" i="5"/>
  <c r="J46" i="5" s="1"/>
  <c r="I17" i="5"/>
  <c r="J17" i="5" s="1"/>
  <c r="I29" i="5"/>
  <c r="J29" i="5" s="1"/>
  <c r="D41" i="4"/>
  <c r="E41" i="4" s="1"/>
  <c r="I21" i="4"/>
  <c r="J21" i="4" s="1"/>
  <c r="N16" i="4"/>
  <c r="O16" i="4" s="1"/>
  <c r="N28" i="4"/>
  <c r="I41" i="4"/>
  <c r="J41" i="4" s="1"/>
  <c r="D40" i="5"/>
  <c r="E40" i="5" s="1"/>
  <c r="I43" i="5"/>
  <c r="J43" i="5" s="1"/>
  <c r="D20" i="5"/>
  <c r="E20" i="5" s="1"/>
  <c r="I23" i="5"/>
  <c r="J23" i="5" s="1"/>
  <c r="I18" i="5"/>
  <c r="J18" i="5" s="1"/>
  <c r="I30" i="5"/>
  <c r="J30" i="5" s="1"/>
  <c r="I41" i="5"/>
  <c r="J41" i="5" s="1"/>
  <c r="N18" i="4"/>
  <c r="O18" i="4" s="1"/>
  <c r="N19" i="4"/>
  <c r="O19" i="4" s="1"/>
  <c r="N22" i="4"/>
  <c r="O22" i="4" s="1"/>
  <c r="I43" i="4"/>
  <c r="J43" i="4" s="1"/>
  <c r="I54" i="4"/>
  <c r="J54" i="4" s="1"/>
  <c r="I19" i="5"/>
  <c r="J19" i="5" s="1"/>
  <c r="I28" i="5"/>
  <c r="J28" i="5" s="1"/>
  <c r="I31" i="5"/>
  <c r="J31" i="5" s="1"/>
  <c r="S16" i="4"/>
  <c r="T16" i="4" s="1"/>
  <c r="S17" i="4"/>
  <c r="T17" i="4" s="1"/>
  <c r="S18" i="4"/>
  <c r="T18" i="4" s="1"/>
  <c r="S19" i="4"/>
  <c r="T19" i="4" s="1"/>
  <c r="S20" i="4"/>
  <c r="T20" i="4" s="1"/>
  <c r="S21" i="4"/>
  <c r="T21" i="4" s="1"/>
  <c r="S22" i="4"/>
  <c r="T22" i="4" s="1"/>
  <c r="S23" i="4"/>
  <c r="T23" i="4" s="1"/>
  <c r="S28" i="4"/>
  <c r="T28" i="4" s="1"/>
  <c r="S29" i="4"/>
  <c r="T29" i="4" s="1"/>
  <c r="S30" i="4"/>
  <c r="T30" i="4" s="1"/>
  <c r="N31" i="4"/>
  <c r="O31" i="4" s="1"/>
  <c r="N40" i="4"/>
  <c r="O40" i="4" s="1"/>
  <c r="N41" i="4"/>
  <c r="O41" i="4" s="1"/>
  <c r="N43" i="4"/>
  <c r="O43" i="4" s="1"/>
  <c r="D53" i="4"/>
  <c r="E53" i="4" s="1"/>
  <c r="D55" i="4"/>
  <c r="E55" i="4" s="1"/>
  <c r="N16" i="5"/>
  <c r="O16" i="5" s="1"/>
  <c r="N17" i="5"/>
  <c r="O17" i="5" s="1"/>
  <c r="N18" i="5"/>
  <c r="O18" i="5" s="1"/>
  <c r="N19" i="5"/>
  <c r="O19" i="5" s="1"/>
  <c r="N20" i="5"/>
  <c r="O20" i="5" s="1"/>
  <c r="N21" i="5"/>
  <c r="O21" i="5" s="1"/>
  <c r="N22" i="5"/>
  <c r="O22" i="5" s="1"/>
  <c r="N23" i="5"/>
  <c r="O23" i="5" s="1"/>
  <c r="N28" i="5"/>
  <c r="O28" i="5" s="1"/>
  <c r="N29" i="5"/>
  <c r="O29" i="5" s="1"/>
  <c r="N30" i="5"/>
  <c r="O30" i="5" s="1"/>
  <c r="N31" i="5"/>
  <c r="O31" i="5" s="1"/>
  <c r="N34" i="5"/>
  <c r="O34" i="5" s="1"/>
  <c r="N40" i="5"/>
  <c r="N41" i="5"/>
  <c r="O41" i="5" s="1"/>
  <c r="N42" i="5"/>
  <c r="O42" i="5" s="1"/>
  <c r="N43" i="5"/>
  <c r="O43" i="5" s="1"/>
  <c r="N46" i="5"/>
  <c r="O46" i="5" s="1"/>
  <c r="I16" i="5"/>
  <c r="I20" i="5"/>
  <c r="J20" i="5" s="1"/>
  <c r="I35" i="5"/>
  <c r="J35" i="5" s="1"/>
  <c r="I40" i="5"/>
  <c r="J40" i="5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8" i="4"/>
  <c r="E28" i="4" s="1"/>
  <c r="D29" i="4"/>
  <c r="E29" i="4" s="1"/>
  <c r="D30" i="4"/>
  <c r="E30" i="4" s="1"/>
  <c r="D31" i="4"/>
  <c r="E31" i="4" s="1"/>
  <c r="S31" i="4"/>
  <c r="T31" i="4" s="1"/>
  <c r="S40" i="4"/>
  <c r="T40" i="4" s="1"/>
  <c r="S41" i="4"/>
  <c r="T41" i="4" s="1"/>
  <c r="S42" i="4"/>
  <c r="T42" i="4" s="1"/>
  <c r="S43" i="4"/>
  <c r="T43" i="4" s="1"/>
  <c r="I53" i="4"/>
  <c r="J53" i="4" s="1"/>
  <c r="I55" i="4"/>
  <c r="J55" i="4" s="1"/>
  <c r="S16" i="5"/>
  <c r="T16" i="5" s="1"/>
  <c r="S17" i="5"/>
  <c r="T17" i="5" s="1"/>
  <c r="S18" i="5"/>
  <c r="T18" i="5" s="1"/>
  <c r="S19" i="5"/>
  <c r="T19" i="5" s="1"/>
  <c r="S20" i="5"/>
  <c r="T20" i="5" s="1"/>
  <c r="S21" i="5"/>
  <c r="T21" i="5" s="1"/>
  <c r="S22" i="5"/>
  <c r="T22" i="5" s="1"/>
  <c r="S23" i="5"/>
  <c r="T23" i="5" s="1"/>
  <c r="S28" i="5"/>
  <c r="T28" i="5" s="1"/>
  <c r="S29" i="5"/>
  <c r="T29" i="5" s="1"/>
  <c r="S30" i="5"/>
  <c r="T30" i="5" s="1"/>
  <c r="S31" i="5"/>
  <c r="T31" i="5" s="1"/>
  <c r="S34" i="5"/>
  <c r="T34" i="5" s="1"/>
  <c r="S40" i="5"/>
  <c r="T40" i="5" s="1"/>
  <c r="S41" i="5"/>
  <c r="T41" i="5" s="1"/>
  <c r="S42" i="5"/>
  <c r="T42" i="5" s="1"/>
  <c r="S43" i="5"/>
  <c r="T43" i="5" s="1"/>
  <c r="N23" i="4"/>
  <c r="O23" i="4" s="1"/>
  <c r="I35" i="4"/>
  <c r="J35" i="4" s="1"/>
  <c r="I16" i="4"/>
  <c r="I17" i="4"/>
  <c r="J17" i="4" s="1"/>
  <c r="I18" i="4"/>
  <c r="J18" i="4" s="1"/>
  <c r="I19" i="4"/>
  <c r="J19" i="4" s="1"/>
  <c r="I22" i="4"/>
  <c r="J22" i="4" s="1"/>
  <c r="I23" i="4"/>
  <c r="J23" i="4" s="1"/>
  <c r="I28" i="4"/>
  <c r="J28" i="4" s="1"/>
  <c r="I29" i="4"/>
  <c r="J29" i="4" s="1"/>
  <c r="I30" i="4"/>
  <c r="J30" i="4" s="1"/>
  <c r="I31" i="4"/>
  <c r="J31" i="4" s="1"/>
  <c r="D40" i="4"/>
  <c r="E40" i="4" s="1"/>
  <c r="D42" i="4"/>
  <c r="E42" i="4" s="1"/>
  <c r="D16" i="5"/>
  <c r="E16" i="5" s="1"/>
  <c r="D17" i="5"/>
  <c r="E17" i="5" s="1"/>
  <c r="D18" i="5"/>
  <c r="E18" i="5" s="1"/>
  <c r="D19" i="5"/>
  <c r="E19" i="5" s="1"/>
  <c r="D22" i="5"/>
  <c r="E22" i="5" s="1"/>
  <c r="D23" i="5"/>
  <c r="E23" i="5" s="1"/>
  <c r="D28" i="5"/>
  <c r="E28" i="5" s="1"/>
  <c r="D29" i="5"/>
  <c r="E29" i="5" s="1"/>
  <c r="D30" i="5"/>
  <c r="E30" i="5" s="1"/>
  <c r="D31" i="5"/>
  <c r="E31" i="5" s="1"/>
  <c r="D34" i="5"/>
  <c r="E34" i="5" s="1"/>
  <c r="D60" i="5"/>
  <c r="E48" i="7"/>
  <c r="J16" i="5"/>
  <c r="S48" i="7"/>
  <c r="J60" i="5"/>
  <c r="O28" i="4"/>
  <c r="E52" i="5"/>
  <c r="E60" i="5" s="1"/>
  <c r="E16" i="6"/>
  <c r="I60" i="5"/>
  <c r="J40" i="7"/>
  <c r="T40" i="7"/>
  <c r="T48" i="7" s="1"/>
  <c r="N36" i="7"/>
  <c r="D48" i="7"/>
  <c r="I36" i="8"/>
  <c r="N48" i="8"/>
  <c r="J24" i="7" l="1"/>
  <c r="I24" i="8"/>
  <c r="J60" i="8"/>
  <c r="J60" i="7"/>
  <c r="J48" i="7"/>
  <c r="I60" i="7"/>
  <c r="E60" i="7"/>
  <c r="O48" i="7"/>
  <c r="T36" i="6"/>
  <c r="O36" i="6"/>
  <c r="J48" i="8"/>
  <c r="T36" i="8"/>
  <c r="T48" i="8"/>
  <c r="E24" i="8"/>
  <c r="Q20" i="11" s="1"/>
  <c r="O36" i="8"/>
  <c r="G23" i="11" s="1"/>
  <c r="O24" i="8"/>
  <c r="E60" i="8"/>
  <c r="E48" i="8"/>
  <c r="D48" i="8"/>
  <c r="T24" i="8"/>
  <c r="O48" i="8"/>
  <c r="E36" i="8"/>
  <c r="N24" i="8"/>
  <c r="D24" i="8"/>
  <c r="S48" i="8"/>
  <c r="J36" i="8"/>
  <c r="I48" i="8"/>
  <c r="J24" i="8"/>
  <c r="I60" i="8"/>
  <c r="S36" i="8"/>
  <c r="S24" i="8"/>
  <c r="D60" i="8"/>
  <c r="N36" i="8"/>
  <c r="D36" i="8"/>
  <c r="P23" i="11"/>
  <c r="F23" i="11"/>
  <c r="P22" i="11"/>
  <c r="F22" i="11"/>
  <c r="P20" i="11"/>
  <c r="F20" i="11"/>
  <c r="F21" i="11"/>
  <c r="N48" i="7"/>
  <c r="D36" i="7"/>
  <c r="N24" i="7"/>
  <c r="D60" i="7"/>
  <c r="D24" i="7"/>
  <c r="S36" i="7"/>
  <c r="O48" i="6"/>
  <c r="O25" i="11" s="1"/>
  <c r="E24" i="6"/>
  <c r="N36" i="6"/>
  <c r="D24" i="6"/>
  <c r="E36" i="6"/>
  <c r="E60" i="6"/>
  <c r="D60" i="6"/>
  <c r="T48" i="6"/>
  <c r="O24" i="6"/>
  <c r="I60" i="6"/>
  <c r="I48" i="6"/>
  <c r="J48" i="6"/>
  <c r="J60" i="6"/>
  <c r="N24" i="6"/>
  <c r="J36" i="6"/>
  <c r="S36" i="6"/>
  <c r="J24" i="6"/>
  <c r="T24" i="6"/>
  <c r="D48" i="6"/>
  <c r="I24" i="6"/>
  <c r="S48" i="6"/>
  <c r="E48" i="6"/>
  <c r="D36" i="6"/>
  <c r="N48" i="6"/>
  <c r="I36" i="6"/>
  <c r="S24" i="6"/>
  <c r="P33" i="11"/>
  <c r="P31" i="11"/>
  <c r="P29" i="11"/>
  <c r="O36" i="4"/>
  <c r="I48" i="4"/>
  <c r="J60" i="9"/>
  <c r="N36" i="4"/>
  <c r="J48" i="4"/>
  <c r="D24" i="9"/>
  <c r="S36" i="9"/>
  <c r="O24" i="9"/>
  <c r="J36" i="9"/>
  <c r="S24" i="9"/>
  <c r="O36" i="9"/>
  <c r="J48" i="9"/>
  <c r="O48" i="9"/>
  <c r="I60" i="9"/>
  <c r="D48" i="9"/>
  <c r="S48" i="9"/>
  <c r="N36" i="9"/>
  <c r="J24" i="9"/>
  <c r="E60" i="9"/>
  <c r="H26" i="11" s="1"/>
  <c r="E24" i="9"/>
  <c r="T36" i="9"/>
  <c r="N48" i="9"/>
  <c r="I48" i="9"/>
  <c r="E36" i="9"/>
  <c r="T24" i="9"/>
  <c r="D60" i="9"/>
  <c r="T40" i="9"/>
  <c r="T48" i="9" s="1"/>
  <c r="E40" i="9"/>
  <c r="E48" i="9" s="1"/>
  <c r="I36" i="9"/>
  <c r="I24" i="9"/>
  <c r="D36" i="9"/>
  <c r="N24" i="9"/>
  <c r="I36" i="5"/>
  <c r="E48" i="5"/>
  <c r="D36" i="5"/>
  <c r="D48" i="4"/>
  <c r="J36" i="4"/>
  <c r="I24" i="5"/>
  <c r="O48" i="4"/>
  <c r="T36" i="4"/>
  <c r="E48" i="4"/>
  <c r="E36" i="5"/>
  <c r="J24" i="5"/>
  <c r="C23" i="11"/>
  <c r="S24" i="5"/>
  <c r="J48" i="5"/>
  <c r="D48" i="5"/>
  <c r="I48" i="5"/>
  <c r="E60" i="4"/>
  <c r="D60" i="4"/>
  <c r="N48" i="4"/>
  <c r="E24" i="5"/>
  <c r="T48" i="5"/>
  <c r="J60" i="4"/>
  <c r="E24" i="4"/>
  <c r="O24" i="4"/>
  <c r="I24" i="4"/>
  <c r="N48" i="5"/>
  <c r="J36" i="5"/>
  <c r="S36" i="5"/>
  <c r="O40" i="5"/>
  <c r="O48" i="5" s="1"/>
  <c r="D25" i="11" s="1"/>
  <c r="O24" i="5"/>
  <c r="D24" i="4"/>
  <c r="T24" i="5"/>
  <c r="T24" i="4"/>
  <c r="D24" i="5"/>
  <c r="S36" i="4"/>
  <c r="N36" i="5"/>
  <c r="I60" i="4"/>
  <c r="D36" i="4"/>
  <c r="J16" i="4"/>
  <c r="J24" i="4" s="1"/>
  <c r="N24" i="4"/>
  <c r="I36" i="4"/>
  <c r="S48" i="5"/>
  <c r="O36" i="5"/>
  <c r="E36" i="4"/>
  <c r="C22" i="11" s="1"/>
  <c r="T48" i="4"/>
  <c r="S48" i="4"/>
  <c r="S24" i="4"/>
  <c r="N24" i="5"/>
  <c r="T36" i="5"/>
  <c r="G26" i="3"/>
  <c r="E26" i="3"/>
  <c r="C26" i="3"/>
  <c r="B26" i="3"/>
  <c r="H25" i="3"/>
  <c r="G25" i="3"/>
  <c r="F25" i="3"/>
  <c r="E25" i="3"/>
  <c r="D25" i="3"/>
  <c r="C25" i="3"/>
  <c r="B25" i="3"/>
  <c r="G24" i="3"/>
  <c r="E24" i="3"/>
  <c r="C24" i="3"/>
  <c r="B24" i="3"/>
  <c r="H23" i="3"/>
  <c r="G23" i="3"/>
  <c r="F23" i="3"/>
  <c r="E23" i="3"/>
  <c r="D23" i="3"/>
  <c r="C23" i="3"/>
  <c r="B23" i="3"/>
  <c r="G22" i="3"/>
  <c r="E22" i="3"/>
  <c r="C22" i="3"/>
  <c r="B22" i="3"/>
  <c r="H21" i="3"/>
  <c r="G21" i="3"/>
  <c r="F21" i="3"/>
  <c r="E21" i="3"/>
  <c r="D21" i="3"/>
  <c r="C21" i="3"/>
  <c r="B21" i="3"/>
  <c r="G20" i="3"/>
  <c r="E20" i="3"/>
  <c r="C20" i="3"/>
  <c r="B20" i="3"/>
  <c r="H80" i="11" l="1"/>
  <c r="H77" i="11"/>
  <c r="H75" i="11"/>
  <c r="H74" i="11"/>
  <c r="H73" i="11"/>
  <c r="H76" i="11"/>
  <c r="H78" i="11"/>
  <c r="H79" i="11"/>
  <c r="Q35" i="11"/>
  <c r="Q26" i="11"/>
  <c r="Q33" i="11"/>
  <c r="P25" i="11"/>
  <c r="P34" i="11"/>
  <c r="P26" i="11"/>
  <c r="P35" i="11"/>
  <c r="P30" i="11"/>
  <c r="P21" i="11"/>
  <c r="F26" i="11"/>
  <c r="F25" i="11"/>
  <c r="P32" i="11"/>
  <c r="E23" i="11"/>
  <c r="E26" i="11"/>
  <c r="O26" i="11"/>
  <c r="E25" i="11"/>
  <c r="G26" i="11"/>
  <c r="G21" i="11"/>
  <c r="Q29" i="11"/>
  <c r="G22" i="11"/>
  <c r="G20" i="11"/>
  <c r="G25" i="11"/>
  <c r="E20" i="11"/>
  <c r="O22" i="11"/>
  <c r="O20" i="11"/>
  <c r="E22" i="11"/>
  <c r="E21" i="11"/>
  <c r="O29" i="11"/>
  <c r="O30" i="11"/>
  <c r="O21" i="11"/>
  <c r="O23" i="11"/>
  <c r="H22" i="11"/>
  <c r="H23" i="11"/>
  <c r="H25" i="11"/>
  <c r="D20" i="11"/>
  <c r="H20" i="11"/>
  <c r="H21" i="11"/>
  <c r="C25" i="11"/>
  <c r="C21" i="11"/>
  <c r="D22" i="11"/>
  <c r="D23" i="11"/>
  <c r="C20" i="11"/>
  <c r="D21" i="11"/>
  <c r="C26" i="11"/>
  <c r="B13" i="1"/>
  <c r="B9" i="1" s="1"/>
  <c r="E77" i="11" l="1"/>
  <c r="E76" i="11"/>
  <c r="E75" i="11"/>
  <c r="E73" i="11"/>
  <c r="E74" i="11"/>
  <c r="E80" i="11"/>
  <c r="E79" i="11"/>
  <c r="E78" i="11"/>
  <c r="C78" i="11"/>
  <c r="C77" i="11"/>
  <c r="C76" i="11"/>
  <c r="C79" i="11"/>
  <c r="C80" i="11"/>
  <c r="C74" i="11"/>
  <c r="C75" i="11"/>
  <c r="C73" i="11"/>
  <c r="B73" i="11"/>
  <c r="B77" i="11"/>
  <c r="B80" i="11"/>
  <c r="B74" i="11"/>
  <c r="B78" i="11"/>
  <c r="B75" i="11"/>
  <c r="B79" i="11"/>
  <c r="B76" i="11"/>
  <c r="G74" i="11"/>
  <c r="G77" i="11"/>
  <c r="G73" i="11"/>
  <c r="G79" i="11"/>
  <c r="G76" i="11"/>
  <c r="G75" i="11"/>
  <c r="G80" i="11"/>
  <c r="G78" i="11"/>
  <c r="D77" i="11"/>
  <c r="D80" i="11"/>
  <c r="D73" i="11"/>
  <c r="D75" i="11"/>
  <c r="D78" i="11"/>
  <c r="D79" i="11"/>
  <c r="D76" i="11"/>
  <c r="D74" i="11"/>
  <c r="Q31" i="11"/>
  <c r="Q22" i="11"/>
  <c r="Q34" i="11"/>
  <c r="Q25" i="11"/>
  <c r="Q30" i="11"/>
  <c r="Q21" i="11"/>
  <c r="Q32" i="11"/>
  <c r="Q23" i="11"/>
  <c r="B11" i="1"/>
  <c r="N7" i="1" l="1"/>
  <c r="O7" i="1" s="1"/>
  <c r="N8" i="1"/>
  <c r="O8" i="1" s="1"/>
  <c r="O6" i="1"/>
  <c r="I6" i="1"/>
  <c r="P6" i="1" s="1"/>
  <c r="Q6" i="1" s="1"/>
  <c r="T6" i="1" s="1"/>
  <c r="M11" i="12" s="1"/>
  <c r="I8" i="1"/>
  <c r="I7" i="1"/>
  <c r="K6" i="1" l="1"/>
  <c r="S6" i="1"/>
  <c r="L6" i="1"/>
  <c r="P7" i="1"/>
  <c r="S7" i="1" s="1"/>
  <c r="L7" i="1"/>
  <c r="K7" i="1"/>
  <c r="P8" i="1"/>
  <c r="S8" i="1" s="1"/>
  <c r="L8" i="1"/>
  <c r="K8" i="1"/>
  <c r="J6" i="1"/>
  <c r="J8" i="1"/>
  <c r="O9" i="1"/>
  <c r="J7" i="1"/>
  <c r="M6" i="1" l="1"/>
  <c r="M7" i="1"/>
  <c r="Q7" i="1"/>
  <c r="M8" i="1"/>
  <c r="Q8" i="1"/>
  <c r="J9" i="1"/>
  <c r="R6" i="1"/>
  <c r="R8" i="1" l="1"/>
  <c r="T8" i="1"/>
  <c r="R7" i="1"/>
  <c r="R9" i="1" s="1"/>
  <c r="T7" i="1"/>
  <c r="M12" i="12" s="1"/>
  <c r="H11" i="12" l="1"/>
  <c r="M13" i="12"/>
  <c r="H12" i="12"/>
</calcChain>
</file>

<file path=xl/sharedStrings.xml><?xml version="1.0" encoding="utf-8"?>
<sst xmlns="http://schemas.openxmlformats.org/spreadsheetml/2006/main" count="1816" uniqueCount="143">
  <si>
    <t>S/I ratio (gTS/gTS)</t>
  </si>
  <si>
    <t>TS digestate</t>
  </si>
  <si>
    <t>VS digestate</t>
  </si>
  <si>
    <t>VS ORS</t>
  </si>
  <si>
    <t>TS ORS</t>
  </si>
  <si>
    <t>T (°C)</t>
  </si>
  <si>
    <t>Replicas</t>
  </si>
  <si>
    <t>TS</t>
  </si>
  <si>
    <t>V reactor (mL)</t>
  </si>
  <si>
    <t>ORS (g)</t>
  </si>
  <si>
    <t>Total ORS (g)</t>
  </si>
  <si>
    <t>H2O (mL)</t>
  </si>
  <si>
    <t>Inoc (g)</t>
  </si>
  <si>
    <t xml:space="preserve">Total </t>
  </si>
  <si>
    <t>TOTAL</t>
  </si>
  <si>
    <t>A</t>
  </si>
  <si>
    <t>B</t>
  </si>
  <si>
    <t>C</t>
  </si>
  <si>
    <t>C/N ORS</t>
  </si>
  <si>
    <t>Urea MW (g/mol)</t>
  </si>
  <si>
    <t>Urea (g)</t>
  </si>
  <si>
    <t>C/N ratio</t>
  </si>
  <si>
    <t>Urea N content (g/mol)</t>
  </si>
  <si>
    <t>N extra(g)</t>
  </si>
  <si>
    <t>total urea (g)</t>
  </si>
  <si>
    <t>Total Inoc (g)</t>
  </si>
  <si>
    <t>C% ORS</t>
  </si>
  <si>
    <t>N% ORS</t>
  </si>
  <si>
    <t>max NH4 g/L</t>
  </si>
  <si>
    <t>50g/L solution</t>
  </si>
  <si>
    <t>A1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</si>
  <si>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</si>
  <si>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</si>
  <si>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</si>
  <si>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</si>
  <si>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</si>
  <si>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</si>
  <si>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</si>
  <si>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</si>
  <si>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</si>
  <si>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</si>
  <si>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</si>
  <si>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O1</t>
  </si>
  <si>
    <t>O2</t>
  </si>
  <si>
    <t>AVERAGE</t>
  </si>
  <si>
    <t>Control</t>
  </si>
  <si>
    <t>Reactor/time (day)</t>
  </si>
  <si>
    <t>STANDARDS</t>
  </si>
  <si>
    <t xml:space="preserve">50 ppm </t>
  </si>
  <si>
    <t xml:space="preserve">250 ppm </t>
  </si>
  <si>
    <t xml:space="preserve">500 ppm </t>
  </si>
  <si>
    <t>Compound</t>
  </si>
  <si>
    <t xml:space="preserve">RT </t>
  </si>
  <si>
    <t>area</t>
  </si>
  <si>
    <t>actual ppm</t>
  </si>
  <si>
    <t>R2</t>
  </si>
  <si>
    <t>AcH</t>
  </si>
  <si>
    <t>PrH</t>
  </si>
  <si>
    <t>i-BuH</t>
  </si>
  <si>
    <t>BuH</t>
  </si>
  <si>
    <t>i-VaH</t>
  </si>
  <si>
    <t>VaH</t>
  </si>
  <si>
    <t>HexH</t>
  </si>
  <si>
    <t>HepH</t>
  </si>
  <si>
    <t xml:space="preserve">Sample </t>
  </si>
  <si>
    <t xml:space="preserve">area </t>
  </si>
  <si>
    <t>dil factor</t>
  </si>
  <si>
    <t>ppm</t>
  </si>
  <si>
    <t>g COD/L</t>
  </si>
  <si>
    <t>TOTAL=</t>
  </si>
  <si>
    <t>Reactor/time (days)</t>
  </si>
  <si>
    <t xml:space="preserve">AVERAGE </t>
  </si>
  <si>
    <t>H2SO4 Factor</t>
  </si>
  <si>
    <t>Titration</t>
  </si>
  <si>
    <t>std factor</t>
  </si>
  <si>
    <t>sample</t>
  </si>
  <si>
    <t>V (mL)</t>
  </si>
  <si>
    <t>mL H2SO4</t>
  </si>
  <si>
    <t>mg N/L</t>
  </si>
  <si>
    <t>mg NH4/L</t>
  </si>
  <si>
    <t>g NH4/L</t>
  </si>
  <si>
    <t>% loss</t>
  </si>
  <si>
    <t>blank</t>
  </si>
  <si>
    <t>Time  (days)</t>
  </si>
  <si>
    <t>std</t>
  </si>
  <si>
    <t>Reactor</t>
  </si>
  <si>
    <t>A1-2</t>
  </si>
  <si>
    <t>A1.7</t>
  </si>
  <si>
    <t>B1-2</t>
  </si>
  <si>
    <t>A2.7</t>
  </si>
  <si>
    <t>C1-2</t>
  </si>
  <si>
    <t>B1.7</t>
  </si>
  <si>
    <t>B2.7</t>
  </si>
  <si>
    <t>plus losses from analysis:</t>
  </si>
  <si>
    <t>C1.7</t>
  </si>
  <si>
    <t>C2.7</t>
  </si>
  <si>
    <t>O1.7</t>
  </si>
  <si>
    <t>O2.7</t>
  </si>
  <si>
    <t>ORS</t>
  </si>
  <si>
    <t>Inoc</t>
  </si>
  <si>
    <t>Crucible (g)</t>
  </si>
  <si>
    <t>sample (g)</t>
  </si>
  <si>
    <t>dry (g)</t>
  </si>
  <si>
    <t>burnt (g)</t>
  </si>
  <si>
    <t>TS (%)</t>
  </si>
  <si>
    <t>VS (%)</t>
  </si>
  <si>
    <t>VS/TS</t>
  </si>
  <si>
    <t>50 g/L</t>
  </si>
  <si>
    <t>ORS(g)</t>
  </si>
  <si>
    <t>water (g)</t>
  </si>
  <si>
    <t>urea</t>
  </si>
  <si>
    <t>VS (g)</t>
  </si>
  <si>
    <t>VS%</t>
  </si>
  <si>
    <t>Acetic</t>
  </si>
  <si>
    <t>Propionic</t>
  </si>
  <si>
    <t>Iso-butyric</t>
  </si>
  <si>
    <t>Butyric</t>
  </si>
  <si>
    <t>Iso-valeric</t>
  </si>
  <si>
    <t>Valeric</t>
  </si>
  <si>
    <t>Hydrolysis rate</t>
  </si>
  <si>
    <t>pH equivalent of A</t>
  </si>
  <si>
    <t>pH equivalent of B</t>
  </si>
  <si>
    <t>pH equivalent of C</t>
  </si>
  <si>
    <t>Expected TAN g/L</t>
  </si>
  <si>
    <t>TAN mg/L</t>
  </si>
  <si>
    <t>mg TAN/L</t>
  </si>
  <si>
    <t>VFA yield g VFA/g VS</t>
  </si>
  <si>
    <t>VFA concentration g/L</t>
  </si>
  <si>
    <t>on day 6 gVFA/L</t>
  </si>
  <si>
    <t>VFA g/L on day 6</t>
  </si>
  <si>
    <t>Ratios</t>
  </si>
  <si>
    <t>AVERAGE of last 3 days</t>
  </si>
  <si>
    <t>%</t>
  </si>
  <si>
    <t>Measured values</t>
  </si>
  <si>
    <t>Design values</t>
  </si>
  <si>
    <t>Difference from average</t>
  </si>
  <si>
    <t>Improvement with respect to control</t>
  </si>
  <si>
    <t>day 7</t>
  </si>
  <si>
    <t>Condition</t>
  </si>
  <si>
    <t>Complex A (g)</t>
  </si>
  <si>
    <t>Amylase (g)</t>
  </si>
  <si>
    <t>Complex A (mL)</t>
  </si>
  <si>
    <t>Amylase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</si>
</sst>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3" applyNumberFormat="0" applyAlignment="0" applyProtection="0"/>
    <xf numFmtId="0" fontId="6" fillId="0" borderId="4" applyNumberFormat="0" applyFill="0" applyAlignment="0" applyProtection="0"/>
  </cellStyleXfs>
  <cellXfs count="82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9" fontId="0" fillId="0" borderId="1" xfId="0" applyNumberFormat="1" applyBorder="1"/>
    <xf numFmtId="2" fontId="1" fillId="0" borderId="1" xfId="0" applyNumberFormat="1" applyFont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0" fontId="1" fillId="0" borderId="2" xfId="0" applyFont="1" applyBorder="1"/>
    <xf numFmtId="9" fontId="0" fillId="0" borderId="1" xfId="1" applyNumberFormat="1" applyFont="1" applyBorder="1"/>
    <xf numFmtId="164" fontId="0" fillId="0" borderId="1" xfId="0" applyNumberFormat="1" applyBorder="1"/>
    <xf numFmtId="2" fontId="1" fillId="0" borderId="0" xfId="0" applyNumberFormat="1" applyFont="1" applyBorder="1"/>
    <xf numFmtId="165" fontId="1" fillId="0" borderId="0" xfId="0" applyNumberFormat="1" applyFont="1"/>
    <xf numFmtId="0" fontId="4" fillId="3" borderId="3" xfId="3"/>
    <xf numFmtId="0" fontId="3" fillId="2" borderId="0" xfId="2"/>
    <xf numFmtId="0" fontId="1" fillId="0" borderId="0" xfId="0" applyFont="1" applyFill="1" applyBorder="1"/>
    <xf numFmtId="0" fontId="5" fillId="0" borderId="0" xfId="0" applyFont="1"/>
    <xf numFmtId="2" fontId="0" fillId="0" borderId="0" xfId="0" applyNumberFormat="1"/>
    <xf numFmtId="10" fontId="0" fillId="0" borderId="0" xfId="1" applyNumberFormat="1" applyFont="1"/>
    <xf numFmtId="9" fontId="0" fillId="0" borderId="0" xfId="1" applyFont="1"/>
    <xf numFmtId="10" fontId="0" fillId="0" borderId="1" xfId="1" applyNumberFormat="1" applyFont="1" applyBorder="1"/>
    <xf numFmtId="10" fontId="0" fillId="0" borderId="1" xfId="0" applyNumberFormat="1" applyBorder="1"/>
    <xf numFmtId="10" fontId="0" fillId="0" borderId="0" xfId="1" applyNumberFormat="1" applyFont="1" applyBorder="1"/>
    <xf numFmtId="1" fontId="0" fillId="0" borderId="0" xfId="1" applyNumberFormat="1" applyFont="1"/>
    <xf numFmtId="9" fontId="0" fillId="6" borderId="0" xfId="1" applyFont="1" applyFill="1"/>
    <xf numFmtId="9" fontId="0" fillId="0" borderId="0" xfId="1" applyFont="1" applyFill="1" applyBorder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2" fontId="0" fillId="0" borderId="0" xfId="0" applyNumberFormat="1" applyFill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9" xfId="0" applyBorder="1"/>
    <xf numFmtId="0" fontId="1" fillId="0" borderId="10" xfId="0" applyFont="1" applyBorder="1"/>
    <xf numFmtId="0" fontId="0" fillId="0" borderId="11" xfId="0" applyBorder="1"/>
    <xf numFmtId="0" fontId="0" fillId="0" borderId="12" xfId="0" applyBorder="1"/>
    <xf numFmtId="2" fontId="0" fillId="0" borderId="9" xfId="0" applyNumberFormat="1" applyBorder="1"/>
    <xf numFmtId="0" fontId="1" fillId="0" borderId="8" xfId="0" applyFont="1" applyFill="1" applyBorder="1"/>
    <xf numFmtId="2" fontId="0" fillId="0" borderId="9" xfId="0" applyNumberFormat="1" applyFill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9" xfId="0" applyFill="1" applyBorder="1"/>
    <xf numFmtId="0" fontId="0" fillId="0" borderId="5" xfId="0" applyBorder="1"/>
    <xf numFmtId="10" fontId="0" fillId="0" borderId="9" xfId="1" applyNumberFormat="1" applyFont="1" applyBorder="1"/>
    <xf numFmtId="10" fontId="0" fillId="0" borderId="11" xfId="1" applyNumberFormat="1" applyFont="1" applyBorder="1"/>
    <xf numFmtId="10" fontId="0" fillId="0" borderId="12" xfId="1" applyNumberFormat="1" applyFont="1" applyBorder="1"/>
    <xf numFmtId="0" fontId="1" fillId="7" borderId="0" xfId="0" applyFont="1" applyFill="1"/>
    <xf numFmtId="0" fontId="7" fillId="7" borderId="0" xfId="0" applyFont="1" applyFill="1"/>
    <xf numFmtId="0" fontId="1" fillId="7" borderId="5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1" fontId="0" fillId="7" borderId="1" xfId="0" applyNumberFormat="1" applyFill="1" applyBorder="1"/>
    <xf numFmtId="0" fontId="1" fillId="8" borderId="1" xfId="0" applyFont="1" applyFill="1" applyBorder="1"/>
    <xf numFmtId="9" fontId="0" fillId="8" borderId="1" xfId="1" applyFont="1" applyFill="1" applyBorder="1"/>
    <xf numFmtId="0" fontId="5" fillId="8" borderId="1" xfId="0" applyFont="1" applyFill="1" applyBorder="1"/>
    <xf numFmtId="9" fontId="5" fillId="8" borderId="1" xfId="1" applyNumberFormat="1" applyFont="1" applyFill="1" applyBorder="1"/>
    <xf numFmtId="0" fontId="0" fillId="8" borderId="1" xfId="0" applyFill="1" applyBorder="1"/>
    <xf numFmtId="2" fontId="0" fillId="8" borderId="1" xfId="0" applyNumberFormat="1" applyFill="1" applyBorder="1"/>
    <xf numFmtId="0" fontId="1" fillId="4" borderId="8" xfId="0" applyFont="1" applyFill="1" applyBorder="1"/>
    <xf numFmtId="0" fontId="0" fillId="4" borderId="0" xfId="0" applyFill="1" applyBorder="1"/>
    <xf numFmtId="0" fontId="0" fillId="4" borderId="9" xfId="0" applyFill="1" applyBorder="1"/>
    <xf numFmtId="0" fontId="1" fillId="5" borderId="8" xfId="0" applyFont="1" applyFill="1" applyBorder="1"/>
    <xf numFmtId="0" fontId="0" fillId="5" borderId="0" xfId="0" applyFill="1" applyBorder="1"/>
    <xf numFmtId="0" fontId="0" fillId="5" borderId="9" xfId="0" applyFill="1" applyBorder="1"/>
    <xf numFmtId="0" fontId="0" fillId="0" borderId="10" xfId="0" applyBorder="1"/>
    <xf numFmtId="165" fontId="1" fillId="0" borderId="6" xfId="0" applyNumberFormat="1" applyFont="1" applyBorder="1"/>
    <xf numFmtId="165" fontId="1" fillId="0" borderId="7" xfId="0" applyNumberFormat="1" applyFont="1" applyBorder="1"/>
    <xf numFmtId="0" fontId="0" fillId="0" borderId="8" xfId="0" applyBorder="1"/>
    <xf numFmtId="0" fontId="0" fillId="0" borderId="13" xfId="0" applyBorder="1"/>
    <xf numFmtId="10" fontId="0" fillId="0" borderId="13" xfId="1" applyNumberFormat="1" applyFont="1" applyBorder="1"/>
    <xf numFmtId="10" fontId="0" fillId="0" borderId="13" xfId="0" applyNumberFormat="1" applyBorder="1"/>
    <xf numFmtId="0" fontId="0" fillId="0" borderId="14" xfId="0" applyBorder="1"/>
    <xf numFmtId="10" fontId="0" fillId="0" borderId="15" xfId="1" applyNumberFormat="1" applyFont="1" applyBorder="1"/>
    <xf numFmtId="10" fontId="0" fillId="0" borderId="16" xfId="1" applyNumberFormat="1" applyFont="1" applyBorder="1"/>
    <xf numFmtId="0" fontId="6" fillId="0" borderId="4" xfId="4" applyAlignment="1">
      <alignment horizontal="center"/>
    </xf>
    <xf numFmtId="10" fontId="0" fillId="0" borderId="0" xfId="1" applyNumberFormat="1" applyFont="1" applyAlignment="1">
      <alignment horizontal="center" vertical="center"/>
    </xf>
  </cellXfs>
  <cellStyles count="5">
    <cellStyle name="Heading 1" xfId="4" builtinId="16"/>
    <cellStyle name="Input" xfId="3" builtinId="20"/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pH!$A$20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6.67</c:v>
              </c:pt>
              <c:pt idx="1">
                <c:v>4.8149999999999995</c:v>
              </c:pt>
              <c:pt idx="2">
                <c:v>#N/A</c:v>
              </c:pt>
              <c:pt idx="3">
                <c:v>4.72</c:v>
              </c:pt>
              <c:pt idx="4">
                <c:v>#N/A</c:v>
              </c:pt>
              <c:pt idx="5">
                <c:v>4.6150000000000002</c:v>
              </c:pt>
              <c:pt idx="6">
                <c:v>#N/A</c:v>
              </c:pt>
              <c:pt idx="7">
                <c:v>4.5350000000000001</c:v>
              </c:pt>
              <c:pt idx="8">
                <c:v>#N/A</c:v>
              </c:pt>
              <c:pt idx="9">
                <c:v>4.7050000000000001</c:v>
              </c:pt>
              <c:pt idx="10">
                <c:v>#N/A</c:v>
              </c:pt>
              <c:pt idx="11">
                <c:v>4.8049999999999997</c:v>
              </c:pt>
              <c:pt idx="12">
                <c:v>#N/A</c:v>
              </c:pt>
              <c:pt idx="13">
                <c:v>5.13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857-4B85-89D1-8A6E7A026D8C}"/>
            </c:ext>
          </c:extLst>
        </c:ser>
        <c:ser>
          <c:idx val="1"/>
          <c:order val="1"/>
          <c:tx>
            <c:strRef>
              <c:f>pH!$A$21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6.7149999999999999</c:v>
              </c:pt>
              <c:pt idx="1">
                <c:v>4.58</c:v>
              </c:pt>
              <c:pt idx="2">
                <c:v>4.7649999999999997</c:v>
              </c:pt>
              <c:pt idx="3">
                <c:v>4.4350000000000005</c:v>
              </c:pt>
              <c:pt idx="4">
                <c:v>4.6749999999999998</c:v>
              </c:pt>
              <c:pt idx="5">
                <c:v>4.49</c:v>
              </c:pt>
              <c:pt idx="6">
                <c:v>4.59</c:v>
              </c:pt>
              <c:pt idx="7">
                <c:v>4.49</c:v>
              </c:pt>
              <c:pt idx="8">
                <c:v>#N/A</c:v>
              </c:pt>
              <c:pt idx="9">
                <c:v>4.625</c:v>
              </c:pt>
              <c:pt idx="10">
                <c:v>#N/A</c:v>
              </c:pt>
              <c:pt idx="11">
                <c:v>4.68</c:v>
              </c:pt>
              <c:pt idx="12">
                <c:v>#N/A</c:v>
              </c:pt>
              <c:pt idx="13">
                <c:v>4.835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857-4B85-89D1-8A6E7A026D8C}"/>
            </c:ext>
          </c:extLst>
        </c:ser>
        <c:ser>
          <c:idx val="2"/>
          <c:order val="2"/>
          <c:tx>
            <c:strRef>
              <c:f>pH!$A$22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6.7149999999999999</c:v>
              </c:pt>
              <c:pt idx="1">
                <c:v>5.0549999999999997</c:v>
              </c:pt>
              <c:pt idx="2">
                <c:v>#N/A</c:v>
              </c:pt>
              <c:pt idx="3">
                <c:v>5.6749999999999998</c:v>
              </c:pt>
              <c:pt idx="4">
                <c:v>#N/A</c:v>
              </c:pt>
              <c:pt idx="5">
                <c:v>6.07</c:v>
              </c:pt>
              <c:pt idx="6">
                <c:v>#N/A</c:v>
              </c:pt>
              <c:pt idx="7">
                <c:v>6.1899999999999995</c:v>
              </c:pt>
              <c:pt idx="8">
                <c:v>#N/A</c:v>
              </c:pt>
              <c:pt idx="9">
                <c:v>6.83</c:v>
              </c:pt>
              <c:pt idx="10">
                <c:v>#N/A</c:v>
              </c:pt>
              <c:pt idx="11">
                <c:v>7.0600000000000005</c:v>
              </c:pt>
              <c:pt idx="12">
                <c:v>#N/A</c:v>
              </c:pt>
              <c:pt idx="13">
                <c:v>7.1899999999999995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857-4B85-89D1-8A6E7A026D8C}"/>
            </c:ext>
          </c:extLst>
        </c:ser>
        <c:ser>
          <c:idx val="3"/>
          <c:order val="3"/>
          <c:tx>
            <c:strRef>
              <c:f>pH!$A$23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6.6400000000000006</c:v>
              </c:pt>
              <c:pt idx="1">
                <c:v>4.5549999999999997</c:v>
              </c:pt>
              <c:pt idx="2">
                <c:v>5.0049999999999999</c:v>
              </c:pt>
              <c:pt idx="3">
                <c:v>4.5350000000000001</c:v>
              </c:pt>
              <c:pt idx="4">
                <c:v>5.625</c:v>
              </c:pt>
              <c:pt idx="5">
                <c:v>5.085</c:v>
              </c:pt>
              <c:pt idx="6">
                <c:v>6.5449999999999999</c:v>
              </c:pt>
              <c:pt idx="7">
                <c:v>6.1950000000000003</c:v>
              </c:pt>
              <c:pt idx="8">
                <c:v>6.59</c:v>
              </c:pt>
              <c:pt idx="9">
                <c:v>6.9350000000000005</c:v>
              </c:pt>
              <c:pt idx="10">
                <c:v>#N/A</c:v>
              </c:pt>
              <c:pt idx="11">
                <c:v>6.9399999999999995</c:v>
              </c:pt>
              <c:pt idx="12">
                <c:v>#N/A</c:v>
              </c:pt>
              <c:pt idx="13">
                <c:v>6.8049999999999997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857-4B85-89D1-8A6E7A026D8C}"/>
            </c:ext>
          </c:extLst>
        </c:ser>
        <c:ser>
          <c:idx val="4"/>
          <c:order val="4"/>
          <c:tx>
            <c:strRef>
              <c:f>pH!$A$24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6.7549999999999999</c:v>
              </c:pt>
              <c:pt idx="1">
                <c:v>5.2550000000000008</c:v>
              </c:pt>
              <c:pt idx="2">
                <c:v>#N/A</c:v>
              </c:pt>
              <c:pt idx="3">
                <c:v>6.1899999999999995</c:v>
              </c:pt>
              <c:pt idx="4">
                <c:v>#N/A</c:v>
              </c:pt>
              <c:pt idx="5">
                <c:v>6.42</c:v>
              </c:pt>
              <c:pt idx="6">
                <c:v>#N/A</c:v>
              </c:pt>
              <c:pt idx="7">
                <c:v>6.6150000000000002</c:v>
              </c:pt>
              <c:pt idx="8">
                <c:v>#N/A</c:v>
              </c:pt>
              <c:pt idx="9">
                <c:v>6.915</c:v>
              </c:pt>
              <c:pt idx="10">
                <c:v>#N/A</c:v>
              </c:pt>
              <c:pt idx="11">
                <c:v>7.08</c:v>
              </c:pt>
              <c:pt idx="12">
                <c:v>#N/A</c:v>
              </c:pt>
              <c:pt idx="13">
                <c:v>7.32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857-4B85-89D1-8A6E7A026D8C}"/>
            </c:ext>
          </c:extLst>
        </c:ser>
        <c:ser>
          <c:idx val="5"/>
          <c:order val="5"/>
          <c:tx>
            <c:strRef>
              <c:f>pH!$A$25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6.5749999999999993</c:v>
              </c:pt>
              <c:pt idx="1">
                <c:v>4.5600000000000005</c:v>
              </c:pt>
              <c:pt idx="2">
                <c:v>5.2249999999999996</c:v>
              </c:pt>
              <c:pt idx="3">
                <c:v>4.6150000000000002</c:v>
              </c:pt>
              <c:pt idx="4">
                <c:v>6.1950000000000003</c:v>
              </c:pt>
              <c:pt idx="5">
                <c:v>5.2349999999999994</c:v>
              </c:pt>
              <c:pt idx="6">
                <c:v>7.9049999999999994</c:v>
              </c:pt>
              <c:pt idx="7">
                <c:v>6.4849999999999994</c:v>
              </c:pt>
              <c:pt idx="8">
                <c:v>7.85</c:v>
              </c:pt>
              <c:pt idx="9">
                <c:v>6.19</c:v>
              </c:pt>
              <c:pt idx="10">
                <c:v>8.4450000000000003</c:v>
              </c:pt>
              <c:pt idx="11">
                <c:v>6.83</c:v>
              </c:pt>
              <c:pt idx="12">
                <c:v>8.1000000000000014</c:v>
              </c:pt>
              <c:pt idx="13">
                <c:v>6.9700000000000006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857-4B85-89D1-8A6E7A026D8C}"/>
            </c:ext>
          </c:extLst>
        </c:ser>
        <c:ser>
          <c:idx val="6"/>
          <c:order val="6"/>
          <c:tx>
            <c:v>Control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0.0000</c:formatCode>
              <c:ptCount val="14"/>
              <c:pt idx="0">
                <c:v>0</c:v>
              </c:pt>
              <c:pt idx="1">
                <c:v>1</c:v>
              </c:pt>
              <c:pt idx="2">
                <c:v>1.0001</c:v>
              </c:pt>
              <c:pt idx="3">
                <c:v>2</c:v>
              </c:pt>
              <c:pt idx="4">
                <c:v>2.0001000000000002</c:v>
              </c:pt>
              <c:pt idx="5">
                <c:v>3</c:v>
              </c:pt>
              <c:pt idx="6">
                <c:v>3.0001000000000002</c:v>
              </c:pt>
              <c:pt idx="7">
                <c:v>4</c:v>
              </c:pt>
              <c:pt idx="8">
                <c:v>4.0000999999999998</c:v>
              </c:pt>
              <c:pt idx="9">
                <c:v>5</c:v>
              </c:pt>
              <c:pt idx="10">
                <c:v>5.0000999999999998</c:v>
              </c:pt>
              <c:pt idx="11">
                <c:v>6</c:v>
              </c:pt>
              <c:pt idx="12">
                <c:v>6.0000999999999998</c:v>
              </c:pt>
              <c:pt idx="13">
                <c:v>7</c:v>
              </c:pt>
            </c:numLit>
          </c:xVal>
          <c:yVal>
            <c:numLit>
              <c:formatCode>General</c:formatCode>
              <c:ptCount val="14"/>
              <c:pt idx="0">
                <c:v>6.4450000000000003</c:v>
              </c:pt>
              <c:pt idx="1">
                <c:v>4.5250000000000004</c:v>
              </c:pt>
              <c:pt idx="2">
                <c:v>#N/A</c:v>
              </c:pt>
              <c:pt idx="3">
                <c:v>4.3149999999999995</c:v>
              </c:pt>
              <c:pt idx="4">
                <c:v>#N/A</c:v>
              </c:pt>
              <c:pt idx="5">
                <c:v>4.2699999999999996</c:v>
              </c:pt>
              <c:pt idx="6">
                <c:v>#N/A</c:v>
              </c:pt>
              <c:pt idx="7">
                <c:v>4.2149999999999999</c:v>
              </c:pt>
              <c:pt idx="8">
                <c:v>#N/A</c:v>
              </c:pt>
              <c:pt idx="9">
                <c:v>4.3599999999999994</c:v>
              </c:pt>
              <c:pt idx="10">
                <c:v>#N/A</c:v>
              </c:pt>
              <c:pt idx="11">
                <c:v>4.4450000000000003</c:v>
              </c:pt>
              <c:pt idx="12">
                <c:v>#N/A</c:v>
              </c:pt>
              <c:pt idx="13">
                <c:v>4.6399999999999997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6857-4B85-89D1-8A6E7A026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976144"/>
        <c:axId val="599974176"/>
        <c:extLst/>
      </c:scatterChart>
      <c:valAx>
        <c:axId val="599976144"/>
        <c:scaling>
          <c:orientation val="minMax"/>
          <c:max val="8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Fermentation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time (days)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4176"/>
        <c:crosses val="autoZero"/>
        <c:crossBetween val="midCat"/>
        <c:majorUnit val="1"/>
        <c:minorUnit val="0.5"/>
      </c:valAx>
      <c:valAx>
        <c:axId val="599974176"/>
        <c:scaling>
          <c:orientation val="minMax"/>
          <c:max val="10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614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21426660062308E-2"/>
          <c:y val="3.5699728738281637E-2"/>
          <c:w val="0.64295096247459305"/>
          <c:h val="0.8022116965804158"/>
        </c:manualLayout>
      </c:layout>
      <c:lineChart>
        <c:grouping val="standard"/>
        <c:varyColors val="0"/>
        <c:ser>
          <c:idx val="0"/>
          <c:order val="0"/>
          <c:tx>
            <c:strRef>
              <c:f>'VFA summary'!$K$20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summary'!$L$20:$R$20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3.1280287160690846E-2</c:v>
                </c:pt>
                <c:pt idx="2">
                  <c:v>3.6350225874343556E-2</c:v>
                </c:pt>
                <c:pt idx="3">
                  <c:v>4.0732495234708892E-2</c:v>
                </c:pt>
                <c:pt idx="4">
                  <c:v>3.549215871038805E-2</c:v>
                </c:pt>
                <c:pt idx="5">
                  <c:v>4.8899741794086835E-2</c:v>
                </c:pt>
                <c:pt idx="6">
                  <c:v>5.0238040560333708E-2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F7-4410-BE2F-178EE41ADE81}"/>
            </c:ext>
          </c:extLst>
        </c:ser>
        <c:ser>
          <c:idx val="1"/>
          <c:order val="1"/>
          <c:tx>
            <c:strRef>
              <c:f>'VFA summary'!$K$21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summary'!$L$21:$R$21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2.4561811957978998E-2</c:v>
                </c:pt>
                <c:pt idx="2">
                  <c:v>2.9255480270667295E-2</c:v>
                </c:pt>
                <c:pt idx="3">
                  <c:v>3.7886772360084003E-2</c:v>
                </c:pt>
                <c:pt idx="4">
                  <c:v>2.487260921602881E-2</c:v>
                </c:pt>
                <c:pt idx="5">
                  <c:v>5.0739138282806892E-2</c:v>
                </c:pt>
                <c:pt idx="6">
                  <c:v>5.1925887869803677E-2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F7-4410-BE2F-178EE41ADE81}"/>
            </c:ext>
          </c:extLst>
        </c:ser>
        <c:ser>
          <c:idx val="2"/>
          <c:order val="2"/>
          <c:tx>
            <c:strRef>
              <c:f>'VFA summary'!$K$22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summary'!$L$22:$R$22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2.4103436815348399E-2</c:v>
                </c:pt>
                <c:pt idx="2">
                  <c:v>3.7075473713575682E-2</c:v>
                </c:pt>
                <c:pt idx="3">
                  <c:v>7.726623773609767E-2</c:v>
                </c:pt>
                <c:pt idx="4">
                  <c:v>5.3919741829963549E-2</c:v>
                </c:pt>
                <c:pt idx="5">
                  <c:v>0.12773228895191013</c:v>
                </c:pt>
                <c:pt idx="6">
                  <c:v>0.14221184445067667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F7-4410-BE2F-178EE41ADE81}"/>
            </c:ext>
          </c:extLst>
        </c:ser>
        <c:ser>
          <c:idx val="3"/>
          <c:order val="3"/>
          <c:tx>
            <c:strRef>
              <c:f>'VFA summary'!$K$23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summary'!$L$23:$R$23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2.1017269510278495E-2</c:v>
                </c:pt>
                <c:pt idx="2">
                  <c:v>2.807344640589432E-2</c:v>
                </c:pt>
                <c:pt idx="3">
                  <c:v>4.5326053376706789E-2</c:v>
                </c:pt>
                <c:pt idx="4">
                  <c:v>7.162206029335999E-2</c:v>
                </c:pt>
                <c:pt idx="5">
                  <c:v>0.14172013640780437</c:v>
                </c:pt>
                <c:pt idx="6">
                  <c:v>0.13529869890916627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F7-4410-BE2F-178EE41ADE81}"/>
            </c:ext>
          </c:extLst>
        </c:ser>
        <c:ser>
          <c:idx val="4"/>
          <c:order val="4"/>
          <c:tx>
            <c:strRef>
              <c:f>'VFA summary'!$K$24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summary'!$L$24:$R$24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2.9330412657550719E-2</c:v>
                </c:pt>
                <c:pt idx="2">
                  <c:v>2.8506360919405952E-2</c:v>
                </c:pt>
                <c:pt idx="3">
                  <c:v>6.9958416234574841E-2</c:v>
                </c:pt>
                <c:pt idx="4">
                  <c:v>0.10231409957546565</c:v>
                </c:pt>
                <c:pt idx="5">
                  <c:v>0.1628948256125623</c:v>
                </c:pt>
                <c:pt idx="6">
                  <c:v>0.12158900682333874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F7-4410-BE2F-178EE41ADE81}"/>
            </c:ext>
          </c:extLst>
        </c:ser>
        <c:ser>
          <c:idx val="5"/>
          <c:order val="5"/>
          <c:tx>
            <c:strRef>
              <c:f>'VFA summary'!$K$25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summary'!$L$25:$R$25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2.4729949943053942E-2</c:v>
                </c:pt>
                <c:pt idx="2">
                  <c:v>2.9940178040559789E-2</c:v>
                </c:pt>
                <c:pt idx="3">
                  <c:v>4.5221227594969216E-2</c:v>
                </c:pt>
                <c:pt idx="4">
                  <c:v>5.1564025722993539E-2</c:v>
                </c:pt>
                <c:pt idx="5">
                  <c:v>0.22757728188635001</c:v>
                </c:pt>
                <c:pt idx="6">
                  <c:v>0.19408193112209926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F7-4410-BE2F-178EE41ADE81}"/>
            </c:ext>
          </c:extLst>
        </c:ser>
        <c:ser>
          <c:idx val="6"/>
          <c:order val="6"/>
          <c:tx>
            <c:strRef>
              <c:f>'VFA summary'!$K$26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'VFA summary'!$L$19:$R$19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'VFA summary'!$L$26:$R$26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2.7652953580648291E-2</c:v>
                </c:pt>
                <c:pt idx="2">
                  <c:v>#N/A</c:v>
                </c:pt>
                <c:pt idx="3">
                  <c:v>3.5707538545502085E-2</c:v>
                </c:pt>
                <c:pt idx="4">
                  <c:v>6.4747731687697027E-2</c:v>
                </c:pt>
                <c:pt idx="5">
                  <c:v>2.9492582897566497E-2</c:v>
                </c:pt>
                <c:pt idx="6">
                  <c:v>5.1291643577096535E-2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F7-4410-BE2F-178EE41AD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155896"/>
        <c:axId val="733966128"/>
      </c:lineChart>
      <c:catAx>
        <c:axId val="728155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fermentation time</a:t>
                </a:r>
                <a:r>
                  <a:rPr lang="en-GB" baseline="0"/>
                  <a:t> (days)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966128"/>
        <c:crosses val="autoZero"/>
        <c:auto val="1"/>
        <c:lblAlgn val="ctr"/>
        <c:lblOffset val="100"/>
        <c:noMultiLvlLbl val="0"/>
      </c:catAx>
      <c:valAx>
        <c:axId val="73396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VFA  yield   g VFA/g VS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155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1340</c:v>
              </c:pt>
              <c:pt idx="1">
                <c:v>7161</c:v>
              </c:pt>
              <c:pt idx="2">
                <c:v>13241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635-4435-BC36-4E13E0AD5E59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1979</c:v>
              </c:pt>
              <c:pt idx="1">
                <c:v>10922</c:v>
              </c:pt>
              <c:pt idx="2">
                <c:v>20513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635-4435-BC36-4E13E0AD5E59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2251</c:v>
              </c:pt>
              <c:pt idx="1">
                <c:v>12529</c:v>
              </c:pt>
              <c:pt idx="2">
                <c:v>23650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635-4435-BC36-4E13E0AD5E59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2236</c:v>
              </c:pt>
              <c:pt idx="1">
                <c:v>12474</c:v>
              </c:pt>
              <c:pt idx="2">
                <c:v>23840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635-4435-BC36-4E13E0AD5E59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2507</c:v>
              </c:pt>
              <c:pt idx="1">
                <c:v>13532</c:v>
              </c:pt>
              <c:pt idx="2">
                <c:v>25866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635-4435-BC36-4E13E0AD5E59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2433</c:v>
              </c:pt>
              <c:pt idx="1">
                <c:v>13217</c:v>
              </c:pt>
              <c:pt idx="2">
                <c:v>25540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635-4435-BC36-4E13E0AD5E59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2516</c:v>
              </c:pt>
              <c:pt idx="1">
                <c:v>12992</c:v>
              </c:pt>
              <c:pt idx="2">
                <c:v>25507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9635-4435-BC36-4E13E0AD5E59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2654</c:v>
              </c:pt>
              <c:pt idx="1">
                <c:v>13146</c:v>
              </c:pt>
              <c:pt idx="2">
                <c:v>25968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9635-4435-BC36-4E13E0AD5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2840</c:v>
              </c:pt>
              <c:pt idx="1">
                <c:v>8471</c:v>
              </c:pt>
              <c:pt idx="2">
                <c:v>16981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F14-4893-8949-4F50C8958DB5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2589</c:v>
              </c:pt>
              <c:pt idx="1">
                <c:v>12447</c:v>
              </c:pt>
              <c:pt idx="2">
                <c:v>25705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F14-4893-8949-4F50C8958DB5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3049</c:v>
              </c:pt>
              <c:pt idx="1">
                <c:v>14420</c:v>
              </c:pt>
              <c:pt idx="2">
                <c:v>29757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F14-4893-8949-4F50C8958DB5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2766</c:v>
              </c:pt>
              <c:pt idx="1">
                <c:v>14186</c:v>
              </c:pt>
              <c:pt idx="2">
                <c:v>29830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F14-4893-8949-4F50C8958DB5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2891</c:v>
              </c:pt>
              <c:pt idx="1">
                <c:v>15132</c:v>
              </c:pt>
              <c:pt idx="2">
                <c:v>31948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3F14-4893-8949-4F50C8958DB5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2760</c:v>
              </c:pt>
              <c:pt idx="1">
                <c:v>14811</c:v>
              </c:pt>
              <c:pt idx="2">
                <c:v>31314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F14-4893-8949-4F50C8958DB5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2763</c:v>
              </c:pt>
              <c:pt idx="1">
                <c:v>14584</c:v>
              </c:pt>
              <c:pt idx="2">
                <c:v>31043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3F14-4893-8949-4F50C8958DB5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2823</c:v>
              </c:pt>
              <c:pt idx="1">
                <c:v>14673</c:v>
              </c:pt>
              <c:pt idx="2">
                <c:v>31514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3F14-4893-8949-4F50C8958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1683</c:v>
              </c:pt>
              <c:pt idx="1">
                <c:v>9564</c:v>
              </c:pt>
              <c:pt idx="2">
                <c:v>21449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AF6-435F-8FDE-ACF2B5A26EC7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2604</c:v>
              </c:pt>
              <c:pt idx="1">
                <c:v>14604</c:v>
              </c:pt>
              <c:pt idx="2">
                <c:v>32298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AF6-435F-8FDE-ACF2B5A26EC7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2898</c:v>
              </c:pt>
              <c:pt idx="1">
                <c:v>16623</c:v>
              </c:pt>
              <c:pt idx="2">
                <c:v>37273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AF6-435F-8FDE-ACF2B5A26EC7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3008</c:v>
              </c:pt>
              <c:pt idx="1">
                <c:v>17683</c:v>
              </c:pt>
              <c:pt idx="2">
                <c:v>40230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AF6-435F-8FDE-ACF2B5A26EC7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3300</c:v>
              </c:pt>
              <c:pt idx="1">
                <c:v>19015</c:v>
              </c:pt>
              <c:pt idx="2">
                <c:v>43579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AF6-435F-8FDE-ACF2B5A26EC7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3349</c:v>
              </c:pt>
              <c:pt idx="1">
                <c:v>19712</c:v>
              </c:pt>
              <c:pt idx="2">
                <c:v>45101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AF6-435F-8FDE-ACF2B5A26EC7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3588</c:v>
              </c:pt>
              <c:pt idx="1">
                <c:v>20751</c:v>
              </c:pt>
              <c:pt idx="2">
                <c:v>47686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6AF6-435F-8FDE-ACF2B5A26EC7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4007</c:v>
              </c:pt>
              <c:pt idx="1">
                <c:v>23232</c:v>
              </c:pt>
              <c:pt idx="2">
                <c:v>53448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6AF6-435F-8FDE-ACF2B5A26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1766</c:v>
              </c:pt>
              <c:pt idx="1">
                <c:v>8831</c:v>
              </c:pt>
              <c:pt idx="2">
                <c:v>14349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48E-444B-AD55-F5066D0FC344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2509</c:v>
              </c:pt>
              <c:pt idx="1">
                <c:v>13369</c:v>
              </c:pt>
              <c:pt idx="2">
                <c:v>22555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48E-444B-AD55-F5066D0FC344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2831</c:v>
              </c:pt>
              <c:pt idx="1">
                <c:v>15347</c:v>
              </c:pt>
              <c:pt idx="2">
                <c:v>25538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48E-444B-AD55-F5066D0FC344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2875</c:v>
              </c:pt>
              <c:pt idx="1">
                <c:v>16322</c:v>
              </c:pt>
              <c:pt idx="2">
                <c:v>27324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48E-444B-AD55-F5066D0FC344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3142</c:v>
              </c:pt>
              <c:pt idx="1">
                <c:v>17582</c:v>
              </c:pt>
              <c:pt idx="2">
                <c:v>29012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F48E-444B-AD55-F5066D0FC344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3301</c:v>
              </c:pt>
              <c:pt idx="1">
                <c:v>18543</c:v>
              </c:pt>
              <c:pt idx="2">
                <c:v>30930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48E-444B-AD55-F5066D0FC344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3498</c:v>
              </c:pt>
              <c:pt idx="1">
                <c:v>19558</c:v>
              </c:pt>
              <c:pt idx="2">
                <c:v>33894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F48E-444B-AD55-F5066D0FC344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3860</c:v>
              </c:pt>
              <c:pt idx="1">
                <c:v>21700</c:v>
              </c:pt>
              <c:pt idx="2">
                <c:v>39813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F48E-444B-AD55-F5066D0FC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2062</c:v>
              </c:pt>
              <c:pt idx="1">
                <c:v>8829</c:v>
              </c:pt>
              <c:pt idx="2">
                <c:v>13692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DC4-43FD-BD7F-27B8335C96B2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2659</c:v>
              </c:pt>
              <c:pt idx="1">
                <c:v>13198</c:v>
              </c:pt>
              <c:pt idx="2">
                <c:v>20729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DC4-43FD-BD7F-27B8335C96B2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2958</c:v>
              </c:pt>
              <c:pt idx="1">
                <c:v>15098</c:v>
              </c:pt>
              <c:pt idx="2">
                <c:v>23961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DC4-43FD-BD7F-27B8335C96B2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3050</c:v>
              </c:pt>
              <c:pt idx="1">
                <c:v>16022</c:v>
              </c:pt>
              <c:pt idx="2">
                <c:v>25801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DC4-43FD-BD7F-27B8335C96B2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3413</c:v>
              </c:pt>
              <c:pt idx="1">
                <c:v>17342</c:v>
              </c:pt>
              <c:pt idx="2">
                <c:v>27586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8DC4-43FD-BD7F-27B8335C96B2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3579</c:v>
              </c:pt>
              <c:pt idx="1">
                <c:v>18019</c:v>
              </c:pt>
              <c:pt idx="2">
                <c:v>28546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DC4-43FD-BD7F-27B8335C96B2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3728</c:v>
              </c:pt>
              <c:pt idx="1">
                <c:v>18942</c:v>
              </c:pt>
              <c:pt idx="2">
                <c:v>30361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8DC4-43FD-BD7F-27B8335C96B2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4196</c:v>
              </c:pt>
              <c:pt idx="1">
                <c:v>20912</c:v>
              </c:pt>
              <c:pt idx="2">
                <c:v>33916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8DC4-43FD-BD7F-27B8335C9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53</c:v>
              </c:pt>
              <c:pt idx="1">
                <c:v>263</c:v>
              </c:pt>
              <c:pt idx="2">
                <c:v>525</c:v>
              </c:pt>
            </c:numLit>
          </c:xVal>
          <c:yVal>
            <c:numLit>
              <c:formatCode>General</c:formatCode>
              <c:ptCount val="3"/>
              <c:pt idx="0">
                <c:v>1151</c:v>
              </c:pt>
              <c:pt idx="1">
                <c:v>6492</c:v>
              </c:pt>
              <c:pt idx="2">
                <c:v>13514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F76-4657-9A96-4D20A0463F7F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49</c:v>
              </c:pt>
              <c:pt idx="1">
                <c:v>247</c:v>
              </c:pt>
              <c:pt idx="2">
                <c:v>495</c:v>
              </c:pt>
            </c:numLit>
          </c:xVal>
          <c:yVal>
            <c:numLit>
              <c:formatCode>General</c:formatCode>
              <c:ptCount val="3"/>
              <c:pt idx="0">
                <c:v>1802</c:v>
              </c:pt>
              <c:pt idx="1">
                <c:v>10300</c:v>
              </c:pt>
              <c:pt idx="2">
                <c:v>20810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F76-4657-9A96-4D20A0463F7F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235</c:v>
              </c:pt>
              <c:pt idx="2">
                <c:v>469</c:v>
              </c:pt>
            </c:numLit>
          </c:xVal>
          <c:yVal>
            <c:numLit>
              <c:formatCode>General</c:formatCode>
              <c:ptCount val="3"/>
              <c:pt idx="0">
                <c:v>2050</c:v>
              </c:pt>
              <c:pt idx="1">
                <c:v>11888</c:v>
              </c:pt>
              <c:pt idx="2">
                <c:v>24571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F76-4657-9A96-4D20A0463F7F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45</c:v>
              </c:pt>
              <c:pt idx="1">
                <c:v>227</c:v>
              </c:pt>
              <c:pt idx="2">
                <c:v>453</c:v>
              </c:pt>
            </c:numLit>
          </c:xVal>
          <c:yVal>
            <c:numLit>
              <c:formatCode>General</c:formatCode>
              <c:ptCount val="3"/>
              <c:pt idx="0">
                <c:v>2113</c:v>
              </c:pt>
              <c:pt idx="1">
                <c:v>12499</c:v>
              </c:pt>
              <c:pt idx="2">
                <c:v>25553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F76-4657-9A96-4D20A0463F7F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46</c:v>
              </c:pt>
              <c:pt idx="1">
                <c:v>228</c:v>
              </c:pt>
              <c:pt idx="2">
                <c:v>455</c:v>
              </c:pt>
            </c:numLit>
          </c:xVal>
          <c:yVal>
            <c:numLit>
              <c:formatCode>General</c:formatCode>
              <c:ptCount val="3"/>
              <c:pt idx="0">
                <c:v>2364</c:v>
              </c:pt>
              <c:pt idx="1">
                <c:v>13686</c:v>
              </c:pt>
              <c:pt idx="2">
                <c:v>28232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3F76-4657-9A96-4D20A0463F7F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221</c:v>
              </c:pt>
              <c:pt idx="2">
                <c:v>443</c:v>
              </c:pt>
            </c:numLit>
          </c:xVal>
          <c:yVal>
            <c:numLit>
              <c:formatCode>General</c:formatCode>
              <c:ptCount val="3"/>
              <c:pt idx="0">
                <c:v>2392</c:v>
              </c:pt>
              <c:pt idx="1">
                <c:v>14166</c:v>
              </c:pt>
              <c:pt idx="2">
                <c:v>28829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F76-4657-9A96-4D20A0463F7F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44</c:v>
              </c:pt>
              <c:pt idx="1">
                <c:v>222</c:v>
              </c:pt>
              <c:pt idx="2">
                <c:v>444</c:v>
              </c:pt>
            </c:numLit>
          </c:xVal>
          <c:yVal>
            <c:numLit>
              <c:formatCode>General</c:formatCode>
              <c:ptCount val="3"/>
              <c:pt idx="0">
                <c:v>2555</c:v>
              </c:pt>
              <c:pt idx="1">
                <c:v>15146</c:v>
              </c:pt>
              <c:pt idx="2">
                <c:v>31283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3F76-4657-9A96-4D20A0463F7F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3"/>
              <c:pt idx="0">
                <c:v>47</c:v>
              </c:pt>
              <c:pt idx="1">
                <c:v>234</c:v>
              </c:pt>
              <c:pt idx="2">
                <c:v>467</c:v>
              </c:pt>
            </c:numLit>
          </c:xVal>
          <c:yVal>
            <c:numLit>
              <c:formatCode>General</c:formatCode>
              <c:ptCount val="3"/>
              <c:pt idx="0">
                <c:v>2855</c:v>
              </c:pt>
              <c:pt idx="1">
                <c:v>17281</c:v>
              </c:pt>
              <c:pt idx="2">
                <c:v>35643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3F76-4657-9A96-4D20A0463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287655</xdr:colOff>
      <xdr:row>1</xdr:row>
      <xdr:rowOff>64770</xdr:rowOff>
    </xdr:from>
    <xdr:to>
      <xdr:col>27</xdr:col>
      <xdr:colOff>430530</xdr:colOff>
      <xdr:row>22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171633</xdr:colOff>
      <xdr:row>36</xdr:row>
      <xdr:rowOff>121023</xdr:rowOff>
    </xdr:from>
    <xdr:to>
      <xdr:col>24</xdr:col>
      <xdr:colOff>403411</xdr:colOff>
      <xdr:row>51</xdr:row>
      <xdr:rowOff>129988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0"/>
  <sheetViews>
    <sheetView tabSelected="1" workbookViewId="0">
      <selection activeCell="U15" sqref="U15"/>
    </sheetView>
  </sheetViews>
  <sheetFormatPr defaultRowHeight="15" x14ac:dyDescent="0.25"/>
  <cols>
    <col min="1" max="1" width="21.28515625" customWidth="1"/>
    <col min="2" max="2" width="9.28515625" bestFit="1" customWidth="1"/>
    <col min="4" max="4" width="7" customWidth="1"/>
    <col min="5" max="5" width="8.7109375" customWidth="1"/>
    <col min="6" max="6" width="14.28515625" customWidth="1"/>
    <col min="7" max="7" width="11.140625" customWidth="1"/>
    <col min="8" max="8" width="13.42578125" customWidth="1"/>
    <col min="10" max="10" width="11.7109375" customWidth="1"/>
    <col min="11" max="12" width="14.140625" customWidth="1"/>
    <col min="15" max="15" width="11.85546875" customWidth="1"/>
    <col min="17" max="17" width="8.28515625" customWidth="1"/>
    <col min="18" max="18" width="12.140625" customWidth="1"/>
    <col min="19" max="19" width="12.42578125" customWidth="1"/>
    <col min="20" max="20" width="16.28515625" customWidth="1"/>
  </cols>
  <sheetData>
    <row r="1" spans="1:20" ht="20.25" thickBot="1" x14ac:dyDescent="0.35">
      <c r="A1" s="80" t="s">
        <v>134</v>
      </c>
      <c r="B1" s="80"/>
      <c r="C1" s="80"/>
    </row>
    <row r="2" spans="1:20" ht="15.75" thickTop="1" x14ac:dyDescent="0.25"/>
    <row r="3" spans="1:20" x14ac:dyDescent="0.25">
      <c r="A3" s="1" t="s">
        <v>0</v>
      </c>
      <c r="B3" s="1">
        <v>40</v>
      </c>
    </row>
    <row r="4" spans="1:20" x14ac:dyDescent="0.25">
      <c r="A4" s="1" t="s">
        <v>1</v>
      </c>
      <c r="B4" s="2">
        <v>4.7507676342800002E-2</v>
      </c>
      <c r="D4" s="3"/>
      <c r="E4" s="3"/>
      <c r="K4" t="s">
        <v>29</v>
      </c>
      <c r="L4" t="s">
        <v>29</v>
      </c>
    </row>
    <row r="5" spans="1:20" x14ac:dyDescent="0.25">
      <c r="A5" s="1" t="s">
        <v>2</v>
      </c>
      <c r="B5" s="2">
        <v>0.02</v>
      </c>
      <c r="E5" s="1" t="s">
        <v>21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141</v>
      </c>
      <c r="L5" s="4" t="s">
        <v>142</v>
      </c>
      <c r="M5" s="4" t="s">
        <v>11</v>
      </c>
      <c r="N5" s="4" t="s">
        <v>12</v>
      </c>
      <c r="O5" s="4" t="s">
        <v>25</v>
      </c>
      <c r="P5" s="9" t="s">
        <v>23</v>
      </c>
      <c r="Q5" s="9" t="s">
        <v>20</v>
      </c>
      <c r="R5" s="9" t="s">
        <v>24</v>
      </c>
      <c r="S5" s="9" t="s">
        <v>28</v>
      </c>
      <c r="T5" s="9" t="s">
        <v>123</v>
      </c>
    </row>
    <row r="6" spans="1:20" x14ac:dyDescent="0.25">
      <c r="A6" s="1" t="s">
        <v>3</v>
      </c>
      <c r="B6" s="1">
        <v>0.2</v>
      </c>
      <c r="D6" s="10" t="s">
        <v>15</v>
      </c>
      <c r="E6" s="4">
        <v>25</v>
      </c>
      <c r="F6" s="1">
        <v>2</v>
      </c>
      <c r="G6" s="12">
        <v>7.4999999999999997E-2</v>
      </c>
      <c r="H6" s="1">
        <v>150</v>
      </c>
      <c r="I6" s="2">
        <f>H6*G6/$B$7</f>
        <v>41.666666666666664</v>
      </c>
      <c r="J6" s="2">
        <f>I6*F6</f>
        <v>83.333333333333329</v>
      </c>
      <c r="K6" s="2">
        <f>I6*$B$7*0.02*0.81/50*1000</f>
        <v>3.6450000000000005</v>
      </c>
      <c r="L6" s="2">
        <f>I6*$B$7*0.02*0.19/50*1000</f>
        <v>0.85500000000000009</v>
      </c>
      <c r="M6" s="2">
        <f>H6-I6-K6-L6</f>
        <v>103.83333333333334</v>
      </c>
      <c r="N6" s="2">
        <f>H6*G6/$B$3/$B$4</f>
        <v>5.9200959013568903</v>
      </c>
      <c r="O6" s="2">
        <f>N6*F6</f>
        <v>11.840191802713781</v>
      </c>
      <c r="P6" s="1">
        <f>(I6*$B$7*$B$12)/E6-$B$13*I6*$B$7</f>
        <v>6.7499999999999991E-2</v>
      </c>
      <c r="Q6" s="2">
        <f>P6*$B$10/$B$11</f>
        <v>0.14471824198419325</v>
      </c>
      <c r="R6" s="2">
        <f>Q6*F6</f>
        <v>0.2894364839683865</v>
      </c>
      <c r="S6" s="2">
        <f>P6*18/14/(H6/1000)</f>
        <v>0.57857142857142851</v>
      </c>
      <c r="T6" s="1">
        <f>Q6/(H6/1000)*14*2/60</f>
        <v>0.45023453061749014</v>
      </c>
    </row>
    <row r="7" spans="1:20" x14ac:dyDescent="0.25">
      <c r="A7" s="1" t="s">
        <v>4</v>
      </c>
      <c r="B7" s="2">
        <v>0.27</v>
      </c>
      <c r="D7" s="10" t="s">
        <v>16</v>
      </c>
      <c r="E7" s="4">
        <v>10</v>
      </c>
      <c r="F7" s="1">
        <v>2</v>
      </c>
      <c r="G7" s="12">
        <v>7.4999999999999997E-2</v>
      </c>
      <c r="H7" s="1">
        <v>150</v>
      </c>
      <c r="I7" s="2">
        <f t="shared" ref="I7:I8" si="0">H7*G7/$B$7</f>
        <v>41.666666666666664</v>
      </c>
      <c r="J7" s="2">
        <f t="shared" ref="J7:J8" si="1">I7*F7</f>
        <v>83.333333333333329</v>
      </c>
      <c r="K7" s="2">
        <f t="shared" ref="K7:K8" si="2">I7*$B$7*0.02*0.81/50*1000</f>
        <v>3.6450000000000005</v>
      </c>
      <c r="L7" s="2">
        <f t="shared" ref="L7:L8" si="3">I7*$B$7*0.02*0.19/50*1000</f>
        <v>0.85500000000000009</v>
      </c>
      <c r="M7" s="2">
        <f t="shared" ref="M7:M8" si="4">H7-I7-K7-L7</f>
        <v>103.83333333333334</v>
      </c>
      <c r="N7" s="2">
        <f t="shared" ref="N7:N8" si="5">H7*G7/$B$3/$B$4</f>
        <v>5.9200959013568903</v>
      </c>
      <c r="O7" s="2">
        <f>N7*F7</f>
        <v>11.840191802713781</v>
      </c>
      <c r="P7" s="1">
        <f t="shared" ref="P7:P8" si="6">(I7*$B$7*$B$12)/E7-$B$13*I7*$B$7</f>
        <v>0.33750000000000002</v>
      </c>
      <c r="Q7" s="2">
        <f t="shared" ref="Q7:Q8" si="7">P7*$B$10/$B$11</f>
        <v>0.72359120992096637</v>
      </c>
      <c r="R7" s="2">
        <f t="shared" ref="R7:R8" si="8">Q7*F7</f>
        <v>1.4471824198419327</v>
      </c>
      <c r="S7" s="2">
        <f t="shared" ref="S7:S8" si="9">P7*18/14/(H7/1000)</f>
        <v>2.8928571428571432</v>
      </c>
      <c r="T7" s="1">
        <f t="shared" ref="T7:T8" si="10">Q7/(H7/1000)*14*2/60</f>
        <v>2.2511726530874512</v>
      </c>
    </row>
    <row r="8" spans="1:20" x14ac:dyDescent="0.25">
      <c r="A8" s="1" t="s">
        <v>5</v>
      </c>
      <c r="B8" s="1">
        <v>35</v>
      </c>
      <c r="D8" s="10" t="s">
        <v>17</v>
      </c>
      <c r="E8" s="4">
        <v>5</v>
      </c>
      <c r="F8" s="1">
        <v>2</v>
      </c>
      <c r="G8" s="12">
        <v>7.4999999999999997E-2</v>
      </c>
      <c r="H8" s="1">
        <v>150</v>
      </c>
      <c r="I8" s="2">
        <f t="shared" si="0"/>
        <v>41.666666666666664</v>
      </c>
      <c r="J8" s="2">
        <f t="shared" si="1"/>
        <v>83.333333333333329</v>
      </c>
      <c r="K8" s="2">
        <f t="shared" si="2"/>
        <v>3.6450000000000005</v>
      </c>
      <c r="L8" s="2">
        <f t="shared" si="3"/>
        <v>0.85500000000000009</v>
      </c>
      <c r="M8" s="2">
        <f t="shared" si="4"/>
        <v>103.83333333333334</v>
      </c>
      <c r="N8" s="2">
        <f t="shared" si="5"/>
        <v>5.9200959013568903</v>
      </c>
      <c r="O8" s="2">
        <f>N8*F8</f>
        <v>11.840191802713781</v>
      </c>
      <c r="P8" s="1">
        <f t="shared" si="6"/>
        <v>0.78749999999999998</v>
      </c>
      <c r="Q8" s="2">
        <f t="shared" si="7"/>
        <v>1.6883794898155882</v>
      </c>
      <c r="R8" s="2">
        <f t="shared" si="8"/>
        <v>3.3767589796311763</v>
      </c>
      <c r="S8" s="2">
        <f t="shared" si="9"/>
        <v>6.75</v>
      </c>
      <c r="T8" s="1">
        <f t="shared" si="10"/>
        <v>5.2527361905373855</v>
      </c>
    </row>
    <row r="9" spans="1:20" x14ac:dyDescent="0.25">
      <c r="A9" s="7" t="s">
        <v>18</v>
      </c>
      <c r="B9" s="8">
        <f>B12/B13</f>
        <v>40</v>
      </c>
      <c r="I9" s="4" t="s">
        <v>13</v>
      </c>
      <c r="J9" s="6">
        <f>SUM(J6:J8)</f>
        <v>250</v>
      </c>
      <c r="K9" s="13"/>
      <c r="L9" s="13"/>
      <c r="N9" s="4" t="s">
        <v>14</v>
      </c>
      <c r="O9" s="6">
        <f>SUM(O6:O8)</f>
        <v>35.52057540814134</v>
      </c>
      <c r="Q9" s="4" t="s">
        <v>14</v>
      </c>
      <c r="R9" s="6">
        <f>SUM(R6:R8)</f>
        <v>5.1133778834414958</v>
      </c>
    </row>
    <row r="10" spans="1:20" x14ac:dyDescent="0.25">
      <c r="A10" s="7" t="s">
        <v>19</v>
      </c>
      <c r="B10" s="1">
        <v>60.06</v>
      </c>
    </row>
    <row r="11" spans="1:20" x14ac:dyDescent="0.25">
      <c r="A11" s="7" t="s">
        <v>22</v>
      </c>
      <c r="B11" s="2">
        <f>2*14.0067</f>
        <v>28.013400000000001</v>
      </c>
    </row>
    <row r="12" spans="1:20" x14ac:dyDescent="0.25">
      <c r="A12" s="7" t="s">
        <v>26</v>
      </c>
      <c r="B12" s="5">
        <v>0.4</v>
      </c>
    </row>
    <row r="13" spans="1:20" x14ac:dyDescent="0.25">
      <c r="A13" s="7" t="s">
        <v>27</v>
      </c>
      <c r="B13" s="11">
        <f>1%</f>
        <v>0.01</v>
      </c>
    </row>
    <row r="16" spans="1:20" ht="20.25" thickBot="1" x14ac:dyDescent="0.35">
      <c r="A16" s="80" t="s">
        <v>133</v>
      </c>
      <c r="B16" s="80"/>
      <c r="C16" s="80"/>
    </row>
    <row r="17" spans="1:16" ht="15.75" thickTop="1" x14ac:dyDescent="0.25"/>
    <row r="18" spans="1:16" x14ac:dyDescent="0.25">
      <c r="B18" t="s">
        <v>98</v>
      </c>
      <c r="J18" t="s">
        <v>99</v>
      </c>
    </row>
    <row r="19" spans="1:16" x14ac:dyDescent="0.25">
      <c r="B19" s="4" t="s">
        <v>100</v>
      </c>
      <c r="C19" s="4" t="s">
        <v>101</v>
      </c>
      <c r="D19" s="4" t="s">
        <v>102</v>
      </c>
      <c r="E19" s="4" t="s">
        <v>103</v>
      </c>
      <c r="F19" s="4" t="s">
        <v>104</v>
      </c>
      <c r="G19" s="4" t="s">
        <v>105</v>
      </c>
      <c r="H19" s="4" t="s">
        <v>106</v>
      </c>
      <c r="J19" s="4" t="s">
        <v>100</v>
      </c>
      <c r="K19" s="4" t="s">
        <v>101</v>
      </c>
      <c r="L19" s="4" t="s">
        <v>102</v>
      </c>
      <c r="M19" s="4" t="s">
        <v>103</v>
      </c>
      <c r="N19" s="4" t="s">
        <v>104</v>
      </c>
      <c r="O19" s="4" t="s">
        <v>105</v>
      </c>
      <c r="P19" s="4" t="s">
        <v>106</v>
      </c>
    </row>
    <row r="20" spans="1:16" x14ac:dyDescent="0.25">
      <c r="B20" s="1">
        <v>26.770399999999999</v>
      </c>
      <c r="C20" s="1">
        <v>7.9070999999999998</v>
      </c>
      <c r="D20" s="1">
        <v>28.784700000000001</v>
      </c>
      <c r="E20" s="1">
        <v>27.187899999999999</v>
      </c>
      <c r="F20" s="22">
        <f>(D20-B20)/C20</f>
        <v>0.2547457348458983</v>
      </c>
      <c r="G20" s="22">
        <f>(D20-E20)/C20</f>
        <v>0.20194508732658015</v>
      </c>
      <c r="H20" s="23">
        <f>G20/F20</f>
        <v>0.79273196643995436</v>
      </c>
      <c r="J20" s="1">
        <v>29.519400000000001</v>
      </c>
      <c r="K20" s="1">
        <v>17.0686</v>
      </c>
      <c r="L20" s="1">
        <v>30.310199999999998</v>
      </c>
      <c r="M20" s="1">
        <v>29.752400000000002</v>
      </c>
      <c r="N20" s="22">
        <f>(L20-J20)/K20</f>
        <v>4.633068910162505E-2</v>
      </c>
      <c r="O20" s="22">
        <f>(L20-M20)/K20</f>
        <v>3.2679891731014654E-2</v>
      </c>
      <c r="P20" s="23">
        <f>O20/N20</f>
        <v>0.70536165907941151</v>
      </c>
    </row>
    <row r="21" spans="1:16" x14ac:dyDescent="0.25">
      <c r="B21" s="1">
        <v>25.505600000000001</v>
      </c>
      <c r="C21" s="1">
        <v>7.5125999999999999</v>
      </c>
      <c r="D21" s="1">
        <v>27.598199999999999</v>
      </c>
      <c r="E21" s="1">
        <v>26.079799999999999</v>
      </c>
      <c r="F21" s="22">
        <f t="shared" ref="F21:F22" si="11">(D21-B21)/C21</f>
        <v>0.27854537709980531</v>
      </c>
      <c r="G21" s="22">
        <f t="shared" ref="G21:G22" si="12">(D21-E21)/C21</f>
        <v>0.20211378217927212</v>
      </c>
      <c r="H21" s="23">
        <f t="shared" ref="H21:H22" si="13">G21/F21</f>
        <v>0.72560451113447466</v>
      </c>
      <c r="J21" s="1">
        <v>28.416499999999999</v>
      </c>
      <c r="K21" s="1">
        <v>23.676500000000001</v>
      </c>
      <c r="L21" s="1">
        <v>29.5152</v>
      </c>
      <c r="M21" s="1">
        <v>28.740600000000001</v>
      </c>
      <c r="N21" s="22">
        <f t="shared" ref="N21:N22" si="14">(L21-J21)/K21</f>
        <v>4.6404662851350531E-2</v>
      </c>
      <c r="O21" s="22">
        <f t="shared" ref="O21:O22" si="15">(L21-M21)/K21</f>
        <v>3.2715984203746308E-2</v>
      </c>
      <c r="P21" s="23">
        <f t="shared" ref="P21:P22" si="16">O21/N21</f>
        <v>0.70501501774824693</v>
      </c>
    </row>
    <row r="22" spans="1:16" ht="15.75" thickBot="1" x14ac:dyDescent="0.3">
      <c r="B22" s="1">
        <v>23.671600000000002</v>
      </c>
      <c r="C22" s="1">
        <v>8.0954999999999995</v>
      </c>
      <c r="D22" s="1">
        <v>25.732099999999999</v>
      </c>
      <c r="E22" s="74">
        <v>24.072800000000001</v>
      </c>
      <c r="F22" s="75">
        <f t="shared" si="11"/>
        <v>0.25452411833734762</v>
      </c>
      <c r="G22" s="75">
        <f t="shared" si="12"/>
        <v>0.20496572169723901</v>
      </c>
      <c r="H22" s="76">
        <f t="shared" si="13"/>
        <v>0.80528997816064074</v>
      </c>
      <c r="J22" s="1">
        <v>29.464400000000001</v>
      </c>
      <c r="K22" s="1">
        <v>21.118099999999998</v>
      </c>
      <c r="L22" s="1">
        <v>30.444299999999998</v>
      </c>
      <c r="M22" s="74">
        <v>29.7546</v>
      </c>
      <c r="N22" s="75">
        <f t="shared" si="14"/>
        <v>4.6400954631335069E-2</v>
      </c>
      <c r="O22" s="75">
        <f t="shared" si="15"/>
        <v>3.2659188089837553E-2</v>
      </c>
      <c r="P22" s="76">
        <f t="shared" si="16"/>
        <v>0.70384733136034339</v>
      </c>
    </row>
    <row r="23" spans="1:16" ht="15.75" thickBot="1" x14ac:dyDescent="0.3">
      <c r="E23" s="77" t="s">
        <v>44</v>
      </c>
      <c r="F23" s="78">
        <f>AVERAGE(F20:F22)</f>
        <v>0.26260507676101708</v>
      </c>
      <c r="G23" s="78">
        <f t="shared" ref="G23:H23" si="17">AVERAGE(G20:G22)</f>
        <v>0.2030081970676971</v>
      </c>
      <c r="H23" s="79">
        <f t="shared" si="17"/>
        <v>0.77454215191168985</v>
      </c>
      <c r="M23" s="77" t="s">
        <v>44</v>
      </c>
      <c r="N23" s="78">
        <f>AVERAGE(N20:N22)</f>
        <v>4.6378768861436881E-2</v>
      </c>
      <c r="O23" s="78">
        <f t="shared" ref="O23:P23" si="18">AVERAGE(O20:O22)</f>
        <v>3.2685021341532838E-2</v>
      </c>
      <c r="P23" s="79">
        <f t="shared" si="18"/>
        <v>0.70474133606266731</v>
      </c>
    </row>
    <row r="24" spans="1:16" x14ac:dyDescent="0.25">
      <c r="F24" s="24"/>
      <c r="G24" s="24"/>
      <c r="H24" s="24"/>
      <c r="N24" s="24"/>
      <c r="O24" s="24"/>
      <c r="P24" s="24"/>
    </row>
    <row r="25" spans="1:16" ht="15.75" thickBot="1" x14ac:dyDescent="0.3">
      <c r="F25" t="s">
        <v>107</v>
      </c>
      <c r="G25" t="s">
        <v>107</v>
      </c>
    </row>
    <row r="26" spans="1:16" x14ac:dyDescent="0.25">
      <c r="A26" s="34" t="s">
        <v>138</v>
      </c>
      <c r="B26" s="35" t="s">
        <v>85</v>
      </c>
      <c r="C26" s="35" t="s">
        <v>108</v>
      </c>
      <c r="D26" s="35" t="s">
        <v>109</v>
      </c>
      <c r="E26" s="35" t="s">
        <v>99</v>
      </c>
      <c r="F26" s="35" t="s">
        <v>139</v>
      </c>
      <c r="G26" s="35" t="s">
        <v>140</v>
      </c>
      <c r="H26" s="35" t="s">
        <v>110</v>
      </c>
      <c r="I26" s="35" t="s">
        <v>111</v>
      </c>
      <c r="J26" s="36" t="s">
        <v>112</v>
      </c>
    </row>
    <row r="27" spans="1:16" x14ac:dyDescent="0.25">
      <c r="A27" s="73" t="s">
        <v>15</v>
      </c>
      <c r="B27" s="29" t="s">
        <v>30</v>
      </c>
      <c r="C27" s="29">
        <v>41.7</v>
      </c>
      <c r="D27" s="29">
        <v>103.86</v>
      </c>
      <c r="E27" s="29">
        <v>5.92</v>
      </c>
      <c r="F27" s="29">
        <v>3.64</v>
      </c>
      <c r="G27" s="29">
        <v>0.85</v>
      </c>
      <c r="H27" s="29">
        <v>0.14299999999999999</v>
      </c>
      <c r="I27" s="29">
        <f>C27*$G$23+E27*$O$23+H27+F27*50/1000*0.41+G27*50/1000*0.14</f>
        <v>8.8825071440648458</v>
      </c>
      <c r="J27" s="49">
        <f>I27/(SUM(C27:H27))</f>
        <v>5.6897933830397519E-2</v>
      </c>
    </row>
    <row r="28" spans="1:16" x14ac:dyDescent="0.25">
      <c r="A28" s="73" t="s">
        <v>15</v>
      </c>
      <c r="B28" s="29" t="s">
        <v>31</v>
      </c>
      <c r="C28" s="29">
        <v>41.7</v>
      </c>
      <c r="D28" s="29">
        <v>103.9</v>
      </c>
      <c r="E28" s="29">
        <v>5.95</v>
      </c>
      <c r="F28" s="29">
        <v>3.66</v>
      </c>
      <c r="G28" s="29">
        <v>0.85</v>
      </c>
      <c r="H28" s="29">
        <v>0.14399999999999999</v>
      </c>
      <c r="I28" s="29">
        <f t="shared" ref="I28:I40" si="19">C28*$G$23+E28*$O$23+H28+F28*50/1000*0.41+G28*50/1000*0.14</f>
        <v>8.8848976947050904</v>
      </c>
      <c r="J28" s="49">
        <f t="shared" ref="J28:J40" si="20">I28/(SUM(C28:H28))</f>
        <v>5.6880090744827853E-2</v>
      </c>
    </row>
    <row r="29" spans="1:16" x14ac:dyDescent="0.25">
      <c r="A29" s="73" t="s">
        <v>120</v>
      </c>
      <c r="B29" s="29" t="s">
        <v>32</v>
      </c>
      <c r="C29" s="29">
        <v>41.71</v>
      </c>
      <c r="D29" s="29">
        <v>103.97</v>
      </c>
      <c r="E29" s="29">
        <v>5.95</v>
      </c>
      <c r="F29" s="29">
        <v>3.66</v>
      </c>
      <c r="G29" s="29">
        <v>0.86</v>
      </c>
      <c r="H29" s="29"/>
      <c r="I29" s="29">
        <f t="shared" si="19"/>
        <v>8.7429977766757645</v>
      </c>
      <c r="J29" s="49">
        <f t="shared" si="20"/>
        <v>5.5991020023539957E-2</v>
      </c>
    </row>
    <row r="30" spans="1:16" x14ac:dyDescent="0.25">
      <c r="A30" s="73" t="s">
        <v>120</v>
      </c>
      <c r="B30" s="29" t="s">
        <v>33</v>
      </c>
      <c r="C30" s="29">
        <v>41.64</v>
      </c>
      <c r="D30" s="29">
        <v>103.82</v>
      </c>
      <c r="E30" s="29">
        <v>6.01</v>
      </c>
      <c r="F30" s="29">
        <v>3.64</v>
      </c>
      <c r="G30" s="29">
        <v>0.86</v>
      </c>
      <c r="H30" s="29"/>
      <c r="I30" s="29">
        <f t="shared" si="19"/>
        <v>8.7303383041615188</v>
      </c>
      <c r="J30" s="49">
        <f>I30/(SUM(C30:H30))</f>
        <v>5.5974471399381422E-2</v>
      </c>
    </row>
    <row r="31" spans="1:16" x14ac:dyDescent="0.25">
      <c r="A31" s="73" t="s">
        <v>16</v>
      </c>
      <c r="B31" s="29" t="s">
        <v>34</v>
      </c>
      <c r="C31" s="29">
        <v>41.69</v>
      </c>
      <c r="D31" s="29">
        <v>103.83</v>
      </c>
      <c r="E31" s="29">
        <v>5.94</v>
      </c>
      <c r="F31" s="29">
        <v>3.64</v>
      </c>
      <c r="G31" s="29">
        <v>0.87</v>
      </c>
      <c r="H31" s="29">
        <v>0.72199999999999998</v>
      </c>
      <c r="I31" s="29">
        <f t="shared" si="19"/>
        <v>9.460270762520997</v>
      </c>
      <c r="J31" s="49">
        <f>I31/(SUM(C31:H31))</f>
        <v>6.037494423787429E-2</v>
      </c>
    </row>
    <row r="32" spans="1:16" x14ac:dyDescent="0.25">
      <c r="A32" s="73" t="s">
        <v>16</v>
      </c>
      <c r="B32" s="29" t="s">
        <v>35</v>
      </c>
      <c r="C32" s="29">
        <v>41.68</v>
      </c>
      <c r="D32" s="29">
        <v>103.83</v>
      </c>
      <c r="E32" s="29">
        <v>5.94</v>
      </c>
      <c r="F32" s="29">
        <v>3.65</v>
      </c>
      <c r="G32" s="29">
        <v>0.87</v>
      </c>
      <c r="H32" s="29">
        <v>0.72199999999999998</v>
      </c>
      <c r="I32" s="29">
        <f t="shared" si="19"/>
        <v>9.4584456805503212</v>
      </c>
      <c r="J32" s="49">
        <f t="shared" si="20"/>
        <v>6.0363296661924797E-2</v>
      </c>
    </row>
    <row r="33" spans="1:10" x14ac:dyDescent="0.25">
      <c r="A33" s="73" t="s">
        <v>121</v>
      </c>
      <c r="B33" s="29" t="s">
        <v>36</v>
      </c>
      <c r="C33" s="29">
        <v>41.66</v>
      </c>
      <c r="D33" s="29">
        <v>103.84</v>
      </c>
      <c r="E33" s="29">
        <v>5.96</v>
      </c>
      <c r="F33" s="29">
        <v>3.66</v>
      </c>
      <c r="G33" s="29">
        <v>0.85</v>
      </c>
      <c r="H33" s="29"/>
      <c r="I33" s="29">
        <f t="shared" si="19"/>
        <v>8.7331042170357964</v>
      </c>
      <c r="J33" s="49">
        <f t="shared" si="20"/>
        <v>5.5992205020425699E-2</v>
      </c>
    </row>
    <row r="34" spans="1:10" x14ac:dyDescent="0.25">
      <c r="A34" s="73" t="s">
        <v>121</v>
      </c>
      <c r="B34" s="29" t="s">
        <v>37</v>
      </c>
      <c r="C34" s="29">
        <v>41.7</v>
      </c>
      <c r="D34" s="29">
        <v>103.82</v>
      </c>
      <c r="E34" s="29">
        <v>5.96</v>
      </c>
      <c r="F34" s="29">
        <v>3.68</v>
      </c>
      <c r="G34" s="29">
        <v>0.85</v>
      </c>
      <c r="H34" s="29"/>
      <c r="I34" s="29">
        <f t="shared" si="19"/>
        <v>8.7416345449185062</v>
      </c>
      <c r="J34" s="49">
        <f t="shared" si="20"/>
        <v>5.6032527049025747E-2</v>
      </c>
    </row>
    <row r="35" spans="1:10" x14ac:dyDescent="0.25">
      <c r="A35" s="73" t="s">
        <v>17</v>
      </c>
      <c r="B35" s="29" t="s">
        <v>38</v>
      </c>
      <c r="C35" s="29">
        <v>41.64</v>
      </c>
      <c r="D35" s="29">
        <v>103.83</v>
      </c>
      <c r="E35" s="29">
        <v>5.92</v>
      </c>
      <c r="F35" s="29">
        <v>3.67</v>
      </c>
      <c r="G35" s="29">
        <v>0.87</v>
      </c>
      <c r="H35" s="29">
        <v>1.69</v>
      </c>
      <c r="I35" s="29">
        <f t="shared" si="19"/>
        <v>10.418081652240781</v>
      </c>
      <c r="J35" s="49">
        <f t="shared" si="20"/>
        <v>6.6096191170161037E-2</v>
      </c>
    </row>
    <row r="36" spans="1:10" x14ac:dyDescent="0.25">
      <c r="A36" s="73" t="s">
        <v>17</v>
      </c>
      <c r="B36" s="29" t="s">
        <v>39</v>
      </c>
      <c r="C36" s="29">
        <v>41.67</v>
      </c>
      <c r="D36" s="29">
        <v>103.87</v>
      </c>
      <c r="E36" s="29">
        <v>5.92</v>
      </c>
      <c r="F36" s="29">
        <v>3.64</v>
      </c>
      <c r="G36" s="29">
        <v>0.87</v>
      </c>
      <c r="H36" s="29">
        <v>1.69</v>
      </c>
      <c r="I36" s="29">
        <f t="shared" si="19"/>
        <v>10.423556898152812</v>
      </c>
      <c r="J36" s="49">
        <f t="shared" si="20"/>
        <v>6.6114150058054114E-2</v>
      </c>
    </row>
    <row r="37" spans="1:10" x14ac:dyDescent="0.25">
      <c r="A37" s="73" t="s">
        <v>122</v>
      </c>
      <c r="B37" s="29" t="s">
        <v>40</v>
      </c>
      <c r="C37" s="29">
        <v>41.64</v>
      </c>
      <c r="D37" s="29">
        <v>103.92</v>
      </c>
      <c r="E37" s="29">
        <v>5.94</v>
      </c>
      <c r="F37" s="29">
        <v>3.67</v>
      </c>
      <c r="G37" s="29">
        <v>0.85</v>
      </c>
      <c r="H37" s="29"/>
      <c r="I37" s="29">
        <f t="shared" si="19"/>
        <v>8.7285953526676128</v>
      </c>
      <c r="J37" s="49">
        <f t="shared" si="20"/>
        <v>5.5945361829686027E-2</v>
      </c>
    </row>
    <row r="38" spans="1:10" x14ac:dyDescent="0.25">
      <c r="A38" s="73" t="s">
        <v>122</v>
      </c>
      <c r="B38" s="29" t="s">
        <v>41</v>
      </c>
      <c r="C38" s="29">
        <v>41.67</v>
      </c>
      <c r="D38" s="29">
        <v>103.85</v>
      </c>
      <c r="E38" s="29">
        <v>5.93</v>
      </c>
      <c r="F38" s="29">
        <v>3.66</v>
      </c>
      <c r="G38" s="29">
        <v>0.85</v>
      </c>
      <c r="H38" s="29"/>
      <c r="I38" s="29">
        <f t="shared" si="19"/>
        <v>8.7341537483662286</v>
      </c>
      <c r="J38" s="49">
        <f t="shared" si="20"/>
        <v>5.6002524675341302E-2</v>
      </c>
    </row>
    <row r="39" spans="1:10" x14ac:dyDescent="0.25">
      <c r="A39" s="73" t="s">
        <v>45</v>
      </c>
      <c r="B39" s="29" t="s">
        <v>42</v>
      </c>
      <c r="C39" s="29">
        <v>41.64</v>
      </c>
      <c r="D39" s="29">
        <v>103.83</v>
      </c>
      <c r="E39" s="29">
        <v>5.91</v>
      </c>
      <c r="F39" s="29">
        <v>3.67</v>
      </c>
      <c r="G39" s="29">
        <v>0.85</v>
      </c>
      <c r="H39" s="29"/>
      <c r="I39" s="29">
        <f t="shared" si="19"/>
        <v>8.7276148020273663</v>
      </c>
      <c r="J39" s="49">
        <f t="shared" si="20"/>
        <v>5.5982134714736162E-2</v>
      </c>
    </row>
    <row r="40" spans="1:10" ht="15.75" thickBot="1" x14ac:dyDescent="0.3">
      <c r="A40" s="70" t="s">
        <v>45</v>
      </c>
      <c r="B40" s="40" t="s">
        <v>43</v>
      </c>
      <c r="C40" s="40">
        <v>41.67</v>
      </c>
      <c r="D40" s="40">
        <v>103.85</v>
      </c>
      <c r="E40" s="40">
        <v>5.92</v>
      </c>
      <c r="F40" s="40">
        <v>3.66</v>
      </c>
      <c r="G40" s="40">
        <v>0.86</v>
      </c>
      <c r="H40" s="40"/>
      <c r="I40" s="40">
        <f t="shared" si="19"/>
        <v>8.7338968981528122</v>
      </c>
      <c r="J40" s="51">
        <f t="shared" si="20"/>
        <v>5.6000877777332737E-2</v>
      </c>
    </row>
  </sheetData>
  <mergeCells count="2">
    <mergeCell ref="A16:C16"/>
    <mergeCell ref="A1:C1"/>
  </mergeCells>
  <pageMargins left="0.7" right="0.7" top="0.75" bottom="0.75" header="0.3" footer="0.3"/>
  <pageSetup paperSize="9" scale="66" orientation="landscape" r:id="rId1"/>
  <headerFooter>
    <oddHeader>&amp;R&amp;"Calibri"&amp;10&amp;K000000 PUBLIC / CYHOEDDUS&amp;1#_x000D_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T60"/>
  <sheetViews>
    <sheetView workbookViewId="0">
      <selection activeCell="A28" sqref="A28:A35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6.1669999999999998</v>
      </c>
      <c r="C5" s="15">
        <v>1151</v>
      </c>
      <c r="D5" s="15">
        <v>6492</v>
      </c>
      <c r="E5" s="15">
        <v>13514</v>
      </c>
      <c r="F5" s="16">
        <v>53</v>
      </c>
      <c r="G5" s="16">
        <v>263</v>
      </c>
      <c r="H5" s="16">
        <v>525</v>
      </c>
      <c r="I5">
        <f>LINEST(C5:E5, F5:H5)</f>
        <v>26.217513888557733</v>
      </c>
      <c r="J5">
        <f>INTERCEPT(C5:E5, F5:H5)</f>
        <v>-297.3097267590183</v>
      </c>
      <c r="K5">
        <f>RSQ(C5:E5,F5:H5)</f>
        <v>0.99978035493590733</v>
      </c>
    </row>
    <row r="6" spans="1:20" ht="15.75" x14ac:dyDescent="0.25">
      <c r="A6" s="3" t="s">
        <v>57</v>
      </c>
      <c r="B6" s="15">
        <v>7.1529999999999996</v>
      </c>
      <c r="C6" s="15">
        <v>1802</v>
      </c>
      <c r="D6" s="15">
        <v>10300</v>
      </c>
      <c r="E6" s="15">
        <v>20810</v>
      </c>
      <c r="F6" s="16">
        <v>49</v>
      </c>
      <c r="G6" s="16">
        <v>247</v>
      </c>
      <c r="H6" s="16">
        <v>495</v>
      </c>
      <c r="I6">
        <f t="shared" ref="I6:I12" si="0">LINEST(C6:E6, F6:H6)</f>
        <v>42.608909833658203</v>
      </c>
      <c r="J6">
        <f>INTERCEPT(C6:E6, F6:H6)</f>
        <v>-263.88255947453945</v>
      </c>
      <c r="K6">
        <f t="shared" ref="K6:K12" si="1">RSQ(C6:E6,F6:H6)</f>
        <v>0.99998705089868589</v>
      </c>
    </row>
    <row r="7" spans="1:20" ht="15.75" x14ac:dyDescent="0.25">
      <c r="A7" s="3" t="s">
        <v>58</v>
      </c>
      <c r="B7" s="15">
        <v>7.4989999999999997</v>
      </c>
      <c r="C7" s="15">
        <v>2050</v>
      </c>
      <c r="D7" s="15">
        <v>11888</v>
      </c>
      <c r="E7" s="15">
        <v>24571</v>
      </c>
      <c r="F7" s="16">
        <v>47</v>
      </c>
      <c r="G7" s="16">
        <v>235</v>
      </c>
      <c r="H7" s="16">
        <v>469</v>
      </c>
      <c r="I7">
        <f t="shared" si="0"/>
        <v>53.400754705724431</v>
      </c>
      <c r="J7">
        <f t="shared" ref="J7:J12" si="2">INTERCEPT(C7:E7, F7:H7)</f>
        <v>-531.65559466634659</v>
      </c>
      <c r="K7">
        <f t="shared" si="1"/>
        <v>0.9999009067648067</v>
      </c>
    </row>
    <row r="8" spans="1:20" ht="15.75" x14ac:dyDescent="0.25">
      <c r="A8" s="3" t="s">
        <v>59</v>
      </c>
      <c r="B8" s="15">
        <v>8.2230000000000008</v>
      </c>
      <c r="C8" s="15">
        <v>2113</v>
      </c>
      <c r="D8" s="15">
        <v>12499</v>
      </c>
      <c r="E8" s="15">
        <v>25553</v>
      </c>
      <c r="F8" s="16">
        <v>45</v>
      </c>
      <c r="G8" s="16">
        <v>227</v>
      </c>
      <c r="H8" s="16">
        <v>453</v>
      </c>
      <c r="I8">
        <f t="shared" si="0"/>
        <v>57.463281524271558</v>
      </c>
      <c r="J8">
        <f t="shared" si="2"/>
        <v>-498.62636836561978</v>
      </c>
      <c r="K8">
        <f>RSQ(C8:E8,F8:H8)</f>
        <v>0.99998817937572559</v>
      </c>
    </row>
    <row r="9" spans="1:20" ht="15.75" x14ac:dyDescent="0.25">
      <c r="A9" s="3" t="s">
        <v>60</v>
      </c>
      <c r="B9" s="15">
        <v>8.6940000000000008</v>
      </c>
      <c r="C9" s="15">
        <v>2364</v>
      </c>
      <c r="D9" s="15">
        <v>13686</v>
      </c>
      <c r="E9" s="15">
        <v>28232</v>
      </c>
      <c r="F9" s="16">
        <v>46</v>
      </c>
      <c r="G9" s="16">
        <v>228</v>
      </c>
      <c r="H9" s="16">
        <v>455</v>
      </c>
      <c r="I9">
        <f t="shared" si="0"/>
        <v>63.280692562337755</v>
      </c>
      <c r="J9">
        <f t="shared" si="2"/>
        <v>-616.54162598140829</v>
      </c>
      <c r="K9">
        <f t="shared" si="1"/>
        <v>0.99992951667566343</v>
      </c>
    </row>
    <row r="10" spans="1:20" ht="15.75" x14ac:dyDescent="0.25">
      <c r="A10" s="3" t="s">
        <v>61</v>
      </c>
      <c r="B10" s="15">
        <v>9.4740000000000002</v>
      </c>
      <c r="C10" s="15">
        <v>2392</v>
      </c>
      <c r="D10" s="15">
        <v>14166</v>
      </c>
      <c r="E10" s="15">
        <v>28829</v>
      </c>
      <c r="F10" s="16">
        <v>44</v>
      </c>
      <c r="G10" s="16">
        <v>221</v>
      </c>
      <c r="H10" s="16">
        <v>443</v>
      </c>
      <c r="I10">
        <f t="shared" si="0"/>
        <v>66.249455828266889</v>
      </c>
      <c r="J10">
        <f t="shared" si="2"/>
        <v>-505.87157547098832</v>
      </c>
      <c r="K10">
        <f t="shared" si="1"/>
        <v>0.99999594240484324</v>
      </c>
    </row>
    <row r="11" spans="1:20" ht="15.75" x14ac:dyDescent="0.25">
      <c r="A11" s="3" t="s">
        <v>62</v>
      </c>
      <c r="B11" s="15">
        <v>10.653</v>
      </c>
      <c r="C11" s="15">
        <v>2555</v>
      </c>
      <c r="D11" s="15">
        <v>15146</v>
      </c>
      <c r="E11" s="15">
        <v>31283</v>
      </c>
      <c r="F11" s="16">
        <v>44</v>
      </c>
      <c r="G11" s="16">
        <v>222</v>
      </c>
      <c r="H11" s="16">
        <v>444</v>
      </c>
      <c r="I11">
        <f t="shared" si="0"/>
        <v>71.8552338899771</v>
      </c>
      <c r="J11">
        <f t="shared" si="2"/>
        <v>-677.73868729457899</v>
      </c>
      <c r="K11">
        <f t="shared" si="1"/>
        <v>0.99994039065240858</v>
      </c>
    </row>
    <row r="12" spans="1:20" ht="15.75" x14ac:dyDescent="0.25">
      <c r="A12" s="3" t="s">
        <v>63</v>
      </c>
      <c r="B12" s="15">
        <v>11.776999999999999</v>
      </c>
      <c r="C12" s="15">
        <v>2855</v>
      </c>
      <c r="D12" s="15">
        <v>17281</v>
      </c>
      <c r="E12" s="15">
        <v>35643</v>
      </c>
      <c r="F12" s="16">
        <v>47</v>
      </c>
      <c r="G12" s="16">
        <v>234</v>
      </c>
      <c r="H12" s="16">
        <v>467</v>
      </c>
      <c r="I12">
        <f t="shared" si="0"/>
        <v>78.096530125198569</v>
      </c>
      <c r="J12">
        <f t="shared" si="2"/>
        <v>-879.06817788284388</v>
      </c>
      <c r="K12">
        <f t="shared" si="1"/>
        <v>0.99996343167913782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5892</v>
      </c>
      <c r="C16">
        <v>10</v>
      </c>
      <c r="D16">
        <f>IF(B16=0,0,(B16-$J$5)/$I$5)*C16</f>
        <v>2360.7538659339689</v>
      </c>
      <c r="E16">
        <f>1.07*D16/1000</f>
        <v>2.5260066365493468</v>
      </c>
      <c r="F16" s="3" t="s">
        <v>56</v>
      </c>
      <c r="G16">
        <v>5767</v>
      </c>
      <c r="H16">
        <v>10</v>
      </c>
      <c r="I16">
        <f>IF(G16=0,0,(G16-$J$5)/$I$5)*H16</f>
        <v>2313.0758135712103</v>
      </c>
      <c r="J16">
        <f>1.07*I16/1000</f>
        <v>2.474991120521195</v>
      </c>
      <c r="K16" s="3" t="s">
        <v>56</v>
      </c>
      <c r="L16">
        <v>6923</v>
      </c>
      <c r="M16">
        <v>10</v>
      </c>
      <c r="N16">
        <f>IF(L16=0,0,(L16-$J$5)/$I$5)*M16</f>
        <v>2754.0024418219996</v>
      </c>
      <c r="O16">
        <f>1.07*N16/1000</f>
        <v>2.9467826127495398</v>
      </c>
      <c r="P16" s="3" t="s">
        <v>56</v>
      </c>
      <c r="Q16">
        <v>6136</v>
      </c>
      <c r="R16">
        <v>10</v>
      </c>
      <c r="S16">
        <f>IF(Q16=0,0,(Q16-$J$5)/$I$5)*R16</f>
        <v>2453.8214241460728</v>
      </c>
      <c r="T16">
        <f>1.07*S16/1000</f>
        <v>2.6255889238362977</v>
      </c>
    </row>
    <row r="17" spans="1:20" x14ac:dyDescent="0.25">
      <c r="A17" s="3" t="s">
        <v>57</v>
      </c>
      <c r="B17">
        <v>374</v>
      </c>
      <c r="C17">
        <v>10</v>
      </c>
      <c r="D17">
        <f>IF(B17=0,0,(B17-$J$6)/$I$6)*C17</f>
        <v>149.70637877495159</v>
      </c>
      <c r="E17">
        <f>1.51*D17/1000</f>
        <v>0.22605663195017689</v>
      </c>
      <c r="F17" s="3" t="s">
        <v>57</v>
      </c>
      <c r="G17">
        <v>310</v>
      </c>
      <c r="H17">
        <v>10</v>
      </c>
      <c r="I17">
        <f>IF(G17=0,0,(G17-$J$6)/$I$6)*H17</f>
        <v>134.68604611451721</v>
      </c>
      <c r="J17">
        <f>1.51*I17/1000</f>
        <v>0.20337592963292098</v>
      </c>
      <c r="K17" s="3" t="s">
        <v>57</v>
      </c>
      <c r="L17">
        <v>307</v>
      </c>
      <c r="M17">
        <v>10</v>
      </c>
      <c r="N17">
        <f>IF(L17=0,0,(L17-$J$6)/$I$6)*M17</f>
        <v>133.98196802105934</v>
      </c>
      <c r="O17">
        <f>1.51*N17/1000</f>
        <v>0.20231277171179959</v>
      </c>
      <c r="P17" s="3" t="s">
        <v>57</v>
      </c>
      <c r="Q17">
        <v>237</v>
      </c>
      <c r="R17">
        <v>10</v>
      </c>
      <c r="S17">
        <f>IF(Q17=0,0,(Q17-$J$6)/$I$6)*R17</f>
        <v>117.55347917370925</v>
      </c>
      <c r="T17">
        <f>1.51*S17/1000</f>
        <v>0.17750575355230097</v>
      </c>
    </row>
    <row r="18" spans="1:20" x14ac:dyDescent="0.25">
      <c r="A18" s="3" t="s">
        <v>58</v>
      </c>
      <c r="B18">
        <v>0</v>
      </c>
      <c r="C18">
        <v>10</v>
      </c>
      <c r="D18">
        <f>IF(B18=0,0,(B18-$J$7)/$I$7)*C18</f>
        <v>0</v>
      </c>
      <c r="E18">
        <f>1.82*D18/1000</f>
        <v>0</v>
      </c>
      <c r="F18" s="3" t="s">
        <v>58</v>
      </c>
      <c r="G18">
        <v>0</v>
      </c>
      <c r="H18">
        <v>10</v>
      </c>
      <c r="I18">
        <f>IF(G18=0,0,(G18-$J$7)/$I$7)*H18</f>
        <v>0</v>
      </c>
      <c r="J18">
        <f>1.82*I18/1000</f>
        <v>0</v>
      </c>
      <c r="K18" s="3" t="s">
        <v>58</v>
      </c>
      <c r="L18">
        <v>0</v>
      </c>
      <c r="M18">
        <v>10</v>
      </c>
      <c r="N18">
        <f>IF(L18=0,0,(L18-$J$7)/$I$7)*M18</f>
        <v>0</v>
      </c>
      <c r="O18">
        <f>1.82*N18/1000</f>
        <v>0</v>
      </c>
      <c r="P18" s="3" t="s">
        <v>58</v>
      </c>
      <c r="Q18">
        <v>0</v>
      </c>
      <c r="R18">
        <v>10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59</v>
      </c>
      <c r="B19">
        <v>1177</v>
      </c>
      <c r="C19">
        <v>10</v>
      </c>
      <c r="D19">
        <f>IF(B19=0,0,(B19-$J$8)/$I$8)*C19</f>
        <v>291.59949169590368</v>
      </c>
      <c r="E19">
        <f>1.82*D19/1000</f>
        <v>0.53071107488654468</v>
      </c>
      <c r="F19" s="3" t="s">
        <v>59</v>
      </c>
      <c r="G19">
        <v>2180</v>
      </c>
      <c r="H19">
        <v>10</v>
      </c>
      <c r="I19">
        <f>IF(G19=0,0,(G19-$J$8)/$I$8)*H19</f>
        <v>466.14573642721945</v>
      </c>
      <c r="J19">
        <f>1.82*I19/1000</f>
        <v>0.84838524029753948</v>
      </c>
      <c r="K19" s="3" t="s">
        <v>59</v>
      </c>
      <c r="L19">
        <v>384</v>
      </c>
      <c r="M19">
        <v>10</v>
      </c>
      <c r="N19">
        <f>IF(L19=0,0,(L19-$J$8)/$I$8)*M19</f>
        <v>153.59832312966893</v>
      </c>
      <c r="O19">
        <f>1.82*N19/1000</f>
        <v>0.27954894809599745</v>
      </c>
      <c r="P19" s="3" t="s">
        <v>59</v>
      </c>
      <c r="Q19">
        <v>123</v>
      </c>
      <c r="R19">
        <v>10</v>
      </c>
      <c r="S19">
        <f>IF(Q19=0,0,(Q19-$J$8)/$I$8)*R19</f>
        <v>108.17801418163961</v>
      </c>
      <c r="T19">
        <f>1.82*S19/1000</f>
        <v>0.19688398581058411</v>
      </c>
    </row>
    <row r="20" spans="1:20" x14ac:dyDescent="0.25">
      <c r="A20" s="3" t="s">
        <v>60</v>
      </c>
      <c r="B20">
        <v>0</v>
      </c>
      <c r="C20">
        <v>10</v>
      </c>
      <c r="D20">
        <f>IF(B20=0,0,(B20-$J$9)/$I$9)*C20</f>
        <v>0</v>
      </c>
      <c r="E20">
        <f>2.04*D20/1000</f>
        <v>0</v>
      </c>
      <c r="F20" s="3" t="s">
        <v>60</v>
      </c>
      <c r="G20">
        <v>0</v>
      </c>
      <c r="H20">
        <v>10</v>
      </c>
      <c r="I20">
        <f>IF(G20=0,0,(G20-$J$9)/$I$9)*H20</f>
        <v>0</v>
      </c>
      <c r="J20">
        <f>2.04*I20/1000</f>
        <v>0</v>
      </c>
      <c r="K20" s="3" t="s">
        <v>60</v>
      </c>
      <c r="L20">
        <v>0</v>
      </c>
      <c r="M20">
        <v>10</v>
      </c>
      <c r="N20">
        <f>IF(L20=0,0,(L20-$J$9)/$I$9)*M20</f>
        <v>0</v>
      </c>
      <c r="O20">
        <f>2.04*N20/1000</f>
        <v>0</v>
      </c>
      <c r="P20" s="3" t="s">
        <v>60</v>
      </c>
      <c r="Q20">
        <v>0</v>
      </c>
      <c r="R20">
        <v>10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61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 s="3" t="s">
        <v>61</v>
      </c>
      <c r="G21">
        <v>0</v>
      </c>
      <c r="H21">
        <v>10</v>
      </c>
      <c r="I21">
        <f>IF(G21=0,0,(G21-$J$10)/$I$10)*H21</f>
        <v>0</v>
      </c>
      <c r="J21">
        <f>2.04*I21/1000</f>
        <v>0</v>
      </c>
      <c r="K21" s="3" t="s">
        <v>61</v>
      </c>
      <c r="L21">
        <v>0</v>
      </c>
      <c r="M21">
        <v>10</v>
      </c>
      <c r="N21">
        <f>IF(L21=0,0,(L21-$J$10)/$I$10)*M21</f>
        <v>0</v>
      </c>
      <c r="O21">
        <f>2.04*N21/1000</f>
        <v>0</v>
      </c>
      <c r="P21" s="3" t="s">
        <v>61</v>
      </c>
      <c r="Q21">
        <v>109</v>
      </c>
      <c r="R21">
        <v>10</v>
      </c>
      <c r="S21">
        <f>IF(Q21=0,0,(Q21-$J$10)/$I$10)*R21</f>
        <v>92.811566190803177</v>
      </c>
      <c r="T21">
        <f>2.04*S21/1000</f>
        <v>0.18933559502923847</v>
      </c>
    </row>
    <row r="22" spans="1:20" x14ac:dyDescent="0.25">
      <c r="A22" s="3" t="s">
        <v>62</v>
      </c>
      <c r="B22">
        <v>0</v>
      </c>
      <c r="C22">
        <v>10</v>
      </c>
      <c r="D22">
        <f>IF(B22=0,0,(B22-$J$11)/$I$11)*1</f>
        <v>0</v>
      </c>
      <c r="E22">
        <f>2.21*D22/1000</f>
        <v>0</v>
      </c>
      <c r="F22" s="3" t="s">
        <v>62</v>
      </c>
      <c r="G22">
        <v>0</v>
      </c>
      <c r="H22">
        <v>10</v>
      </c>
      <c r="I22">
        <f>IF(G22=0,0,(G22-$J$11)/$I$11)*1</f>
        <v>0</v>
      </c>
      <c r="J22">
        <f>2.21*I22/1000</f>
        <v>0</v>
      </c>
      <c r="K22" s="3" t="s">
        <v>62</v>
      </c>
      <c r="L22">
        <v>0</v>
      </c>
      <c r="M22">
        <v>10</v>
      </c>
      <c r="N22">
        <f>IF(L22=0,0,(L22-$J$11)/$I$11)*1</f>
        <v>0</v>
      </c>
      <c r="O22">
        <f>2.21*N22/1000</f>
        <v>0</v>
      </c>
      <c r="P22" s="3" t="s">
        <v>62</v>
      </c>
      <c r="Q22">
        <v>0</v>
      </c>
      <c r="R22">
        <v>10</v>
      </c>
      <c r="S22">
        <f>IF(Q22=0,0,(Q22-$J$11)/$I$11)*1</f>
        <v>0</v>
      </c>
      <c r="T22">
        <f>2.21*S22/1000</f>
        <v>0</v>
      </c>
    </row>
    <row r="23" spans="1:20" x14ac:dyDescent="0.25">
      <c r="A23" s="3" t="s">
        <v>63</v>
      </c>
      <c r="B23">
        <v>0</v>
      </c>
      <c r="C23">
        <v>10</v>
      </c>
      <c r="D23">
        <f>IF(B23=0,0,(B23-$J$12)/$I$12)*1</f>
        <v>0</v>
      </c>
      <c r="E23">
        <f>2.34*D23/1000</f>
        <v>0</v>
      </c>
      <c r="F23" s="3" t="s">
        <v>63</v>
      </c>
      <c r="G23">
        <v>0</v>
      </c>
      <c r="H23">
        <v>10</v>
      </c>
      <c r="I23">
        <f>IF(G23=0,0,(G23-$J$12)/$I$12)*1</f>
        <v>0</v>
      </c>
      <c r="J23">
        <f>2.34*I23/1000</f>
        <v>0</v>
      </c>
      <c r="K23" s="3" t="s">
        <v>63</v>
      </c>
      <c r="L23">
        <v>0</v>
      </c>
      <c r="M23">
        <v>10</v>
      </c>
      <c r="N23">
        <f>IF(L23=0,0,(L23-$J$12)/$I$12)*1</f>
        <v>0</v>
      </c>
      <c r="O23">
        <f>2.34*N23/1000</f>
        <v>0</v>
      </c>
      <c r="P23" s="3" t="s">
        <v>63</v>
      </c>
      <c r="Q23">
        <v>0</v>
      </c>
      <c r="R23">
        <v>10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69</v>
      </c>
      <c r="C24" s="3"/>
      <c r="D24" s="3">
        <f>SUM(D16:D23)</f>
        <v>2802.0597364048244</v>
      </c>
      <c r="E24" s="3">
        <f>SUM(E16:E23)</f>
        <v>3.2827743433860683</v>
      </c>
      <c r="G24" s="3" t="s">
        <v>69</v>
      </c>
      <c r="H24" s="3"/>
      <c r="I24" s="3">
        <f>SUM(I16:I23)</f>
        <v>2913.907596112947</v>
      </c>
      <c r="J24" s="3">
        <f>SUM(J16:J23)</f>
        <v>3.5267522904516557</v>
      </c>
      <c r="L24" s="3" t="s">
        <v>69</v>
      </c>
      <c r="M24" s="3"/>
      <c r="N24" s="3">
        <f>SUM(N16:N23)</f>
        <v>3041.5827329727281</v>
      </c>
      <c r="O24" s="3">
        <f>SUM(O16:O23)</f>
        <v>3.4286443325573366</v>
      </c>
      <c r="Q24" s="3" t="s">
        <v>69</v>
      </c>
      <c r="R24" s="3"/>
      <c r="S24" s="3">
        <f>SUM(S16:S23)</f>
        <v>2772.3644836922249</v>
      </c>
      <c r="T24" s="3">
        <f>SUM(T16:T23)</f>
        <v>3.1893142582284213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10587</v>
      </c>
      <c r="C28">
        <v>10</v>
      </c>
      <c r="D28">
        <f>IF(B28=0,0,(B28-$J$5)/$I$5)*C28</f>
        <v>4151.5415126791722</v>
      </c>
      <c r="E28">
        <f>1.07*D28/1000</f>
        <v>4.4421494185667143</v>
      </c>
      <c r="F28" s="3" t="s">
        <v>56</v>
      </c>
      <c r="G28">
        <v>11025</v>
      </c>
      <c r="H28">
        <v>10</v>
      </c>
      <c r="I28">
        <f>IF(G28=0,0,(G28-$J$5)/$I$5)*H28</f>
        <v>4318.6054081582779</v>
      </c>
      <c r="J28">
        <f>1.07*I28/1000</f>
        <v>4.6209077867293571</v>
      </c>
      <c r="K28" s="3" t="s">
        <v>56</v>
      </c>
      <c r="L28">
        <v>6290</v>
      </c>
      <c r="M28">
        <v>10</v>
      </c>
      <c r="N28">
        <f>IF(L28=0,0,(L28-$J$5)/$I$5)*M28</f>
        <v>2512.560784656991</v>
      </c>
      <c r="O28">
        <f>1.07*N28/1000</f>
        <v>2.6884400395829808</v>
      </c>
      <c r="P28" s="3" t="s">
        <v>56</v>
      </c>
      <c r="Q28">
        <v>7988</v>
      </c>
      <c r="R28">
        <v>10</v>
      </c>
      <c r="S28">
        <f>IF(Q28=0,0,(Q28-$J$5)/$I$5)*R28</f>
        <v>3160.2194479527006</v>
      </c>
      <c r="T28">
        <f>1.07*S28/1000</f>
        <v>3.3814348093093898</v>
      </c>
    </row>
    <row r="29" spans="1:20" x14ac:dyDescent="0.25">
      <c r="A29" s="3" t="s">
        <v>57</v>
      </c>
      <c r="B29">
        <v>7708</v>
      </c>
      <c r="C29">
        <v>10</v>
      </c>
      <c r="D29">
        <f>IF(B29=0,0,(B29-$J$6)/$I$6)*C29</f>
        <v>1870.9426245816042</v>
      </c>
      <c r="E29">
        <f>1.51*D29/1000</f>
        <v>2.8251233631182222</v>
      </c>
      <c r="F29" s="3" t="s">
        <v>57</v>
      </c>
      <c r="G29">
        <v>3490</v>
      </c>
      <c r="H29">
        <v>10</v>
      </c>
      <c r="I29">
        <f>IF(G29=0,0,(G29-$J$6)/$I$6)*H29</f>
        <v>881.00882517985053</v>
      </c>
      <c r="J29">
        <f>1.51*I29/1000</f>
        <v>1.3303233260215743</v>
      </c>
      <c r="K29" s="3" t="s">
        <v>57</v>
      </c>
      <c r="L29">
        <v>2919</v>
      </c>
      <c r="M29">
        <v>10</v>
      </c>
      <c r="N29">
        <f>IF(L29=0,0,(L29-$J$6)/$I$6)*M29</f>
        <v>746.99929472503754</v>
      </c>
      <c r="O29">
        <f>1.51*N29/1000</f>
        <v>1.1279689350348068</v>
      </c>
      <c r="P29" s="3" t="s">
        <v>57</v>
      </c>
      <c r="Q29">
        <v>4912</v>
      </c>
      <c r="R29">
        <v>10</v>
      </c>
      <c r="S29">
        <f>IF(Q29=0,0,(Q29-$J$6)/$I$6)*R29</f>
        <v>1214.7418414788769</v>
      </c>
      <c r="T29">
        <f>1.51*S29/1000</f>
        <v>1.8342601806331043</v>
      </c>
    </row>
    <row r="30" spans="1:20" x14ac:dyDescent="0.25">
      <c r="A30" s="3" t="s">
        <v>58</v>
      </c>
      <c r="B30">
        <v>122</v>
      </c>
      <c r="C30">
        <v>10</v>
      </c>
      <c r="D30">
        <f>IF(B30=0,0,(B30-$J$7)/$I$7)*C30</f>
        <v>122.40568476390396</v>
      </c>
      <c r="E30">
        <f>1.82*D30/1000</f>
        <v>0.22277834627030521</v>
      </c>
      <c r="F30" s="3" t="s">
        <v>58</v>
      </c>
      <c r="G30">
        <v>0</v>
      </c>
      <c r="H30">
        <v>10</v>
      </c>
      <c r="I30">
        <f>IF(G30=0,0,(G30-$J$7)/$I$7)*H30</f>
        <v>0</v>
      </c>
      <c r="J30">
        <f>1.82*I30/1000</f>
        <v>0</v>
      </c>
      <c r="K30" s="3" t="s">
        <v>58</v>
      </c>
      <c r="L30">
        <v>205</v>
      </c>
      <c r="M30">
        <v>10</v>
      </c>
      <c r="N30">
        <f>IF(L30=0,0,(L30-$J$7)/$I$7)*M30</f>
        <v>137.94853625680668</v>
      </c>
      <c r="O30">
        <f>1.82*N30/1000</f>
        <v>0.25106633598738815</v>
      </c>
      <c r="P30" s="3" t="s">
        <v>58</v>
      </c>
      <c r="Q30">
        <v>0</v>
      </c>
      <c r="R30">
        <v>10</v>
      </c>
      <c r="S30">
        <f>IF(Q30=0,0,(Q30-$J$7)/$I$7)*R30</f>
        <v>0</v>
      </c>
      <c r="T30">
        <f>1.82*S30/1000</f>
        <v>0</v>
      </c>
    </row>
    <row r="31" spans="1:20" x14ac:dyDescent="0.25">
      <c r="A31" s="3" t="s">
        <v>59</v>
      </c>
      <c r="B31">
        <v>17324</v>
      </c>
      <c r="C31">
        <v>10</v>
      </c>
      <c r="D31">
        <f>IF(B31=0,0,(B31-$J$8)/$I$8)*C31</f>
        <v>3101.5678004462093</v>
      </c>
      <c r="E31">
        <f>1.82*D31/1000</f>
        <v>5.6448533968121009</v>
      </c>
      <c r="F31" s="3" t="s">
        <v>59</v>
      </c>
      <c r="G31">
        <v>13841</v>
      </c>
      <c r="H31">
        <v>10</v>
      </c>
      <c r="I31">
        <f>IF(G31=0,0,(G31-$J$8)/$I$8)*H31</f>
        <v>2495.4416086225069</v>
      </c>
      <c r="J31">
        <f>1.82*I31/1000</f>
        <v>4.5417037276929628</v>
      </c>
      <c r="K31" s="3" t="s">
        <v>59</v>
      </c>
      <c r="L31">
        <v>22379</v>
      </c>
      <c r="M31">
        <v>10</v>
      </c>
      <c r="N31">
        <f>IF(L31=0,0,(L31-$J$8)/$I$8)*M31</f>
        <v>3981.2599909913747</v>
      </c>
      <c r="O31">
        <f>1.82*N31/1000</f>
        <v>7.2458931836043021</v>
      </c>
      <c r="P31" s="3" t="s">
        <v>59</v>
      </c>
      <c r="Q31">
        <v>16685</v>
      </c>
      <c r="R31">
        <v>10</v>
      </c>
      <c r="S31">
        <f>IF(Q31=0,0,(Q31-$J$8)/$I$8)*R31</f>
        <v>2990.3663544010342</v>
      </c>
      <c r="T31">
        <f>1.82*S31/1000</f>
        <v>5.4424667650098826</v>
      </c>
    </row>
    <row r="32" spans="1:20" x14ac:dyDescent="0.25">
      <c r="A32" s="3" t="s">
        <v>60</v>
      </c>
      <c r="B32">
        <v>239</v>
      </c>
      <c r="C32">
        <v>10</v>
      </c>
      <c r="D32">
        <f>IF(B32=0,0,(B32-$J$9)/$I$9)*C32</f>
        <v>135.19789233321285</v>
      </c>
      <c r="E32">
        <f>2.04*D32/1000</f>
        <v>0.27580370035975421</v>
      </c>
      <c r="F32" s="3" t="s">
        <v>60</v>
      </c>
      <c r="G32">
        <v>0</v>
      </c>
      <c r="H32">
        <v>10</v>
      </c>
      <c r="I32">
        <f>IF(G32=0,0,(G32-$J$9)/$I$9)*H32</f>
        <v>0</v>
      </c>
      <c r="J32">
        <f>2.04*I32/1000</f>
        <v>0</v>
      </c>
      <c r="K32" s="3" t="s">
        <v>60</v>
      </c>
      <c r="L32">
        <v>494</v>
      </c>
      <c r="M32">
        <v>10</v>
      </c>
      <c r="N32">
        <f>IF(L32=0,0,(L32-$J$9)/$I$9)*M32</f>
        <v>175.49454359833604</v>
      </c>
      <c r="O32">
        <f>2.04*N32/1000</f>
        <v>0.35800886894060552</v>
      </c>
      <c r="P32" s="3" t="s">
        <v>60</v>
      </c>
      <c r="Q32">
        <v>104</v>
      </c>
      <c r="R32">
        <v>10</v>
      </c>
      <c r="S32">
        <f>IF(Q32=0,0,(Q32-$J$9)/$I$9)*R32</f>
        <v>113.86437107520646</v>
      </c>
      <c r="T32">
        <f>2.04*S32/1000</f>
        <v>0.23228331699342117</v>
      </c>
    </row>
    <row r="33" spans="1:20" x14ac:dyDescent="0.25">
      <c r="A33" s="3" t="s">
        <v>61</v>
      </c>
      <c r="B33">
        <v>116</v>
      </c>
      <c r="C33">
        <v>10</v>
      </c>
      <c r="D33">
        <f>IF(B33=0,0,(B33-$J$10)/$I$10)*C33</f>
        <v>93.868178643310785</v>
      </c>
      <c r="E33">
        <f>2.04*D33/1000</f>
        <v>0.19149108443235399</v>
      </c>
      <c r="F33" s="3" t="s">
        <v>61</v>
      </c>
      <c r="G33">
        <v>0</v>
      </c>
      <c r="H33">
        <v>10</v>
      </c>
      <c r="I33">
        <f>IF(G33=0,0,(G33-$J$10)/$I$10)*H33</f>
        <v>0</v>
      </c>
      <c r="J33">
        <f>2.04*I33/1000</f>
        <v>0</v>
      </c>
      <c r="K33" s="3" t="s">
        <v>61</v>
      </c>
      <c r="L33">
        <v>239</v>
      </c>
      <c r="M33">
        <v>10</v>
      </c>
      <c r="N33">
        <f>IF(L33=0,0,(L33-$J$10)/$I$10)*M33</f>
        <v>112.43436888023029</v>
      </c>
      <c r="O33">
        <f>2.04*N33/1000</f>
        <v>0.22936611251566982</v>
      </c>
      <c r="P33" s="3" t="s">
        <v>61</v>
      </c>
      <c r="Q33">
        <v>0</v>
      </c>
      <c r="R33">
        <v>10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0</v>
      </c>
      <c r="C34">
        <v>10</v>
      </c>
      <c r="D34">
        <f>IF(B34=0,0,(B34-$J$11)/$I$11)*1</f>
        <v>0</v>
      </c>
      <c r="E34">
        <f>2.21*D34/1000</f>
        <v>0</v>
      </c>
      <c r="F34" s="3" t="s">
        <v>62</v>
      </c>
      <c r="G34">
        <v>0</v>
      </c>
      <c r="H34">
        <v>10</v>
      </c>
      <c r="I34">
        <f>IF(G34=0,0,(G34-$J$11)/$I$11)*1</f>
        <v>0</v>
      </c>
      <c r="J34">
        <f>2.21*I34/1000</f>
        <v>0</v>
      </c>
      <c r="K34" s="3" t="s">
        <v>62</v>
      </c>
      <c r="L34">
        <v>101</v>
      </c>
      <c r="M34">
        <v>10</v>
      </c>
      <c r="N34">
        <f>IF(L34=0,0,(L34-$J$11)/$I$11)*1</f>
        <v>10.837605629215037</v>
      </c>
      <c r="O34">
        <f>2.21*N34/1000</f>
        <v>2.3951108440565232E-2</v>
      </c>
      <c r="P34" s="3" t="s">
        <v>62</v>
      </c>
      <c r="Q34">
        <v>0</v>
      </c>
      <c r="R34">
        <v>10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63</v>
      </c>
      <c r="B35">
        <v>0</v>
      </c>
      <c r="C35">
        <v>10</v>
      </c>
      <c r="D35">
        <f>IF(B35=0,0,(B35-$J$12)/$I$12)*1</f>
        <v>0</v>
      </c>
      <c r="E35">
        <f>2.34*D35/1000</f>
        <v>0</v>
      </c>
      <c r="F35" s="3" t="s">
        <v>63</v>
      </c>
      <c r="G35">
        <v>0</v>
      </c>
      <c r="H35">
        <v>10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10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10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9475.5236934474124</v>
      </c>
      <c r="E36" s="3">
        <f>SUM(E28:E35)</f>
        <v>13.602199309559451</v>
      </c>
      <c r="G36" s="3" t="s">
        <v>69</v>
      </c>
      <c r="H36" s="3"/>
      <c r="I36" s="3">
        <f>SUM(I28:I35)</f>
        <v>7695.055841960635</v>
      </c>
      <c r="J36" s="3">
        <f>SUM(J28:J35)</f>
        <v>10.492934840443894</v>
      </c>
      <c r="L36" s="3" t="s">
        <v>69</v>
      </c>
      <c r="M36" s="3"/>
      <c r="N36" s="3">
        <f>SUM(N28:N35)</f>
        <v>7677.5351247379922</v>
      </c>
      <c r="O36" s="3">
        <f>SUM(O28:O35)</f>
        <v>11.924694584106318</v>
      </c>
      <c r="Q36" s="3" t="s">
        <v>69</v>
      </c>
      <c r="R36" s="3"/>
      <c r="S36" s="3">
        <f>SUM(S28:S35)</f>
        <v>7479.1920149078187</v>
      </c>
      <c r="T36" s="3">
        <f>SUM(T28:T35)</f>
        <v>10.890445071945798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10469</v>
      </c>
      <c r="C40">
        <v>10</v>
      </c>
      <c r="D40">
        <f>IF(B40=0,0,(B40-$J$5)/$I$5)*C40</f>
        <v>4106.5334312487284</v>
      </c>
      <c r="E40">
        <f>1.07*D40/1000</f>
        <v>4.3939907714361395</v>
      </c>
      <c r="F40" s="3" t="s">
        <v>56</v>
      </c>
      <c r="G40">
        <v>7947</v>
      </c>
      <c r="H40">
        <v>10</v>
      </c>
      <c r="I40">
        <f>IF(G40=0,0,(G40-$J$5)/$I$5)*H40</f>
        <v>3144.581046777716</v>
      </c>
      <c r="J40">
        <f>1.07*I40/1000</f>
        <v>3.3647017200521563</v>
      </c>
      <c r="K40" s="3" t="s">
        <v>56</v>
      </c>
      <c r="L40">
        <v>17161</v>
      </c>
      <c r="M40">
        <v>10</v>
      </c>
      <c r="N40">
        <f>IF(L40=0,0,(L40-$J$5)/$I$5)*M40</f>
        <v>6659.0256425413609</v>
      </c>
      <c r="O40">
        <f>1.07*N40/1000</f>
        <v>7.125157437519257</v>
      </c>
      <c r="P40" s="3" t="s">
        <v>56</v>
      </c>
      <c r="Q40">
        <v>18215</v>
      </c>
      <c r="R40">
        <v>10</v>
      </c>
      <c r="S40">
        <f>IF(Q40=0,0,(Q40-$J$5)/$I$5)*R40</f>
        <v>7061.0469800641386</v>
      </c>
      <c r="T40">
        <f>1.07*S40/1000</f>
        <v>7.5553202686686287</v>
      </c>
    </row>
    <row r="41" spans="1:20" x14ac:dyDescent="0.25">
      <c r="A41" s="3" t="s">
        <v>57</v>
      </c>
      <c r="B41">
        <v>3651</v>
      </c>
      <c r="C41">
        <v>10</v>
      </c>
      <c r="D41">
        <f>IF(B41=0,0,(B41-$J$6)/$I$6)*C41</f>
        <v>918.7943495287559</v>
      </c>
      <c r="E41">
        <f>1.51*D41/1000</f>
        <v>1.3873794677884215</v>
      </c>
      <c r="F41" s="3" t="s">
        <v>57</v>
      </c>
      <c r="G41">
        <v>475</v>
      </c>
      <c r="H41">
        <v>10</v>
      </c>
      <c r="I41">
        <f>IF(G41=0,0,(G41-$J$6)/$I$6)*H41</f>
        <v>173.4103412546996</v>
      </c>
      <c r="J41">
        <f>1.51*I41/1000</f>
        <v>0.26184961529459638</v>
      </c>
      <c r="K41" s="3" t="s">
        <v>57</v>
      </c>
      <c r="L41">
        <v>11590</v>
      </c>
      <c r="M41">
        <v>10</v>
      </c>
      <c r="N41">
        <f>IF(L41=0,0,(L41-$J$6)/$I$6)*M41</f>
        <v>2782.0196775160771</v>
      </c>
      <c r="O41">
        <f>1.51*N41/1000</f>
        <v>4.2008497130492763</v>
      </c>
      <c r="P41" s="3" t="s">
        <v>57</v>
      </c>
      <c r="Q41">
        <v>11921</v>
      </c>
      <c r="R41">
        <v>10</v>
      </c>
      <c r="S41">
        <f>IF(Q41=0,0,(Q41-$J$6)/$I$6)*R41</f>
        <v>2859.7029604942609</v>
      </c>
      <c r="T41">
        <f>1.51*S41/1000</f>
        <v>4.3181514703463337</v>
      </c>
    </row>
    <row r="42" spans="1:20" x14ac:dyDescent="0.25">
      <c r="A42" s="3" t="s">
        <v>58</v>
      </c>
      <c r="B42">
        <v>366</v>
      </c>
      <c r="C42">
        <v>10</v>
      </c>
      <c r="D42">
        <f>IF(B42=0,0,(B42-$J$7)/$I$7)*C42</f>
        <v>168.09792288761795</v>
      </c>
      <c r="E42">
        <f>1.82*D42/1000</f>
        <v>0.30593821965546469</v>
      </c>
      <c r="F42" s="3" t="s">
        <v>58</v>
      </c>
      <c r="G42">
        <v>0</v>
      </c>
      <c r="H42">
        <v>10</v>
      </c>
      <c r="I42">
        <f>IF(G42=0,0,(G42-$J$7)/$I$7)*H42</f>
        <v>0</v>
      </c>
      <c r="J42">
        <f>1.82*I42/1000</f>
        <v>0</v>
      </c>
      <c r="K42" s="3" t="s">
        <v>58</v>
      </c>
      <c r="L42">
        <v>265</v>
      </c>
      <c r="M42">
        <v>10</v>
      </c>
      <c r="N42">
        <f>IF(L42=0,0,(L42-$J$7)/$I$7)*M42</f>
        <v>149.18433251673633</v>
      </c>
      <c r="O42">
        <f>1.82*N42/1000</f>
        <v>0.27151548518046015</v>
      </c>
      <c r="P42" s="3" t="s">
        <v>58</v>
      </c>
      <c r="Q42">
        <v>344</v>
      </c>
      <c r="R42">
        <v>10</v>
      </c>
      <c r="S42">
        <f>IF(Q42=0,0,(Q42-$J$7)/$I$7)*R42</f>
        <v>163.97813092564374</v>
      </c>
      <c r="T42">
        <f>1.82*S42/1000</f>
        <v>0.29844019828467161</v>
      </c>
    </row>
    <row r="43" spans="1:20" x14ac:dyDescent="0.25">
      <c r="A43" s="3" t="s">
        <v>59</v>
      </c>
      <c r="B43">
        <v>13874</v>
      </c>
      <c r="C43">
        <v>10</v>
      </c>
      <c r="D43">
        <f>IF(B43=0,0,(B43-$J$8)/$I$8)*C43</f>
        <v>2501.1844063055914</v>
      </c>
      <c r="E43">
        <f>1.82*D43/1000</f>
        <v>4.552155619476177</v>
      </c>
      <c r="F43" s="3" t="s">
        <v>59</v>
      </c>
      <c r="G43">
        <v>3887</v>
      </c>
      <c r="H43">
        <v>10</v>
      </c>
      <c r="I43">
        <f>IF(G43=0,0,(G43-$J$8)/$I$8)*H43</f>
        <v>763.2049983976641</v>
      </c>
      <c r="J43">
        <f>1.82*I43/1000</f>
        <v>1.3890330970837488</v>
      </c>
      <c r="K43" s="3" t="s">
        <v>59</v>
      </c>
      <c r="L43">
        <v>2869</v>
      </c>
      <c r="M43">
        <v>10</v>
      </c>
      <c r="N43">
        <f>IF(L43=0,0,(L43-$J$8)/$I$8)*M43</f>
        <v>586.04839108312831</v>
      </c>
      <c r="O43">
        <f>1.82*N43/1000</f>
        <v>1.0666080717712934</v>
      </c>
      <c r="P43" s="3" t="s">
        <v>59</v>
      </c>
      <c r="Q43">
        <v>5664</v>
      </c>
      <c r="R43">
        <v>10</v>
      </c>
      <c r="S43">
        <f>IF(Q43=0,0,(Q43-$J$8)/$I$8)*R43</f>
        <v>1072.4459524231359</v>
      </c>
      <c r="T43">
        <f>1.82*S43/1000</f>
        <v>1.9518516334101073</v>
      </c>
    </row>
    <row r="44" spans="1:20" x14ac:dyDescent="0.25">
      <c r="A44" s="3" t="s">
        <v>60</v>
      </c>
      <c r="B44">
        <v>560</v>
      </c>
      <c r="C44">
        <v>10</v>
      </c>
      <c r="D44">
        <f>IF(B44=0,0,(B44-$J$9)/$I$9)*C44</f>
        <v>185.92426510225027</v>
      </c>
      <c r="E44">
        <f>2.04*D44/1000</f>
        <v>0.37928550080859053</v>
      </c>
      <c r="F44" s="3" t="s">
        <v>60</v>
      </c>
      <c r="G44">
        <v>0</v>
      </c>
      <c r="H44">
        <v>10</v>
      </c>
      <c r="I44">
        <f>IF(G44=0,0,(G44-$J$9)/$I$9)*H44</f>
        <v>0</v>
      </c>
      <c r="J44">
        <f>2.04*I44/1000</f>
        <v>0</v>
      </c>
      <c r="K44" s="3" t="s">
        <v>60</v>
      </c>
      <c r="L44">
        <v>501</v>
      </c>
      <c r="M44">
        <v>10</v>
      </c>
      <c r="N44">
        <f>IF(L44=0,0,(L44-$J$9)/$I$9)*M44</f>
        <v>176.60072618208454</v>
      </c>
      <c r="O44">
        <f>2.04*N44/1000</f>
        <v>0.36026548141145248</v>
      </c>
      <c r="P44" s="3" t="s">
        <v>60</v>
      </c>
      <c r="Q44">
        <v>690</v>
      </c>
      <c r="R44">
        <v>10</v>
      </c>
      <c r="S44">
        <f>IF(Q44=0,0,(Q44-$J$9)/$I$9)*R44</f>
        <v>206.46765594329349</v>
      </c>
      <c r="T44">
        <f>2.04*S44/1000</f>
        <v>0.42119401812431873</v>
      </c>
    </row>
    <row r="45" spans="1:20" x14ac:dyDescent="0.25">
      <c r="A45" s="3" t="s">
        <v>61</v>
      </c>
      <c r="B45">
        <v>354</v>
      </c>
      <c r="C45">
        <v>10</v>
      </c>
      <c r="D45">
        <f>IF(B45=0,0,(B45-$J$10)/$I$10)*C45</f>
        <v>129.7930020285697</v>
      </c>
      <c r="E45">
        <f>2.04*D45/1000</f>
        <v>0.26477772413828221</v>
      </c>
      <c r="F45" s="3" t="s">
        <v>61</v>
      </c>
      <c r="G45">
        <v>106</v>
      </c>
      <c r="H45">
        <v>10</v>
      </c>
      <c r="I45">
        <f>IF(G45=0,0,(G45-$J$10)/$I$10)*H45</f>
        <v>92.358732282585621</v>
      </c>
      <c r="J45">
        <f>2.04*I45/1000</f>
        <v>0.18841181385647468</v>
      </c>
      <c r="K45" s="3" t="s">
        <v>61</v>
      </c>
      <c r="L45">
        <v>0</v>
      </c>
      <c r="M45">
        <v>10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10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251</v>
      </c>
      <c r="C46">
        <v>10</v>
      </c>
      <c r="D46">
        <f>IF(B46=0,0,(B46-$J$11)/$I$11)*1</f>
        <v>12.925136235957982</v>
      </c>
      <c r="E46">
        <f>2.21*D46/1000</f>
        <v>2.8564551081467139E-2</v>
      </c>
      <c r="F46" s="3" t="s">
        <v>62</v>
      </c>
      <c r="G46">
        <v>0</v>
      </c>
      <c r="H46">
        <v>10</v>
      </c>
      <c r="I46">
        <f>IF(G46=0,0,(G46-$J$11)/$I$11)*1</f>
        <v>0</v>
      </c>
      <c r="J46">
        <f>2.21*I46/1000</f>
        <v>0</v>
      </c>
      <c r="K46" s="3" t="s">
        <v>62</v>
      </c>
      <c r="L46">
        <v>116</v>
      </c>
      <c r="M46">
        <v>10</v>
      </c>
      <c r="N46">
        <f>IF(L46=0,0,(L46-$J$11)/$I$11)*1</f>
        <v>11.046358689889333</v>
      </c>
      <c r="O46">
        <f>2.21*N46/1000</f>
        <v>2.4412452704655425E-2</v>
      </c>
      <c r="P46" s="3" t="s">
        <v>62</v>
      </c>
      <c r="Q46">
        <v>0</v>
      </c>
      <c r="R46">
        <v>10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161</v>
      </c>
      <c r="C47">
        <v>10</v>
      </c>
      <c r="D47">
        <f>IF(B47=0,0,(B47-$J$12)/$I$12)*1</f>
        <v>13.317725847940794</v>
      </c>
      <c r="E47">
        <f>2.34*D47/1000</f>
        <v>3.1163478484181457E-2</v>
      </c>
      <c r="F47" s="3" t="s">
        <v>63</v>
      </c>
      <c r="G47">
        <v>0</v>
      </c>
      <c r="H47">
        <v>10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10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10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8036.5702391854129</v>
      </c>
      <c r="E48" s="3">
        <f>SUM(E40:E47)</f>
        <v>11.343255332868724</v>
      </c>
      <c r="F48" s="3"/>
      <c r="G48" s="3" t="s">
        <v>69</v>
      </c>
      <c r="H48" s="3"/>
      <c r="I48" s="3">
        <f>SUM(I40:I47)</f>
        <v>4173.5551187126657</v>
      </c>
      <c r="J48" s="3">
        <f>SUM(J40:J47)</f>
        <v>5.2039962462869767</v>
      </c>
      <c r="K48" s="3"/>
      <c r="L48" s="3" t="s">
        <v>69</v>
      </c>
      <c r="M48" s="3"/>
      <c r="N48" s="3">
        <f>SUM(N40:N47)</f>
        <v>10363.925128529276</v>
      </c>
      <c r="O48" s="3">
        <f>SUM(O40:O47)</f>
        <v>13.048808641636395</v>
      </c>
      <c r="P48" s="3"/>
      <c r="Q48" s="3" t="s">
        <v>69</v>
      </c>
      <c r="R48" s="3"/>
      <c r="S48" s="3">
        <f>SUM(S40:S47)</f>
        <v>11363.641679850471</v>
      </c>
      <c r="T48" s="3">
        <f>SUM(T40:T47)</f>
        <v>14.544957588834061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5755</v>
      </c>
      <c r="C52">
        <v>10</v>
      </c>
      <c r="D52">
        <f>IF(B52=0,0,(B52-$J$5)/$I$5)*C52</f>
        <v>2308.4987205443854</v>
      </c>
      <c r="E52">
        <f>1.07*D52/1000</f>
        <v>2.4700936309824923</v>
      </c>
      <c r="F52" s="3" t="s">
        <v>56</v>
      </c>
      <c r="G52">
        <v>5720</v>
      </c>
      <c r="H52">
        <v>10</v>
      </c>
      <c r="I52">
        <f>IF(G52=0,0,(G52-$J$5)/$I$5)*H52</f>
        <v>2295.148865882813</v>
      </c>
      <c r="J52">
        <f>1.07*I52/1000</f>
        <v>2.4558092864946102</v>
      </c>
    </row>
    <row r="53" spans="1:13" x14ac:dyDescent="0.25">
      <c r="A53" s="3" t="s">
        <v>57</v>
      </c>
      <c r="B53">
        <v>311</v>
      </c>
      <c r="C53">
        <v>10</v>
      </c>
      <c r="D53">
        <f>IF(B53=0,0,(B53-$J$6)/$I$6)*C53</f>
        <v>134.92073881233648</v>
      </c>
      <c r="E53">
        <f>1.51*D53/1000</f>
        <v>0.2037303156066281</v>
      </c>
      <c r="F53" s="3" t="s">
        <v>57</v>
      </c>
      <c r="G53">
        <v>263</v>
      </c>
      <c r="H53">
        <v>10</v>
      </c>
      <c r="I53">
        <f>IF(G53=0,0,(G53-$J$6)/$I$6)*H53</f>
        <v>123.65548931701071</v>
      </c>
      <c r="J53">
        <f>1.51*I53/1000</f>
        <v>0.18671978886868615</v>
      </c>
    </row>
    <row r="54" spans="1:13" x14ac:dyDescent="0.25">
      <c r="A54" s="3" t="s">
        <v>58</v>
      </c>
      <c r="B54">
        <v>0</v>
      </c>
      <c r="C54">
        <v>10</v>
      </c>
      <c r="D54">
        <f>IF(B54=0,0,(B54-$J$7)/$I$7)*C54</f>
        <v>0</v>
      </c>
      <c r="E54">
        <f>1.82*D54/1000</f>
        <v>0</v>
      </c>
      <c r="F54" s="3" t="s">
        <v>58</v>
      </c>
      <c r="G54">
        <v>0</v>
      </c>
      <c r="H54">
        <v>10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59</v>
      </c>
      <c r="B55">
        <v>201</v>
      </c>
      <c r="C55">
        <v>10</v>
      </c>
      <c r="D55">
        <f>IF(B55=0,0,(B55-$J$8)/$I$8)*C55</f>
        <v>121.751899614384</v>
      </c>
      <c r="E55">
        <f>1.82*D55/1000</f>
        <v>0.22158845729817889</v>
      </c>
      <c r="F55" s="3" t="s">
        <v>59</v>
      </c>
      <c r="G55">
        <v>2777</v>
      </c>
      <c r="H55">
        <v>10</v>
      </c>
      <c r="I55">
        <f>IF(G55=0,0,(G55-$J$8)/$I$8)*H55</f>
        <v>570.03816723937848</v>
      </c>
      <c r="J55">
        <f>1.82*I55/1000</f>
        <v>1.0374694643756688</v>
      </c>
    </row>
    <row r="56" spans="1:13" x14ac:dyDescent="0.25">
      <c r="A56" s="3" t="s">
        <v>60</v>
      </c>
      <c r="B56">
        <v>0</v>
      </c>
      <c r="C56">
        <v>10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10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124</v>
      </c>
      <c r="C57">
        <v>10</v>
      </c>
      <c r="D57">
        <f>IF(B57=0,0,(B57-$J$10)/$I$10)*C57</f>
        <v>95.075735731890916</v>
      </c>
      <c r="E57">
        <f>2.04*D57/1000</f>
        <v>0.19395450089305749</v>
      </c>
      <c r="F57" s="3" t="s">
        <v>61</v>
      </c>
      <c r="G57">
        <v>122</v>
      </c>
      <c r="H57">
        <v>10</v>
      </c>
      <c r="I57">
        <f>IF(G57=0,0,(G57-$J$10)/$I$10)*H57</f>
        <v>94.773846459745883</v>
      </c>
      <c r="J57">
        <f>2.04*I57/1000</f>
        <v>0.1933386467778816</v>
      </c>
    </row>
    <row r="58" spans="1:13" x14ac:dyDescent="0.25">
      <c r="A58" s="3" t="s">
        <v>62</v>
      </c>
      <c r="B58">
        <v>0</v>
      </c>
      <c r="C58">
        <v>10</v>
      </c>
      <c r="D58">
        <f>IF(B58=0,0,(B58-$J$11)/$I$11)*1</f>
        <v>0</v>
      </c>
      <c r="E58">
        <f>2.21*D58/1000</f>
        <v>0</v>
      </c>
      <c r="F58" s="3" t="s">
        <v>62</v>
      </c>
      <c r="G58">
        <v>0</v>
      </c>
      <c r="H58">
        <v>10</v>
      </c>
      <c r="I58">
        <f>IF(G58=0,0,(G58-$J$11)/$I$11)*1</f>
        <v>0</v>
      </c>
      <c r="J58">
        <f>2.21*I58/1000</f>
        <v>0</v>
      </c>
    </row>
    <row r="59" spans="1:13" x14ac:dyDescent="0.25">
      <c r="A59" s="3" t="s">
        <v>63</v>
      </c>
      <c r="B59">
        <v>0</v>
      </c>
      <c r="C59">
        <v>10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10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2660.2470947029965</v>
      </c>
      <c r="E60" s="3">
        <f>SUM(E52:E59)</f>
        <v>3.0893669047803569</v>
      </c>
      <c r="G60" s="3" t="s">
        <v>69</v>
      </c>
      <c r="H60" s="3"/>
      <c r="I60" s="3">
        <f>SUM(I52:I59)</f>
        <v>3083.6163688989482</v>
      </c>
      <c r="J60" s="3">
        <f>SUM(J52:J59)</f>
        <v>3.8733371865168467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5"/>
  <sheetViews>
    <sheetView topLeftCell="A15" zoomScaleNormal="100" workbookViewId="0">
      <selection activeCell="P14" sqref="P14"/>
    </sheetView>
  </sheetViews>
  <sheetFormatPr defaultRowHeight="15" x14ac:dyDescent="0.25"/>
  <cols>
    <col min="1" max="1" width="26" customWidth="1"/>
    <col min="16" max="16" width="23" customWidth="1"/>
  </cols>
  <sheetData>
    <row r="1" spans="1:15" ht="15.75" thickBot="1" x14ac:dyDescent="0.3"/>
    <row r="2" spans="1:15" x14ac:dyDescent="0.25">
      <c r="A2" s="34" t="s">
        <v>46</v>
      </c>
      <c r="B2" s="35">
        <v>0</v>
      </c>
      <c r="C2" s="35">
        <v>1</v>
      </c>
      <c r="D2" s="35">
        <v>1.0001</v>
      </c>
      <c r="E2" s="35">
        <v>2</v>
      </c>
      <c r="F2" s="35">
        <v>2.0001000000000002</v>
      </c>
      <c r="G2" s="35">
        <v>3</v>
      </c>
      <c r="H2" s="35">
        <v>3.0001000000000002</v>
      </c>
      <c r="I2" s="35">
        <v>4</v>
      </c>
      <c r="J2" s="35">
        <v>4.0000999999999998</v>
      </c>
      <c r="K2" s="35">
        <v>5</v>
      </c>
      <c r="L2" s="35">
        <v>5.0000999999999998</v>
      </c>
      <c r="M2" s="35">
        <v>6</v>
      </c>
      <c r="N2" s="35">
        <v>6.0000999999999998</v>
      </c>
      <c r="O2" s="36">
        <v>7</v>
      </c>
    </row>
    <row r="3" spans="1:15" x14ac:dyDescent="0.25">
      <c r="A3" s="64" t="s">
        <v>30</v>
      </c>
      <c r="B3" s="65">
        <v>6.66</v>
      </c>
      <c r="C3" s="65">
        <v>4.8499999999999996</v>
      </c>
      <c r="D3" s="65"/>
      <c r="E3" s="65">
        <v>4.76</v>
      </c>
      <c r="F3" s="65"/>
      <c r="G3" s="65">
        <v>4.66</v>
      </c>
      <c r="H3" s="65"/>
      <c r="I3" s="65">
        <v>4.58</v>
      </c>
      <c r="J3" s="65"/>
      <c r="K3" s="65">
        <v>4.75</v>
      </c>
      <c r="L3" s="65"/>
      <c r="M3" s="65">
        <v>4.84</v>
      </c>
      <c r="N3" s="65"/>
      <c r="O3" s="66">
        <v>5.33</v>
      </c>
    </row>
    <row r="4" spans="1:15" x14ac:dyDescent="0.25">
      <c r="A4" s="64" t="s">
        <v>31</v>
      </c>
      <c r="B4" s="65">
        <v>6.68</v>
      </c>
      <c r="C4" s="65">
        <v>4.78</v>
      </c>
      <c r="D4" s="65"/>
      <c r="E4" s="65">
        <v>4.68</v>
      </c>
      <c r="F4" s="65"/>
      <c r="G4" s="65">
        <v>4.57</v>
      </c>
      <c r="H4" s="65"/>
      <c r="I4" s="65">
        <v>4.49</v>
      </c>
      <c r="J4" s="65"/>
      <c r="K4" s="65">
        <v>4.66</v>
      </c>
      <c r="L4" s="65"/>
      <c r="M4" s="65">
        <v>4.7699999999999996</v>
      </c>
      <c r="N4" s="65"/>
      <c r="O4" s="66">
        <v>4.93</v>
      </c>
    </row>
    <row r="5" spans="1:15" x14ac:dyDescent="0.25">
      <c r="A5" s="37" t="s">
        <v>32</v>
      </c>
      <c r="B5" s="29">
        <v>6.75</v>
      </c>
      <c r="C5" s="29">
        <v>4.57</v>
      </c>
      <c r="D5" s="29">
        <v>4.7699999999999996</v>
      </c>
      <c r="E5" s="29">
        <v>4.43</v>
      </c>
      <c r="F5" s="29">
        <v>4.67</v>
      </c>
      <c r="G5" s="29">
        <v>4.4800000000000004</v>
      </c>
      <c r="H5" s="29">
        <v>4.59</v>
      </c>
      <c r="I5" s="29">
        <v>4.47</v>
      </c>
      <c r="J5" s="29"/>
      <c r="K5" s="29">
        <v>4.6100000000000003</v>
      </c>
      <c r="L5" s="29"/>
      <c r="M5" s="29">
        <v>4.6500000000000004</v>
      </c>
      <c r="N5" s="29"/>
      <c r="O5" s="38">
        <v>4.82</v>
      </c>
    </row>
    <row r="6" spans="1:15" x14ac:dyDescent="0.25">
      <c r="A6" s="37" t="s">
        <v>33</v>
      </c>
      <c r="B6" s="29">
        <v>6.68</v>
      </c>
      <c r="C6" s="29">
        <v>4.59</v>
      </c>
      <c r="D6" s="29">
        <v>4.76</v>
      </c>
      <c r="E6" s="29">
        <v>4.4400000000000004</v>
      </c>
      <c r="F6" s="29">
        <v>4.68</v>
      </c>
      <c r="G6" s="29">
        <v>4.5</v>
      </c>
      <c r="H6" s="29">
        <v>4.59</v>
      </c>
      <c r="I6" s="29">
        <v>4.51</v>
      </c>
      <c r="J6" s="29"/>
      <c r="K6" s="29">
        <v>4.6399999999999997</v>
      </c>
      <c r="L6" s="29"/>
      <c r="M6" s="29">
        <v>4.71</v>
      </c>
      <c r="N6" s="29"/>
      <c r="O6" s="38">
        <v>4.8499999999999996</v>
      </c>
    </row>
    <row r="7" spans="1:15" x14ac:dyDescent="0.25">
      <c r="A7" s="64" t="s">
        <v>34</v>
      </c>
      <c r="B7" s="65">
        <v>6.71</v>
      </c>
      <c r="C7" s="65">
        <v>5.14</v>
      </c>
      <c r="D7" s="65"/>
      <c r="E7" s="65">
        <v>6.14</v>
      </c>
      <c r="F7" s="65"/>
      <c r="G7" s="65">
        <v>6.84</v>
      </c>
      <c r="H7" s="65"/>
      <c r="I7" s="65">
        <v>6.84</v>
      </c>
      <c r="J7" s="65"/>
      <c r="K7" s="65">
        <v>7.1</v>
      </c>
      <c r="L7" s="65"/>
      <c r="M7" s="65">
        <v>7.2</v>
      </c>
      <c r="N7" s="65"/>
      <c r="O7" s="66">
        <v>7.2</v>
      </c>
    </row>
    <row r="8" spans="1:15" x14ac:dyDescent="0.25">
      <c r="A8" s="64" t="s">
        <v>35</v>
      </c>
      <c r="B8" s="65">
        <v>6.72</v>
      </c>
      <c r="C8" s="65">
        <v>4.97</v>
      </c>
      <c r="D8" s="65"/>
      <c r="E8" s="65">
        <v>5.21</v>
      </c>
      <c r="F8" s="65"/>
      <c r="G8" s="65">
        <v>5.3</v>
      </c>
      <c r="H8" s="65"/>
      <c r="I8" s="65">
        <v>5.54</v>
      </c>
      <c r="J8" s="65"/>
      <c r="K8" s="65">
        <v>6.56</v>
      </c>
      <c r="L8" s="65"/>
      <c r="M8" s="65">
        <v>6.92</v>
      </c>
      <c r="N8" s="65"/>
      <c r="O8" s="66">
        <v>7.18</v>
      </c>
    </row>
    <row r="9" spans="1:15" x14ac:dyDescent="0.25">
      <c r="A9" s="37" t="s">
        <v>36</v>
      </c>
      <c r="B9" s="29">
        <v>6.67</v>
      </c>
      <c r="C9" s="29">
        <v>4.5999999999999996</v>
      </c>
      <c r="D9" s="29">
        <v>5.0199999999999996</v>
      </c>
      <c r="E9" s="29">
        <v>4.55</v>
      </c>
      <c r="F9" s="29">
        <v>5.64</v>
      </c>
      <c r="G9" s="29">
        <v>5.17</v>
      </c>
      <c r="H9" s="29">
        <v>6.49</v>
      </c>
      <c r="I9" s="29">
        <v>6.58</v>
      </c>
      <c r="J9" s="29"/>
      <c r="K9" s="29">
        <v>6.92</v>
      </c>
      <c r="L9" s="29"/>
      <c r="M9" s="65">
        <v>6.92</v>
      </c>
      <c r="N9" s="29"/>
      <c r="O9" s="66">
        <v>6.79</v>
      </c>
    </row>
    <row r="10" spans="1:15" x14ac:dyDescent="0.25">
      <c r="A10" s="37" t="s">
        <v>37</v>
      </c>
      <c r="B10" s="29">
        <v>6.61</v>
      </c>
      <c r="C10" s="29">
        <v>4.51</v>
      </c>
      <c r="D10" s="29">
        <v>4.99</v>
      </c>
      <c r="E10" s="29">
        <v>4.5199999999999996</v>
      </c>
      <c r="F10" s="29">
        <v>5.61</v>
      </c>
      <c r="G10" s="29">
        <v>5</v>
      </c>
      <c r="H10" s="29">
        <v>6.6</v>
      </c>
      <c r="I10" s="29">
        <v>5.81</v>
      </c>
      <c r="J10" s="29">
        <v>6.59</v>
      </c>
      <c r="K10" s="29">
        <v>6.95</v>
      </c>
      <c r="L10" s="29"/>
      <c r="M10" s="65">
        <v>6.96</v>
      </c>
      <c r="N10" s="29"/>
      <c r="O10" s="66">
        <v>6.82</v>
      </c>
    </row>
    <row r="11" spans="1:15" x14ac:dyDescent="0.25">
      <c r="A11" s="64" t="s">
        <v>38</v>
      </c>
      <c r="B11" s="65">
        <v>6.83</v>
      </c>
      <c r="C11" s="65">
        <v>5.48</v>
      </c>
      <c r="D11" s="65"/>
      <c r="E11" s="65">
        <v>7.18</v>
      </c>
      <c r="F11" s="65"/>
      <c r="G11" s="65">
        <v>7.57</v>
      </c>
      <c r="H11" s="65"/>
      <c r="I11" s="65">
        <v>7.88</v>
      </c>
      <c r="J11" s="65"/>
      <c r="K11" s="65">
        <v>8.18</v>
      </c>
      <c r="L11" s="65"/>
      <c r="M11" s="65">
        <v>8.14</v>
      </c>
      <c r="N11" s="65"/>
      <c r="O11" s="66">
        <v>8.0299999999999994</v>
      </c>
    </row>
    <row r="12" spans="1:15" x14ac:dyDescent="0.25">
      <c r="A12" s="64" t="s">
        <v>39</v>
      </c>
      <c r="B12" s="65">
        <v>6.68</v>
      </c>
      <c r="C12" s="65">
        <v>5.03</v>
      </c>
      <c r="D12" s="65"/>
      <c r="E12" s="65">
        <v>5.2</v>
      </c>
      <c r="F12" s="65"/>
      <c r="G12" s="65">
        <v>5.27</v>
      </c>
      <c r="H12" s="65"/>
      <c r="I12" s="65">
        <v>5.35</v>
      </c>
      <c r="J12" s="65"/>
      <c r="K12" s="65">
        <v>5.65</v>
      </c>
      <c r="L12" s="65"/>
      <c r="M12" s="65">
        <v>6.02</v>
      </c>
      <c r="N12" s="65"/>
      <c r="O12" s="66">
        <v>6.61</v>
      </c>
    </row>
    <row r="13" spans="1:15" x14ac:dyDescent="0.25">
      <c r="A13" s="37" t="s">
        <v>40</v>
      </c>
      <c r="B13" s="29">
        <v>6.63</v>
      </c>
      <c r="C13" s="29">
        <v>4.57</v>
      </c>
      <c r="D13" s="29">
        <v>5.23</v>
      </c>
      <c r="E13" s="29">
        <v>4.6500000000000004</v>
      </c>
      <c r="F13" s="29">
        <v>6.19</v>
      </c>
      <c r="G13" s="29">
        <v>5.21</v>
      </c>
      <c r="H13" s="29">
        <v>7.84</v>
      </c>
      <c r="I13" s="29">
        <v>6.45</v>
      </c>
      <c r="J13" s="29">
        <v>7.88</v>
      </c>
      <c r="K13" s="29">
        <v>6.19</v>
      </c>
      <c r="L13" s="29">
        <v>8.4499999999999993</v>
      </c>
      <c r="M13" s="65">
        <v>6.83</v>
      </c>
      <c r="N13" s="29">
        <v>8.06</v>
      </c>
      <c r="O13" s="66">
        <v>6.96</v>
      </c>
    </row>
    <row r="14" spans="1:15" x14ac:dyDescent="0.25">
      <c r="A14" s="37" t="s">
        <v>41</v>
      </c>
      <c r="B14" s="29">
        <v>6.52</v>
      </c>
      <c r="C14" s="29">
        <v>4.55</v>
      </c>
      <c r="D14" s="29">
        <v>5.22</v>
      </c>
      <c r="E14" s="29">
        <v>4.58</v>
      </c>
      <c r="F14" s="29">
        <v>6.2</v>
      </c>
      <c r="G14" s="29">
        <v>5.26</v>
      </c>
      <c r="H14" s="29">
        <v>7.97</v>
      </c>
      <c r="I14" s="29">
        <v>6.52</v>
      </c>
      <c r="J14" s="29">
        <v>7.82</v>
      </c>
      <c r="K14" s="29">
        <v>6.19</v>
      </c>
      <c r="L14" s="29">
        <v>8.44</v>
      </c>
      <c r="M14" s="65">
        <v>6.83</v>
      </c>
      <c r="N14" s="29">
        <v>8.14</v>
      </c>
      <c r="O14" s="66">
        <v>6.98</v>
      </c>
    </row>
    <row r="15" spans="1:15" x14ac:dyDescent="0.25">
      <c r="A15" s="67" t="s">
        <v>42</v>
      </c>
      <c r="B15" s="68">
        <v>6.46</v>
      </c>
      <c r="C15" s="68">
        <v>4.55</v>
      </c>
      <c r="D15" s="68"/>
      <c r="E15" s="68">
        <v>4.32</v>
      </c>
      <c r="F15" s="68"/>
      <c r="G15" s="68">
        <v>4.26</v>
      </c>
      <c r="H15" s="68"/>
      <c r="I15" s="68">
        <v>4.18</v>
      </c>
      <c r="J15" s="68"/>
      <c r="K15" s="68">
        <v>4.3099999999999996</v>
      </c>
      <c r="L15" s="68"/>
      <c r="M15" s="68">
        <v>4.37</v>
      </c>
      <c r="N15" s="68"/>
      <c r="O15" s="69">
        <v>4.3899999999999997</v>
      </c>
    </row>
    <row r="16" spans="1:15" x14ac:dyDescent="0.25">
      <c r="A16" s="67" t="s">
        <v>43</v>
      </c>
      <c r="B16" s="68">
        <v>6.43</v>
      </c>
      <c r="C16" s="68">
        <v>4.5</v>
      </c>
      <c r="D16" s="68"/>
      <c r="E16" s="68">
        <v>4.3099999999999996</v>
      </c>
      <c r="F16" s="68"/>
      <c r="G16" s="68">
        <v>4.28</v>
      </c>
      <c r="H16" s="68"/>
      <c r="I16" s="68">
        <v>4.25</v>
      </c>
      <c r="J16" s="68"/>
      <c r="K16" s="68">
        <v>4.41</v>
      </c>
      <c r="L16" s="68"/>
      <c r="M16" s="68">
        <v>4.5199999999999996</v>
      </c>
      <c r="N16" s="68"/>
      <c r="O16" s="69">
        <v>4.8899999999999997</v>
      </c>
    </row>
    <row r="17" spans="1:16" ht="15.75" thickBot="1" x14ac:dyDescent="0.3">
      <c r="A17" s="7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</row>
    <row r="18" spans="1:16" ht="15.75" thickBot="1" x14ac:dyDescent="0.3"/>
    <row r="19" spans="1:16" x14ac:dyDescent="0.25">
      <c r="A19" s="34" t="s">
        <v>44</v>
      </c>
      <c r="B19" s="71">
        <v>0</v>
      </c>
      <c r="C19" s="71">
        <v>1</v>
      </c>
      <c r="D19" s="71">
        <v>1.0001</v>
      </c>
      <c r="E19" s="71">
        <v>2</v>
      </c>
      <c r="F19" s="71">
        <v>2.0001000000000002</v>
      </c>
      <c r="G19" s="71">
        <v>3</v>
      </c>
      <c r="H19" s="71">
        <v>3.0001000000000002</v>
      </c>
      <c r="I19" s="71">
        <v>4</v>
      </c>
      <c r="J19" s="71">
        <v>4.0000999999999998</v>
      </c>
      <c r="K19" s="71">
        <v>5</v>
      </c>
      <c r="L19" s="71">
        <v>5.0000999999999998</v>
      </c>
      <c r="M19" s="71">
        <v>6</v>
      </c>
      <c r="N19" s="72">
        <v>6.0000999999999998</v>
      </c>
      <c r="O19" s="14"/>
      <c r="P19" s="62" t="s">
        <v>131</v>
      </c>
    </row>
    <row r="20" spans="1:16" x14ac:dyDescent="0.25">
      <c r="A20" s="37" t="s">
        <v>15</v>
      </c>
      <c r="B20" s="29">
        <f>AVERAGE(B3:B4)</f>
        <v>6.67</v>
      </c>
      <c r="C20" s="29">
        <f t="shared" ref="C20:G20" si="0">AVERAGE(C3:C4)</f>
        <v>4.8149999999999995</v>
      </c>
      <c r="D20" s="29" t="e">
        <v>#N/A</v>
      </c>
      <c r="E20" s="29">
        <f t="shared" si="0"/>
        <v>4.72</v>
      </c>
      <c r="F20" s="29" t="e">
        <v>#N/A</v>
      </c>
      <c r="G20" s="29">
        <f t="shared" si="0"/>
        <v>4.6150000000000002</v>
      </c>
      <c r="H20" s="29" t="e">
        <v>#N/A</v>
      </c>
      <c r="I20" s="29">
        <f>AVERAGE(I3:I4)</f>
        <v>4.5350000000000001</v>
      </c>
      <c r="J20" s="29" t="e">
        <v>#N/A</v>
      </c>
      <c r="K20" s="29">
        <f>AVERAGE(K3:K4)</f>
        <v>4.7050000000000001</v>
      </c>
      <c r="L20" s="29" t="e">
        <v>#N/A</v>
      </c>
      <c r="M20" s="29">
        <f>AVERAGE(M3:M4)</f>
        <v>4.8049999999999997</v>
      </c>
      <c r="N20" s="38" t="e">
        <v>#N/A</v>
      </c>
      <c r="P20" s="63">
        <f>AVERAGE(I20,K20,M20)</f>
        <v>4.6816666666666666</v>
      </c>
    </row>
    <row r="21" spans="1:16" x14ac:dyDescent="0.25">
      <c r="A21" s="37" t="s">
        <v>120</v>
      </c>
      <c r="B21" s="29">
        <f>AVERAGE(B5:B6)</f>
        <v>6.7149999999999999</v>
      </c>
      <c r="C21" s="29">
        <f>AVERAGE(C5:C6)</f>
        <v>4.58</v>
      </c>
      <c r="D21" s="29">
        <f t="shared" ref="D21:H21" si="1">AVERAGE(D5:D6)</f>
        <v>4.7649999999999997</v>
      </c>
      <c r="E21" s="29">
        <f t="shared" si="1"/>
        <v>4.4350000000000005</v>
      </c>
      <c r="F21" s="29">
        <f t="shared" si="1"/>
        <v>4.6749999999999998</v>
      </c>
      <c r="G21" s="29">
        <f t="shared" si="1"/>
        <v>4.49</v>
      </c>
      <c r="H21" s="29">
        <f t="shared" si="1"/>
        <v>4.59</v>
      </c>
      <c r="I21" s="29">
        <f>AVERAGE(I5:I6)</f>
        <v>4.49</v>
      </c>
      <c r="J21" s="29" t="e">
        <v>#N/A</v>
      </c>
      <c r="K21" s="29">
        <f>AVERAGE(K5:K6)</f>
        <v>4.625</v>
      </c>
      <c r="L21" s="29" t="e">
        <v>#N/A</v>
      </c>
      <c r="M21" s="29">
        <f>AVERAGE(M5:M6)</f>
        <v>4.68</v>
      </c>
      <c r="N21" s="38" t="e">
        <v>#N/A</v>
      </c>
      <c r="P21" s="63">
        <f>AVERAGE(I21,K21,M21)</f>
        <v>4.5983333333333336</v>
      </c>
    </row>
    <row r="22" spans="1:16" x14ac:dyDescent="0.25">
      <c r="A22" s="37" t="s">
        <v>16</v>
      </c>
      <c r="B22" s="29">
        <f>AVERAGE(B7:B8)</f>
        <v>6.7149999999999999</v>
      </c>
      <c r="C22" s="29">
        <f t="shared" ref="C22:G22" si="2">AVERAGE(C7:C8)</f>
        <v>5.0549999999999997</v>
      </c>
      <c r="D22" s="29" t="e">
        <v>#N/A</v>
      </c>
      <c r="E22" s="29">
        <f t="shared" si="2"/>
        <v>5.6749999999999998</v>
      </c>
      <c r="F22" s="29" t="e">
        <v>#N/A</v>
      </c>
      <c r="G22" s="29">
        <f t="shared" si="2"/>
        <v>6.07</v>
      </c>
      <c r="H22" s="29" t="e">
        <v>#N/A</v>
      </c>
      <c r="I22" s="29">
        <f t="shared" ref="I22" si="3">AVERAGE(I7:I8)</f>
        <v>6.1899999999999995</v>
      </c>
      <c r="J22" s="29" t="e">
        <v>#N/A</v>
      </c>
      <c r="K22" s="29">
        <f t="shared" ref="K22" si="4">AVERAGE(K7:K8)</f>
        <v>6.83</v>
      </c>
      <c r="L22" s="29" t="e">
        <v>#N/A</v>
      </c>
      <c r="M22" s="29">
        <f>AVERAGE(M7:M8)</f>
        <v>7.0600000000000005</v>
      </c>
      <c r="N22" s="38" t="e">
        <v>#N/A</v>
      </c>
      <c r="P22" s="63">
        <f>AVERAGE(I22,K22,M22)</f>
        <v>6.6933333333333325</v>
      </c>
    </row>
    <row r="23" spans="1:16" x14ac:dyDescent="0.25">
      <c r="A23" s="37" t="s">
        <v>121</v>
      </c>
      <c r="B23" s="29">
        <f>AVERAGE(B9:B10)</f>
        <v>6.6400000000000006</v>
      </c>
      <c r="C23" s="29">
        <f t="shared" ref="C23:H23" si="5">AVERAGE(C9:C10)</f>
        <v>4.5549999999999997</v>
      </c>
      <c r="D23" s="29">
        <f t="shared" si="5"/>
        <v>5.0049999999999999</v>
      </c>
      <c r="E23" s="29">
        <f t="shared" si="5"/>
        <v>4.5350000000000001</v>
      </c>
      <c r="F23" s="29">
        <f t="shared" si="5"/>
        <v>5.625</v>
      </c>
      <c r="G23" s="29">
        <f t="shared" si="5"/>
        <v>5.085</v>
      </c>
      <c r="H23" s="29">
        <f t="shared" si="5"/>
        <v>6.5449999999999999</v>
      </c>
      <c r="I23" s="29">
        <f t="shared" ref="I23:J23" si="6">AVERAGE(I9:I10)</f>
        <v>6.1950000000000003</v>
      </c>
      <c r="J23" s="29">
        <f t="shared" si="6"/>
        <v>6.59</v>
      </c>
      <c r="K23" s="29">
        <f t="shared" ref="K23:M23" si="7">AVERAGE(K9:K10)</f>
        <v>6.9350000000000005</v>
      </c>
      <c r="L23" s="29" t="e">
        <v>#N/A</v>
      </c>
      <c r="M23" s="29">
        <f t="shared" si="7"/>
        <v>6.9399999999999995</v>
      </c>
      <c r="N23" s="38" t="e">
        <v>#N/A</v>
      </c>
      <c r="P23" s="63">
        <f>AVERAGE(I23,K23,M23,J23)</f>
        <v>6.665</v>
      </c>
    </row>
    <row r="24" spans="1:16" x14ac:dyDescent="0.25">
      <c r="A24" s="37" t="s">
        <v>17</v>
      </c>
      <c r="B24" s="29">
        <f>AVERAGE(B11:B12)</f>
        <v>6.7549999999999999</v>
      </c>
      <c r="C24" s="29">
        <f t="shared" ref="C24:G24" si="8">AVERAGE(C11:C12)</f>
        <v>5.2550000000000008</v>
      </c>
      <c r="D24" s="29" t="e">
        <v>#N/A</v>
      </c>
      <c r="E24" s="29">
        <f t="shared" si="8"/>
        <v>6.1899999999999995</v>
      </c>
      <c r="F24" s="29" t="e">
        <v>#N/A</v>
      </c>
      <c r="G24" s="29">
        <f t="shared" si="8"/>
        <v>6.42</v>
      </c>
      <c r="H24" s="29" t="e">
        <v>#N/A</v>
      </c>
      <c r="I24" s="29">
        <f t="shared" ref="I24" si="9">AVERAGE(I11:I12)</f>
        <v>6.6150000000000002</v>
      </c>
      <c r="J24" s="29" t="e">
        <v>#N/A</v>
      </c>
      <c r="K24" s="29">
        <f t="shared" ref="K24:M24" si="10">AVERAGE(K11:K12)</f>
        <v>6.915</v>
      </c>
      <c r="L24" s="29" t="e">
        <v>#N/A</v>
      </c>
      <c r="M24" s="29">
        <f t="shared" si="10"/>
        <v>7.08</v>
      </c>
      <c r="N24" s="38" t="e">
        <v>#N/A</v>
      </c>
      <c r="P24" s="63">
        <f>AVERAGE(I24,K24,M24)</f>
        <v>6.87</v>
      </c>
    </row>
    <row r="25" spans="1:16" x14ac:dyDescent="0.25">
      <c r="A25" s="37" t="s">
        <v>122</v>
      </c>
      <c r="B25" s="29">
        <f>AVERAGE(B13:B14)</f>
        <v>6.5749999999999993</v>
      </c>
      <c r="C25" s="29">
        <f t="shared" ref="C25:H25" si="11">AVERAGE(C13:C14)</f>
        <v>4.5600000000000005</v>
      </c>
      <c r="D25" s="29">
        <f t="shared" si="11"/>
        <v>5.2249999999999996</v>
      </c>
      <c r="E25" s="29">
        <f t="shared" si="11"/>
        <v>4.6150000000000002</v>
      </c>
      <c r="F25" s="29">
        <f t="shared" si="11"/>
        <v>6.1950000000000003</v>
      </c>
      <c r="G25" s="29">
        <f t="shared" si="11"/>
        <v>5.2349999999999994</v>
      </c>
      <c r="H25" s="29">
        <f t="shared" si="11"/>
        <v>7.9049999999999994</v>
      </c>
      <c r="I25" s="29">
        <f t="shared" ref="I25:J25" si="12">AVERAGE(I13:I14)</f>
        <v>6.4849999999999994</v>
      </c>
      <c r="J25" s="29">
        <f t="shared" si="12"/>
        <v>7.85</v>
      </c>
      <c r="K25" s="29">
        <f t="shared" ref="K25:L25" si="13">AVERAGE(K13:K14)</f>
        <v>6.19</v>
      </c>
      <c r="L25" s="29">
        <f t="shared" si="13"/>
        <v>8.4450000000000003</v>
      </c>
      <c r="M25" s="29">
        <f t="shared" ref="M25" si="14">AVERAGE(M13:M14)</f>
        <v>6.83</v>
      </c>
      <c r="N25" s="38">
        <f>AVERAGE(N13:N14)</f>
        <v>8.1000000000000014</v>
      </c>
      <c r="P25" s="63">
        <f>AVERAGE(AVERAGE(I25,J25),AVERAGE(K25,L25),AVERAGE(M25,N25))</f>
        <v>7.3166666666666664</v>
      </c>
    </row>
    <row r="26" spans="1:16" ht="15.75" thickBot="1" x14ac:dyDescent="0.3">
      <c r="A26" s="39" t="s">
        <v>45</v>
      </c>
      <c r="B26" s="40">
        <f>AVERAGE(B15:B16)</f>
        <v>6.4450000000000003</v>
      </c>
      <c r="C26" s="40">
        <f t="shared" ref="C26:G26" si="15">AVERAGE(C15:C16)</f>
        <v>4.5250000000000004</v>
      </c>
      <c r="D26" s="40" t="e">
        <v>#N/A</v>
      </c>
      <c r="E26" s="40">
        <f t="shared" si="15"/>
        <v>4.3149999999999995</v>
      </c>
      <c r="F26" s="40" t="e">
        <v>#N/A</v>
      </c>
      <c r="G26" s="40">
        <f t="shared" si="15"/>
        <v>4.2699999999999996</v>
      </c>
      <c r="H26" s="40" t="e">
        <v>#N/A</v>
      </c>
      <c r="I26" s="40">
        <f>AVERAGE(I15:I16)</f>
        <v>4.2149999999999999</v>
      </c>
      <c r="J26" s="40" t="e">
        <v>#N/A</v>
      </c>
      <c r="K26" s="40">
        <f>AVERAGE(K15:K16)</f>
        <v>4.3599999999999994</v>
      </c>
      <c r="L26" s="40" t="e">
        <v>#N/A</v>
      </c>
      <c r="M26" s="40">
        <f>AVERAGE(M15:M16)</f>
        <v>4.4450000000000003</v>
      </c>
      <c r="N26" s="41" t="e">
        <v>#N/A</v>
      </c>
      <c r="P26" s="63">
        <f t="shared" ref="P26" si="16">AVERAGE(I26,K26,M26)</f>
        <v>4.34</v>
      </c>
    </row>
    <row r="27" spans="1:16" ht="15.75" thickBot="1" x14ac:dyDescent="0.3"/>
    <row r="28" spans="1:16" x14ac:dyDescent="0.25">
      <c r="A28" s="34" t="s">
        <v>135</v>
      </c>
      <c r="B28" s="71">
        <v>0</v>
      </c>
      <c r="C28" s="71">
        <v>1</v>
      </c>
      <c r="D28" s="71">
        <v>1.0001</v>
      </c>
      <c r="E28" s="71">
        <v>2</v>
      </c>
      <c r="F28" s="71">
        <v>2.0001000000000002</v>
      </c>
      <c r="G28" s="71">
        <v>3</v>
      </c>
      <c r="H28" s="71">
        <v>3.0001000000000002</v>
      </c>
      <c r="I28" s="71">
        <v>4</v>
      </c>
      <c r="J28" s="71">
        <v>4.0000999999999998</v>
      </c>
      <c r="K28" s="71">
        <v>5</v>
      </c>
      <c r="L28" s="71">
        <v>5.0000999999999998</v>
      </c>
      <c r="M28" s="71">
        <v>6</v>
      </c>
      <c r="N28" s="72">
        <v>6.0000999999999998</v>
      </c>
      <c r="O28" s="14"/>
    </row>
    <row r="29" spans="1:16" x14ac:dyDescent="0.25">
      <c r="A29" s="37" t="s">
        <v>15</v>
      </c>
      <c r="B29" s="29">
        <f>_xlfn.STDEV.P(B3:B4)</f>
        <v>9.9999999999997868E-3</v>
      </c>
      <c r="C29" s="29">
        <f t="shared" ref="C29:N29" si="17">_xlfn.STDEV.P(C3:C4)</f>
        <v>3.4999999999999698E-2</v>
      </c>
      <c r="D29" s="29" t="e">
        <f t="shared" si="17"/>
        <v>#DIV/0!</v>
      </c>
      <c r="E29" s="29">
        <f t="shared" si="17"/>
        <v>4.0000000000000036E-2</v>
      </c>
      <c r="F29" s="29" t="e">
        <f t="shared" si="17"/>
        <v>#DIV/0!</v>
      </c>
      <c r="G29" s="29">
        <f t="shared" si="17"/>
        <v>4.4999999999999929E-2</v>
      </c>
      <c r="H29" s="29" t="e">
        <f t="shared" si="17"/>
        <v>#DIV/0!</v>
      </c>
      <c r="I29" s="29">
        <f t="shared" si="17"/>
        <v>4.4999999999999929E-2</v>
      </c>
      <c r="J29" s="29" t="e">
        <f t="shared" si="17"/>
        <v>#DIV/0!</v>
      </c>
      <c r="K29" s="29">
        <f t="shared" si="17"/>
        <v>4.4999999999999929E-2</v>
      </c>
      <c r="L29" s="29" t="e">
        <f t="shared" si="17"/>
        <v>#DIV/0!</v>
      </c>
      <c r="M29" s="29">
        <f t="shared" si="17"/>
        <v>3.5000000000000142E-2</v>
      </c>
      <c r="N29" s="38" t="e">
        <f t="shared" si="17"/>
        <v>#DIV/0!</v>
      </c>
    </row>
    <row r="30" spans="1:16" x14ac:dyDescent="0.25">
      <c r="A30" s="37" t="s">
        <v>120</v>
      </c>
      <c r="B30" s="29">
        <f>_xlfn.STDEV.P(B5:B6)</f>
        <v>3.5000000000000142E-2</v>
      </c>
      <c r="C30" s="29">
        <f t="shared" ref="C30:N30" si="18">_xlfn.STDEV.P(C5:C6)</f>
        <v>9.9999999999997868E-3</v>
      </c>
      <c r="D30" s="29">
        <f t="shared" si="18"/>
        <v>4.9999999999998934E-3</v>
      </c>
      <c r="E30" s="29">
        <f t="shared" si="18"/>
        <v>5.0000000000003375E-3</v>
      </c>
      <c r="F30" s="29">
        <f t="shared" si="18"/>
        <v>4.9999999999998934E-3</v>
      </c>
      <c r="G30" s="29">
        <f t="shared" si="18"/>
        <v>9.9999999999997868E-3</v>
      </c>
      <c r="H30" s="29">
        <f t="shared" si="18"/>
        <v>0</v>
      </c>
      <c r="I30" s="29">
        <f t="shared" si="18"/>
        <v>2.0000000000000018E-2</v>
      </c>
      <c r="J30" s="29" t="e">
        <f t="shared" si="18"/>
        <v>#DIV/0!</v>
      </c>
      <c r="K30" s="29">
        <f t="shared" si="18"/>
        <v>1.499999999999968E-2</v>
      </c>
      <c r="L30" s="29" t="e">
        <f t="shared" si="18"/>
        <v>#DIV/0!</v>
      </c>
      <c r="M30" s="29">
        <f t="shared" si="18"/>
        <v>2.9999999999999805E-2</v>
      </c>
      <c r="N30" s="38" t="e">
        <f t="shared" si="18"/>
        <v>#DIV/0!</v>
      </c>
    </row>
    <row r="31" spans="1:16" x14ac:dyDescent="0.25">
      <c r="A31" s="37" t="s">
        <v>16</v>
      </c>
      <c r="B31" s="29">
        <f>_xlfn.STDEV.P(B7:B8)</f>
        <v>4.9999999999998934E-3</v>
      </c>
      <c r="C31" s="29">
        <f t="shared" ref="C31:N31" si="19">_xlfn.STDEV.P(C7:C8)</f>
        <v>8.4999999999999964E-2</v>
      </c>
      <c r="D31" s="29" t="e">
        <f t="shared" si="19"/>
        <v>#DIV/0!</v>
      </c>
      <c r="E31" s="29">
        <f t="shared" si="19"/>
        <v>0.46499999999999986</v>
      </c>
      <c r="F31" s="29" t="e">
        <f t="shared" si="19"/>
        <v>#DIV/0!</v>
      </c>
      <c r="G31" s="29">
        <f t="shared" si="19"/>
        <v>0.76999999999999547</v>
      </c>
      <c r="H31" s="29" t="e">
        <f t="shared" si="19"/>
        <v>#DIV/0!</v>
      </c>
      <c r="I31" s="29">
        <f t="shared" si="19"/>
        <v>0.65000000000000502</v>
      </c>
      <c r="J31" s="29" t="e">
        <f t="shared" si="19"/>
        <v>#DIV/0!</v>
      </c>
      <c r="K31" s="29">
        <f t="shared" si="19"/>
        <v>0.27</v>
      </c>
      <c r="L31" s="29" t="e">
        <f t="shared" si="19"/>
        <v>#DIV/0!</v>
      </c>
      <c r="M31" s="29">
        <f t="shared" si="19"/>
        <v>0.14000000000000012</v>
      </c>
      <c r="N31" s="38" t="e">
        <f t="shared" si="19"/>
        <v>#DIV/0!</v>
      </c>
    </row>
    <row r="32" spans="1:16" x14ac:dyDescent="0.25">
      <c r="A32" s="37" t="s">
        <v>121</v>
      </c>
      <c r="B32" s="29">
        <f>_xlfn.STDEV.P(B9:B10)</f>
        <v>2.9999999999999805E-2</v>
      </c>
      <c r="C32" s="29">
        <f t="shared" ref="C32:N32" si="20">_xlfn.STDEV.P(C9:C10)</f>
        <v>4.4999999999999929E-2</v>
      </c>
      <c r="D32" s="29">
        <f t="shared" si="20"/>
        <v>1.499999999999968E-2</v>
      </c>
      <c r="E32" s="29">
        <f t="shared" si="20"/>
        <v>1.5000000000000124E-2</v>
      </c>
      <c r="F32" s="29">
        <f t="shared" si="20"/>
        <v>1.499999999999968E-2</v>
      </c>
      <c r="G32" s="29">
        <f t="shared" si="20"/>
        <v>8.4999999999999964E-2</v>
      </c>
      <c r="H32" s="29">
        <f t="shared" si="20"/>
        <v>5.4999999999999716E-2</v>
      </c>
      <c r="I32" s="29">
        <f t="shared" si="20"/>
        <v>0.38500000000000023</v>
      </c>
      <c r="J32" s="29">
        <f t="shared" si="20"/>
        <v>0</v>
      </c>
      <c r="K32" s="29">
        <f t="shared" si="20"/>
        <v>1.5000000000000124E-2</v>
      </c>
      <c r="L32" s="29" t="e">
        <f t="shared" si="20"/>
        <v>#DIV/0!</v>
      </c>
      <c r="M32" s="29">
        <f t="shared" si="20"/>
        <v>2.0000000000000018E-2</v>
      </c>
      <c r="N32" s="38" t="e">
        <f t="shared" si="20"/>
        <v>#DIV/0!</v>
      </c>
    </row>
    <row r="33" spans="1:14" x14ac:dyDescent="0.25">
      <c r="A33" s="37" t="s">
        <v>17</v>
      </c>
      <c r="B33" s="29">
        <f>_xlfn.STDEV.P(B11:B12)</f>
        <v>7.5000000000000178E-2</v>
      </c>
      <c r="C33" s="29">
        <f t="shared" ref="C33:N33" si="21">_xlfn.STDEV.P(C11:C12)</f>
        <v>0.22500000000000009</v>
      </c>
      <c r="D33" s="29" t="e">
        <f t="shared" si="21"/>
        <v>#DIV/0!</v>
      </c>
      <c r="E33" s="29">
        <f t="shared" si="21"/>
        <v>0.99000000000000365</v>
      </c>
      <c r="F33" s="29" t="e">
        <f t="shared" si="21"/>
        <v>#DIV/0!</v>
      </c>
      <c r="G33" s="29">
        <f t="shared" si="21"/>
        <v>1.1499999999999992</v>
      </c>
      <c r="H33" s="29" t="e">
        <f t="shared" si="21"/>
        <v>#DIV/0!</v>
      </c>
      <c r="I33" s="29">
        <f t="shared" si="21"/>
        <v>1.2649999999999979</v>
      </c>
      <c r="J33" s="29" t="e">
        <f t="shared" si="21"/>
        <v>#DIV/0!</v>
      </c>
      <c r="K33" s="29">
        <f t="shared" si="21"/>
        <v>1.2649999999999979</v>
      </c>
      <c r="L33" s="29" t="e">
        <f t="shared" si="21"/>
        <v>#DIV/0!</v>
      </c>
      <c r="M33" s="29">
        <f t="shared" si="21"/>
        <v>1.0599999999999983</v>
      </c>
      <c r="N33" s="38" t="e">
        <f t="shared" si="21"/>
        <v>#DIV/0!</v>
      </c>
    </row>
    <row r="34" spans="1:14" x14ac:dyDescent="0.25">
      <c r="A34" s="37" t="s">
        <v>122</v>
      </c>
      <c r="B34" s="29">
        <f>_xlfn.STDEV.P(B13:B14)</f>
        <v>5.500000000000016E-2</v>
      </c>
      <c r="C34" s="29">
        <f t="shared" ref="C34:N34" si="22">_xlfn.STDEV.P(C13:C14)</f>
        <v>1.0000000000000231E-2</v>
      </c>
      <c r="D34" s="29">
        <f t="shared" si="22"/>
        <v>5.0000000000003375E-3</v>
      </c>
      <c r="E34" s="29">
        <f t="shared" si="22"/>
        <v>3.5000000000000142E-2</v>
      </c>
      <c r="F34" s="29">
        <f t="shared" si="22"/>
        <v>4.9999999999998934E-3</v>
      </c>
      <c r="G34" s="29">
        <f t="shared" si="22"/>
        <v>2.4999999999999911E-2</v>
      </c>
      <c r="H34" s="29">
        <f t="shared" si="22"/>
        <v>6.4999999999999947E-2</v>
      </c>
      <c r="I34" s="29">
        <f t="shared" si="22"/>
        <v>3.4999999999999698E-2</v>
      </c>
      <c r="J34" s="29">
        <f t="shared" si="22"/>
        <v>2.9999999999999805E-2</v>
      </c>
      <c r="K34" s="29">
        <f t="shared" si="22"/>
        <v>0</v>
      </c>
      <c r="L34" s="29">
        <f t="shared" si="22"/>
        <v>4.9999999999998934E-3</v>
      </c>
      <c r="M34" s="29">
        <f t="shared" si="22"/>
        <v>0</v>
      </c>
      <c r="N34" s="38">
        <f t="shared" si="22"/>
        <v>4.0000000000000036E-2</v>
      </c>
    </row>
    <row r="35" spans="1:14" ht="15.75" thickBot="1" x14ac:dyDescent="0.3">
      <c r="A35" s="39" t="s">
        <v>45</v>
      </c>
      <c r="B35" s="40">
        <f>_xlfn.STDEV.P(B15:B16)</f>
        <v>1.5000000000000124E-2</v>
      </c>
      <c r="C35" s="40">
        <f t="shared" ref="C35:N35" si="23">_xlfn.STDEV.P(C15:C16)</f>
        <v>2.4999999999999911E-2</v>
      </c>
      <c r="D35" s="40" t="e">
        <f t="shared" si="23"/>
        <v>#DIV/0!</v>
      </c>
      <c r="E35" s="40">
        <f t="shared" si="23"/>
        <v>5.0000000000003375E-3</v>
      </c>
      <c r="F35" s="40" t="e">
        <f t="shared" si="23"/>
        <v>#DIV/0!</v>
      </c>
      <c r="G35" s="40">
        <f t="shared" si="23"/>
        <v>1.0000000000000231E-2</v>
      </c>
      <c r="H35" s="40" t="e">
        <f t="shared" si="23"/>
        <v>#DIV/0!</v>
      </c>
      <c r="I35" s="40">
        <f t="shared" si="23"/>
        <v>3.5000000000000142E-2</v>
      </c>
      <c r="J35" s="40" t="e">
        <f t="shared" si="23"/>
        <v>#DIV/0!</v>
      </c>
      <c r="K35" s="40">
        <f t="shared" si="23"/>
        <v>5.0000000000000266E-2</v>
      </c>
      <c r="L35" s="40" t="e">
        <f t="shared" si="23"/>
        <v>#DIV/0!</v>
      </c>
      <c r="M35" s="40">
        <f t="shared" si="23"/>
        <v>7.4999999999999734E-2</v>
      </c>
      <c r="N35" s="41" t="e">
        <f t="shared" si="23"/>
        <v>#DIV/0!</v>
      </c>
    </row>
  </sheetData>
  <pageMargins left="0.7" right="0.7" top="0.75" bottom="0.75" header="0.3" footer="0.3"/>
  <headerFooter>
    <oddHeader>&amp;R&amp;"Calibri"&amp;10&amp;K000000 PUBLIC / CYHOEDDUS&amp;1#_x000D_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workbookViewId="0">
      <selection activeCell="H17" sqref="H17"/>
    </sheetView>
  </sheetViews>
  <sheetFormatPr defaultRowHeight="15" x14ac:dyDescent="0.25"/>
  <cols>
    <col min="3" max="3" width="12.140625" customWidth="1"/>
    <col min="4" max="4" width="17" customWidth="1"/>
    <col min="5" max="5" width="12.7109375" customWidth="1"/>
    <col min="7" max="7" width="12.28515625" customWidth="1"/>
    <col min="8" max="8" width="15.85546875" customWidth="1"/>
    <col min="9" max="9" width="11.5703125" customWidth="1"/>
    <col min="12" max="12" width="13" customWidth="1"/>
    <col min="13" max="13" width="16.5703125" customWidth="1"/>
  </cols>
  <sheetData>
    <row r="1" spans="1:13" x14ac:dyDescent="0.25">
      <c r="A1" s="3"/>
      <c r="E1" s="3" t="s">
        <v>72</v>
      </c>
      <c r="F1" s="18">
        <v>0.98839999999999995</v>
      </c>
      <c r="K1" s="4" t="s">
        <v>124</v>
      </c>
      <c r="L1" s="4" t="s">
        <v>83</v>
      </c>
    </row>
    <row r="2" spans="1:13" x14ac:dyDescent="0.25">
      <c r="C2" t="s">
        <v>73</v>
      </c>
      <c r="E2" s="3" t="s">
        <v>74</v>
      </c>
      <c r="F2" s="3">
        <v>1.052</v>
      </c>
      <c r="K2" s="4" t="s">
        <v>85</v>
      </c>
      <c r="L2" s="4" t="s">
        <v>137</v>
      </c>
    </row>
    <row r="3" spans="1:13" x14ac:dyDescent="0.25">
      <c r="A3" t="s">
        <v>75</v>
      </c>
      <c r="B3" t="s">
        <v>76</v>
      </c>
      <c r="C3" t="s">
        <v>77</v>
      </c>
      <c r="D3" t="s">
        <v>78</v>
      </c>
      <c r="E3" t="s">
        <v>79</v>
      </c>
      <c r="F3" t="s">
        <v>80</v>
      </c>
      <c r="G3" t="s">
        <v>81</v>
      </c>
      <c r="K3" s="1" t="s">
        <v>86</v>
      </c>
      <c r="L3" s="2">
        <f>AVERAGE(D7:D8)</f>
        <v>463.55959999999993</v>
      </c>
    </row>
    <row r="4" spans="1:13" x14ac:dyDescent="0.25">
      <c r="A4" t="s">
        <v>82</v>
      </c>
      <c r="B4">
        <v>30</v>
      </c>
      <c r="C4">
        <v>0.01</v>
      </c>
      <c r="D4">
        <f>(C4-$C$4)*14*0.25*$F$1*1000/B4</f>
        <v>0</v>
      </c>
      <c r="E4">
        <f t="shared" ref="E4:E14" si="0">D4/14*18</f>
        <v>0</v>
      </c>
      <c r="F4" s="19">
        <f>E4/1000</f>
        <v>0</v>
      </c>
      <c r="K4" s="1" t="s">
        <v>88</v>
      </c>
      <c r="L4" s="2">
        <f>AVERAGE(D9:D10)</f>
        <v>2082.5587999999998</v>
      </c>
    </row>
    <row r="5" spans="1:13" x14ac:dyDescent="0.25">
      <c r="A5" t="s">
        <v>84</v>
      </c>
      <c r="B5">
        <v>10</v>
      </c>
      <c r="C5">
        <v>2.86</v>
      </c>
      <c r="D5">
        <f>(C5-$C$4)*14*0.25*$F$1*1000/B5</f>
        <v>985.92899999999986</v>
      </c>
      <c r="E5">
        <f t="shared" si="0"/>
        <v>1267.6229999999998</v>
      </c>
      <c r="F5" s="19">
        <f t="shared" ref="F5:F14" si="1">E5/1000</f>
        <v>1.2676229999999997</v>
      </c>
      <c r="G5" s="20">
        <f>($F$2*1000-D5)/($F$2*1000)</f>
        <v>6.2805133079848044E-2</v>
      </c>
      <c r="H5" s="81">
        <f>AVERAGE(G5:G6)</f>
        <v>5.4584125475285239E-2</v>
      </c>
      <c r="K5" s="1" t="s">
        <v>90</v>
      </c>
      <c r="L5" s="2">
        <f>AVERAGE(D11:D12)</f>
        <v>3819.1775999999995</v>
      </c>
    </row>
    <row r="6" spans="1:13" x14ac:dyDescent="0.25">
      <c r="A6" t="s">
        <v>84</v>
      </c>
      <c r="B6">
        <v>10</v>
      </c>
      <c r="C6">
        <v>2.91</v>
      </c>
      <c r="D6">
        <f>(C6-$C$4)*14*0.25*$F$1*1000/B6</f>
        <v>1003.226</v>
      </c>
      <c r="E6">
        <f t="shared" si="0"/>
        <v>1289.8620000000001</v>
      </c>
      <c r="F6" s="19">
        <f t="shared" si="1"/>
        <v>1.2898620000000001</v>
      </c>
      <c r="G6" s="20">
        <f>($F$2*1000-D6)/($F$2*1000)</f>
        <v>4.6363117870722434E-2</v>
      </c>
      <c r="H6" s="81"/>
      <c r="K6" s="1" t="s">
        <v>45</v>
      </c>
      <c r="L6" s="2">
        <f>AVERAGE(D13:D14)</f>
        <v>76.106799999999993</v>
      </c>
    </row>
    <row r="7" spans="1:13" x14ac:dyDescent="0.25">
      <c r="A7" t="s">
        <v>87</v>
      </c>
      <c r="B7">
        <v>2.5</v>
      </c>
      <c r="C7">
        <v>0.34</v>
      </c>
      <c r="D7">
        <f t="shared" ref="D7:D14" si="2">(C7-$C$4)*14*0.25*$F$1*1000/B7</f>
        <v>456.64080000000001</v>
      </c>
      <c r="E7">
        <f t="shared" si="0"/>
        <v>587.10960000000011</v>
      </c>
      <c r="F7" s="19">
        <f t="shared" si="1"/>
        <v>0.58710960000000012</v>
      </c>
      <c r="L7" s="19"/>
    </row>
    <row r="8" spans="1:13" x14ac:dyDescent="0.25">
      <c r="A8" t="s">
        <v>89</v>
      </c>
      <c r="B8">
        <v>2.5</v>
      </c>
      <c r="C8">
        <v>0.35</v>
      </c>
      <c r="D8">
        <f t="shared" si="2"/>
        <v>470.47839999999985</v>
      </c>
      <c r="E8">
        <f t="shared" si="0"/>
        <v>604.90079999999978</v>
      </c>
      <c r="F8" s="19">
        <f t="shared" si="1"/>
        <v>0.60490079999999979</v>
      </c>
      <c r="K8" t="s">
        <v>93</v>
      </c>
    </row>
    <row r="9" spans="1:13" x14ac:dyDescent="0.25">
      <c r="A9" t="s">
        <v>91</v>
      </c>
      <c r="B9">
        <v>2.5</v>
      </c>
      <c r="C9">
        <v>1.63</v>
      </c>
      <c r="D9">
        <f t="shared" si="2"/>
        <v>2241.6912000000002</v>
      </c>
      <c r="E9">
        <f t="shared" si="0"/>
        <v>2882.1743999999999</v>
      </c>
      <c r="F9" s="19">
        <f t="shared" si="1"/>
        <v>2.8821743999999998</v>
      </c>
      <c r="G9" t="s">
        <v>93</v>
      </c>
      <c r="K9" s="55" t="s">
        <v>124</v>
      </c>
      <c r="L9" s="55" t="s">
        <v>83</v>
      </c>
    </row>
    <row r="10" spans="1:13" x14ac:dyDescent="0.25">
      <c r="A10" t="s">
        <v>92</v>
      </c>
      <c r="B10">
        <v>2.5</v>
      </c>
      <c r="C10">
        <v>1.4</v>
      </c>
      <c r="D10">
        <f t="shared" si="2"/>
        <v>1923.4263999999996</v>
      </c>
      <c r="E10">
        <f t="shared" si="0"/>
        <v>2472.9767999999995</v>
      </c>
      <c r="F10" s="19">
        <f t="shared" si="1"/>
        <v>2.4729767999999996</v>
      </c>
      <c r="G10" t="s">
        <v>125</v>
      </c>
      <c r="H10" s="60" t="s">
        <v>119</v>
      </c>
      <c r="K10" s="55" t="s">
        <v>85</v>
      </c>
      <c r="L10" s="55" t="s">
        <v>137</v>
      </c>
      <c r="M10" s="58" t="s">
        <v>119</v>
      </c>
    </row>
    <row r="11" spans="1:13" x14ac:dyDescent="0.25">
      <c r="A11" t="s">
        <v>94</v>
      </c>
      <c r="B11">
        <v>2.5</v>
      </c>
      <c r="C11">
        <v>3.87</v>
      </c>
      <c r="D11">
        <f t="shared" si="2"/>
        <v>5341.3135999999995</v>
      </c>
      <c r="E11">
        <f t="shared" si="0"/>
        <v>6867.4031999999988</v>
      </c>
      <c r="F11" s="19">
        <f t="shared" si="1"/>
        <v>6.8674031999999992</v>
      </c>
      <c r="G11" s="25">
        <f>D11+D11*$H$5</f>
        <v>5632.8645317452474</v>
      </c>
      <c r="H11" s="61">
        <f>(G11-$L$6)/('set up'!$T$8*1000)</f>
        <v>1.0578786998203995</v>
      </c>
      <c r="K11" s="56" t="s">
        <v>86</v>
      </c>
      <c r="L11" s="57">
        <f>L3+L3*$H$5</f>
        <v>488.86259537167297</v>
      </c>
      <c r="M11" s="59">
        <f>(L11-$L$14)/('set up'!T6*1000)</f>
        <v>0.90753050791230827</v>
      </c>
    </row>
    <row r="12" spans="1:13" x14ac:dyDescent="0.25">
      <c r="A12" t="s">
        <v>95</v>
      </c>
      <c r="B12">
        <v>2.5</v>
      </c>
      <c r="C12">
        <v>1.67</v>
      </c>
      <c r="D12">
        <f t="shared" si="2"/>
        <v>2297.0415999999996</v>
      </c>
      <c r="E12">
        <f t="shared" si="0"/>
        <v>2953.3391999999994</v>
      </c>
      <c r="F12" s="19">
        <f t="shared" si="1"/>
        <v>2.9533391999999994</v>
      </c>
      <c r="G12" s="25">
        <f>D12+D12*$H$5</f>
        <v>2422.4236069163494</v>
      </c>
      <c r="H12" s="61">
        <f>(G12-$L$6)/('set up'!$T$8*1000)</f>
        <v>0.44668468428762031</v>
      </c>
      <c r="K12" s="56" t="s">
        <v>88</v>
      </c>
      <c r="L12" s="57">
        <f>L4+L4*$H$5</f>
        <v>2196.2334508488593</v>
      </c>
      <c r="M12" s="59">
        <f>(L12-$L$14)/('set up'!T7*1000)</f>
        <v>0.93994231176631926</v>
      </c>
    </row>
    <row r="13" spans="1:13" x14ac:dyDescent="0.25">
      <c r="A13" t="s">
        <v>96</v>
      </c>
      <c r="B13">
        <v>2.5</v>
      </c>
      <c r="C13">
        <v>7.0000000000000007E-2</v>
      </c>
      <c r="D13">
        <f t="shared" si="2"/>
        <v>83.025599999999997</v>
      </c>
      <c r="E13">
        <f t="shared" si="0"/>
        <v>106.74719999999999</v>
      </c>
      <c r="F13" s="19">
        <f t="shared" si="1"/>
        <v>0.10674719999999999</v>
      </c>
      <c r="G13" s="21"/>
      <c r="K13" s="56" t="s">
        <v>90</v>
      </c>
      <c r="L13" s="57">
        <f>L5+L5*$H$5</f>
        <v>4027.6440693307982</v>
      </c>
      <c r="M13" s="59">
        <f>(L13-$L$14)/('set up'!T8*1000)</f>
        <v>0.75149082364371234</v>
      </c>
    </row>
    <row r="14" spans="1:13" x14ac:dyDescent="0.25">
      <c r="A14" t="s">
        <v>97</v>
      </c>
      <c r="B14">
        <v>2.5</v>
      </c>
      <c r="C14">
        <v>0.06</v>
      </c>
      <c r="D14">
        <f t="shared" si="2"/>
        <v>69.188000000000002</v>
      </c>
      <c r="E14">
        <f t="shared" si="0"/>
        <v>88.956000000000003</v>
      </c>
      <c r="F14" s="19">
        <f t="shared" si="1"/>
        <v>8.8956000000000007E-2</v>
      </c>
      <c r="G14" s="21"/>
      <c r="K14" s="56" t="s">
        <v>45</v>
      </c>
      <c r="L14" s="57">
        <f>L6+L6*$H$5</f>
        <v>80.261023120722427</v>
      </c>
      <c r="M14" s="19"/>
    </row>
    <row r="15" spans="1:13" x14ac:dyDescent="0.25">
      <c r="F15" s="19"/>
    </row>
    <row r="16" spans="1:13" x14ac:dyDescent="0.25">
      <c r="F16" s="19"/>
    </row>
    <row r="17" spans="5:6" x14ac:dyDescent="0.25">
      <c r="E17" s="19"/>
      <c r="F17" s="20"/>
    </row>
    <row r="18" spans="5:6" x14ac:dyDescent="0.25">
      <c r="E18" s="19"/>
      <c r="F18" s="20"/>
    </row>
    <row r="19" spans="5:6" x14ac:dyDescent="0.25">
      <c r="E19" s="3"/>
      <c r="F19" s="18"/>
    </row>
    <row r="20" spans="5:6" x14ac:dyDescent="0.25">
      <c r="E20" s="3"/>
      <c r="F20" s="3"/>
    </row>
    <row r="22" spans="5:6" x14ac:dyDescent="0.25">
      <c r="F22" s="19"/>
    </row>
    <row r="23" spans="5:6" x14ac:dyDescent="0.25">
      <c r="F23" s="19"/>
    </row>
    <row r="24" spans="5:6" x14ac:dyDescent="0.25">
      <c r="F24" s="19"/>
    </row>
    <row r="25" spans="5:6" x14ac:dyDescent="0.25">
      <c r="F25" s="19"/>
    </row>
    <row r="26" spans="5:6" x14ac:dyDescent="0.25">
      <c r="F26" s="19"/>
    </row>
    <row r="27" spans="5:6" x14ac:dyDescent="0.25">
      <c r="F27" s="19"/>
    </row>
    <row r="28" spans="5:6" x14ac:dyDescent="0.25">
      <c r="F28" s="19"/>
    </row>
    <row r="29" spans="5:6" x14ac:dyDescent="0.25">
      <c r="F29" s="19"/>
    </row>
    <row r="30" spans="5:6" x14ac:dyDescent="0.25">
      <c r="F30" s="19"/>
    </row>
    <row r="31" spans="5:6" x14ac:dyDescent="0.25">
      <c r="F31" s="19"/>
    </row>
    <row r="32" spans="5:6" x14ac:dyDescent="0.25">
      <c r="F32" s="19"/>
    </row>
    <row r="33" spans="5:6" x14ac:dyDescent="0.25">
      <c r="E33" s="3"/>
      <c r="F33" s="18"/>
    </row>
    <row r="34" spans="5:6" x14ac:dyDescent="0.25">
      <c r="E34" s="3"/>
      <c r="F34" s="3"/>
    </row>
    <row r="36" spans="5:6" x14ac:dyDescent="0.25">
      <c r="F36" s="19"/>
    </row>
    <row r="37" spans="5:6" x14ac:dyDescent="0.25">
      <c r="F37" s="19"/>
    </row>
    <row r="38" spans="5:6" x14ac:dyDescent="0.25">
      <c r="F38" s="19"/>
    </row>
    <row r="39" spans="5:6" x14ac:dyDescent="0.25">
      <c r="F39" s="19"/>
    </row>
    <row r="40" spans="5:6" x14ac:dyDescent="0.25">
      <c r="F40" s="19"/>
    </row>
    <row r="41" spans="5:6" x14ac:dyDescent="0.25">
      <c r="F41" s="19"/>
    </row>
    <row r="42" spans="5:6" x14ac:dyDescent="0.25">
      <c r="F42" s="19"/>
    </row>
    <row r="43" spans="5:6" x14ac:dyDescent="0.25">
      <c r="F43" s="19"/>
    </row>
    <row r="44" spans="5:6" x14ac:dyDescent="0.25">
      <c r="F44" s="19"/>
    </row>
  </sheetData>
  <mergeCells count="1">
    <mergeCell ref="H5:H6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80"/>
  <sheetViews>
    <sheetView zoomScale="85" zoomScaleNormal="85" workbookViewId="0">
      <selection activeCell="M72" sqref="M72"/>
    </sheetView>
  </sheetViews>
  <sheetFormatPr defaultRowHeight="15" x14ac:dyDescent="0.25"/>
  <cols>
    <col min="1" max="1" width="23.42578125" customWidth="1"/>
    <col min="2" max="2" width="20.140625" customWidth="1"/>
    <col min="3" max="9" width="12" bestFit="1" customWidth="1"/>
    <col min="10" max="10" width="11" bestFit="1" customWidth="1"/>
    <col min="11" max="11" width="20.28515625" customWidth="1"/>
    <col min="12" max="12" width="11" bestFit="1" customWidth="1"/>
    <col min="13" max="13" width="12.140625" bestFit="1" customWidth="1"/>
    <col min="14" max="16" width="11.140625" bestFit="1" customWidth="1"/>
    <col min="17" max="18" width="9.85546875" bestFit="1" customWidth="1"/>
    <col min="19" max="19" width="34.85546875" customWidth="1"/>
    <col min="24" max="24" width="11" bestFit="1" customWidth="1"/>
  </cols>
  <sheetData>
    <row r="1" spans="1:19" ht="15.75" thickBot="1" x14ac:dyDescent="0.3">
      <c r="A1" s="52" t="s">
        <v>127</v>
      </c>
      <c r="B1" s="3"/>
      <c r="C1" s="3"/>
      <c r="D1" s="3"/>
      <c r="E1" s="3"/>
      <c r="F1" s="3"/>
      <c r="G1" s="3"/>
      <c r="H1" s="3"/>
      <c r="I1" s="3"/>
      <c r="K1" s="52" t="s">
        <v>126</v>
      </c>
      <c r="L1" s="3"/>
      <c r="M1" s="3"/>
      <c r="N1" s="3"/>
      <c r="O1" s="3"/>
      <c r="P1" s="3"/>
      <c r="Q1" s="3"/>
      <c r="R1" s="3"/>
      <c r="S1" s="3"/>
    </row>
    <row r="2" spans="1:19" x14ac:dyDescent="0.25">
      <c r="A2" s="34" t="s">
        <v>70</v>
      </c>
      <c r="B2" s="35">
        <v>0</v>
      </c>
      <c r="C2" s="35">
        <v>1</v>
      </c>
      <c r="D2" s="35">
        <v>2</v>
      </c>
      <c r="E2" s="35">
        <v>3</v>
      </c>
      <c r="F2" s="35">
        <v>4</v>
      </c>
      <c r="G2" s="35">
        <v>5</v>
      </c>
      <c r="H2" s="36">
        <v>6</v>
      </c>
      <c r="I2" s="3"/>
      <c r="K2" s="34" t="s">
        <v>70</v>
      </c>
      <c r="L2" s="35">
        <v>0</v>
      </c>
      <c r="M2" s="35">
        <v>1</v>
      </c>
      <c r="N2" s="35">
        <v>2</v>
      </c>
      <c r="O2" s="35">
        <v>3</v>
      </c>
      <c r="P2" s="35">
        <v>4</v>
      </c>
      <c r="Q2" s="35">
        <v>5</v>
      </c>
      <c r="R2" s="36">
        <v>6</v>
      </c>
      <c r="S2" s="3"/>
    </row>
    <row r="3" spans="1:19" x14ac:dyDescent="0.25">
      <c r="A3" s="37" t="s">
        <v>30</v>
      </c>
      <c r="B3" s="29">
        <v>0</v>
      </c>
      <c r="C3" s="29">
        <f>'VFA day 1'!$D$24/1000</f>
        <v>1.7180986346555029</v>
      </c>
      <c r="D3" s="29">
        <f>'VFA day 2'!$D$24/1000</f>
        <v>1.955992804240829</v>
      </c>
      <c r="E3" s="29">
        <f>'VFA day 3'!$D$24/1000</f>
        <v>2.3072377108853201</v>
      </c>
      <c r="F3" s="29">
        <f>'VFA day 4'!$D$24/1000</f>
        <v>1.9572425322520597</v>
      </c>
      <c r="G3" s="29">
        <f>'VFA day 5'!$D$24/1000</f>
        <v>2.9167538294168414</v>
      </c>
      <c r="H3" s="38">
        <f>'VFA day 6'!$D$24/1000</f>
        <v>2.8020597364048245</v>
      </c>
      <c r="K3" s="37" t="s">
        <v>30</v>
      </c>
      <c r="L3" s="29">
        <v>0</v>
      </c>
      <c r="M3" s="29">
        <f>(C3/1000)/'set up'!$J27</f>
        <v>3.0196151582179507E-2</v>
      </c>
      <c r="N3" s="29">
        <f>(D3/1000)/'set up'!$J27</f>
        <v>3.4377220270797371E-2</v>
      </c>
      <c r="O3" s="29">
        <f>(E3/1000)/'set up'!$J27</f>
        <v>4.0550465641912052E-2</v>
      </c>
      <c r="P3" s="29">
        <f>(F3/1000)/'set up'!$J27</f>
        <v>3.4399184653809166E-2</v>
      </c>
      <c r="Q3" s="29">
        <f>(G3/1000)/'set up'!$J27</f>
        <v>5.1262912957633203E-2</v>
      </c>
      <c r="R3" s="38">
        <f>(H3/1000)/'set up'!$J27</f>
        <v>4.9247126350093123E-2</v>
      </c>
    </row>
    <row r="4" spans="1:19" x14ac:dyDescent="0.25">
      <c r="A4" s="37" t="s">
        <v>31</v>
      </c>
      <c r="B4" s="29">
        <v>0</v>
      </c>
      <c r="C4" s="29">
        <f>'VFA day 1'!$I$24/1000</f>
        <v>1.8408913023097901</v>
      </c>
      <c r="D4" s="29">
        <f>'VFA day 2'!$I$24/1000</f>
        <v>2.1798288840974109</v>
      </c>
      <c r="E4" s="29">
        <f>'VFA day 3'!$I$24/1000</f>
        <v>2.3272218849700383</v>
      </c>
      <c r="F4" s="29">
        <f>'VFA day 4'!$I$24/1000</f>
        <v>2.0809656716966547</v>
      </c>
      <c r="G4" s="29">
        <f>'VFA day 5'!$I$24/1000</f>
        <v>2.6470043604182321</v>
      </c>
      <c r="H4" s="38">
        <f>'VFA day 6'!$I$24/1000</f>
        <v>2.913907596112947</v>
      </c>
      <c r="K4" s="37" t="s">
        <v>31</v>
      </c>
      <c r="L4" s="29">
        <v>0</v>
      </c>
      <c r="M4" s="29">
        <f>(C4/1000)/'set up'!$J28</f>
        <v>3.2364422739202182E-2</v>
      </c>
      <c r="N4" s="29">
        <f>(D4/1000)/'set up'!$J28</f>
        <v>3.8323231477889734E-2</v>
      </c>
      <c r="O4" s="29">
        <f>(E4/1000)/'set up'!$J28</f>
        <v>4.0914524827505731E-2</v>
      </c>
      <c r="P4" s="29">
        <f>(F4/1000)/'set up'!$J28</f>
        <v>3.6585132766966941E-2</v>
      </c>
      <c r="Q4" s="29">
        <f>(G4/1000)/'set up'!$J28</f>
        <v>4.6536570630540459E-2</v>
      </c>
      <c r="R4" s="38">
        <f>(H4/1000)/'set up'!$J28</f>
        <v>5.1228954770574285E-2</v>
      </c>
    </row>
    <row r="5" spans="1:19" x14ac:dyDescent="0.25">
      <c r="A5" s="37" t="s">
        <v>32</v>
      </c>
      <c r="B5" s="29">
        <v>0</v>
      </c>
      <c r="C5" s="29">
        <f>'VFA day 1'!$N$24/1000</f>
        <v>1.4801873313730645</v>
      </c>
      <c r="D5" s="29">
        <f>'VFA day 2'!$N$24/1000</f>
        <v>1.7659398355895144</v>
      </c>
      <c r="E5" s="29">
        <f>'VFA day 3'!$N$24/1000</f>
        <v>1.9085454298003866</v>
      </c>
      <c r="F5" s="29">
        <f>'VFA day 4'!$N$24/1000</f>
        <v>1.1150763699376962</v>
      </c>
      <c r="G5" s="29">
        <f>'VFA day 5'!$N$24/1000</f>
        <v>2.7474429924921826</v>
      </c>
      <c r="H5" s="38">
        <f>'VFA day 6'!$N$24/1000</f>
        <v>3.0415827329727283</v>
      </c>
      <c r="K5" s="37" t="s">
        <v>32</v>
      </c>
      <c r="L5" s="29">
        <v>0</v>
      </c>
      <c r="M5" s="29">
        <f>(C5/1000)/'set up'!$J29</f>
        <v>2.6436155846969005E-2</v>
      </c>
      <c r="N5" s="29">
        <f>(D5/1000)/'set up'!$J29</f>
        <v>3.1539697523764905E-2</v>
      </c>
      <c r="O5" s="29">
        <f>(E5/1000)/'set up'!$J29</f>
        <v>3.4086634410267727E-2</v>
      </c>
      <c r="P5" s="29">
        <f>(F5/1000)/'set up'!$J29</f>
        <v>1.9915271582280365E-2</v>
      </c>
      <c r="Q5" s="29">
        <f>(G5/1000)/'set up'!$J29</f>
        <v>4.9069350609027881E-2</v>
      </c>
      <c r="R5" s="38">
        <f>(H5/1000)/'set up'!$J29</f>
        <v>5.4322688382779497E-2</v>
      </c>
    </row>
    <row r="6" spans="1:19" x14ac:dyDescent="0.25">
      <c r="A6" s="37" t="s">
        <v>33</v>
      </c>
      <c r="B6" s="29">
        <v>0</v>
      </c>
      <c r="C6" s="29">
        <f>'VFA day 1'!$S$24/1000</f>
        <v>1.2699190325520036</v>
      </c>
      <c r="D6" s="29">
        <f>'VFA day 2'!$S$24/1000</f>
        <v>1.5097021903821479</v>
      </c>
      <c r="E6" s="29">
        <f>'VFA day 3'!$S$24/1000</f>
        <v>2.333402768870092</v>
      </c>
      <c r="F6" s="29">
        <f>'VFA day 4'!$S$24/1000</f>
        <v>1.6697155067879248</v>
      </c>
      <c r="G6" s="29">
        <f>'VFA day 5'!$S$24/1000</f>
        <v>2.9335619270292161</v>
      </c>
      <c r="H6" s="38">
        <f>'VFA day 6'!$S$24/1000</f>
        <v>2.772364483692225</v>
      </c>
      <c r="K6" s="37" t="s">
        <v>33</v>
      </c>
      <c r="L6" s="29">
        <v>0</v>
      </c>
      <c r="M6" s="29">
        <f>(C6/1000)/'set up'!$J30</f>
        <v>2.2687468068988994E-2</v>
      </c>
      <c r="N6" s="29">
        <f>(D6/1000)/'set up'!$J30</f>
        <v>2.6971263017569681E-2</v>
      </c>
      <c r="O6" s="29">
        <f>(E6/1000)/'set up'!$J30</f>
        <v>4.1686910309900287E-2</v>
      </c>
      <c r="P6" s="29">
        <f>(F6/1000)/'set up'!$J30</f>
        <v>2.9829946849777252E-2</v>
      </c>
      <c r="Q6" s="29">
        <f>(G6/1000)/'set up'!$J30</f>
        <v>5.2408925956585903E-2</v>
      </c>
      <c r="R6" s="38">
        <f>(H6/1000)/'set up'!$J30</f>
        <v>4.9529087356827858E-2</v>
      </c>
    </row>
    <row r="7" spans="1:19" x14ac:dyDescent="0.25">
      <c r="A7" s="37" t="s">
        <v>34</v>
      </c>
      <c r="B7" s="29">
        <v>0</v>
      </c>
      <c r="C7" s="29">
        <f>'VFA day 1'!$D$36/1000</f>
        <v>1.3641234470185886</v>
      </c>
      <c r="D7" s="29">
        <f>'VFA day 2'!$D$36/1000</f>
        <v>2.3836061537959448</v>
      </c>
      <c r="E7" s="29">
        <f>'VFA day 3'!$D$36/1000</f>
        <v>6.1773076404485385</v>
      </c>
      <c r="F7" s="29">
        <f>'VFA day 4'!$D$36/1000</f>
        <v>4.1301416232173045</v>
      </c>
      <c r="G7" s="29">
        <f>'VFA day 5'!$D$36/1000</f>
        <v>10.200391403234432</v>
      </c>
      <c r="H7" s="38">
        <f>'VFA day 6'!$D$36/1000</f>
        <v>9.4755236934474123</v>
      </c>
      <c r="K7" s="37" t="s">
        <v>34</v>
      </c>
      <c r="L7" s="29">
        <v>0</v>
      </c>
      <c r="M7" s="29">
        <f>(C7/1000)/'set up'!$J31</f>
        <v>2.2594198044208702E-2</v>
      </c>
      <c r="N7" s="29">
        <f>(D7/1000)/'set up'!$J31</f>
        <v>3.9480055574124498E-2</v>
      </c>
      <c r="O7" s="29">
        <f>(E7/1000)/'set up'!$J31</f>
        <v>0.10231574899862851</v>
      </c>
      <c r="P7" s="29">
        <f>(F7/1000)/'set up'!$J31</f>
        <v>6.8408206009180753E-2</v>
      </c>
      <c r="Q7" s="29">
        <f>(G7/1000)/'set up'!$J31</f>
        <v>0.16895073829046359</v>
      </c>
      <c r="R7" s="38">
        <f>(H7/1000)/'set up'!$J31</f>
        <v>0.15694463677041784</v>
      </c>
    </row>
    <row r="8" spans="1:19" x14ac:dyDescent="0.25">
      <c r="A8" s="37" t="s">
        <v>35</v>
      </c>
      <c r="B8" s="29">
        <v>0</v>
      </c>
      <c r="C8" s="29">
        <f>'VFA day 1'!$I$36/1000</f>
        <v>1.5460655347328198</v>
      </c>
      <c r="D8" s="29">
        <f>'VFA day 2'!$I$36/1000</f>
        <v>2.0928493304577716</v>
      </c>
      <c r="E8" s="29">
        <f>'VFA day 3'!$I$36/1000</f>
        <v>3.1519737508384971</v>
      </c>
      <c r="F8" s="29">
        <f>'VFA day 4'!$I$36/1000</f>
        <v>2.3802019105907273</v>
      </c>
      <c r="G8" s="29">
        <f>'VFA day 5'!$I$36/1000</f>
        <v>5.2222605659432322</v>
      </c>
      <c r="H8" s="38">
        <f>'VFA day 6'!$I$36/1000</f>
        <v>7.6950558419606354</v>
      </c>
      <c r="K8" s="37" t="s">
        <v>35</v>
      </c>
      <c r="L8" s="29">
        <v>0</v>
      </c>
      <c r="M8" s="29">
        <f>(C8/1000)/'set up'!$J32</f>
        <v>2.5612675586488099E-2</v>
      </c>
      <c r="N8" s="29">
        <f>(D8/1000)/'set up'!$J32</f>
        <v>3.467089185302686E-2</v>
      </c>
      <c r="O8" s="29">
        <f>(E8/1000)/'set up'!$J32</f>
        <v>5.2216726473566837E-2</v>
      </c>
      <c r="P8" s="29">
        <f>(F8/1000)/'set up'!$J32</f>
        <v>3.9431277650746353E-2</v>
      </c>
      <c r="Q8" s="29">
        <f>(G8/1000)/'set up'!$J32</f>
        <v>8.6513839613356708E-2</v>
      </c>
      <c r="R8" s="38">
        <f>(H8/1000)/'set up'!$J32</f>
        <v>0.12747905213093549</v>
      </c>
    </row>
    <row r="9" spans="1:19" x14ac:dyDescent="0.25">
      <c r="A9" s="37" t="s">
        <v>36</v>
      </c>
      <c r="B9" s="29">
        <v>0</v>
      </c>
      <c r="C9" s="29">
        <f>'VFA day 1'!$N$36/1000</f>
        <v>1.2021359535176888</v>
      </c>
      <c r="D9" s="29">
        <f>'VFA day 2'!$N$36/1000</f>
        <v>1.2609823299429159</v>
      </c>
      <c r="E9" s="29">
        <f>'VFA day 3'!$N$36/1000</f>
        <v>2.3569747266565066</v>
      </c>
      <c r="F9" s="29">
        <f>'VFA day 4'!$N$36/1000</f>
        <v>6.4613003568951246</v>
      </c>
      <c r="G9" s="29">
        <f>'VFA day 5'!$N$36/1000</f>
        <v>9.8181684439559014</v>
      </c>
      <c r="H9" s="38">
        <f>'VFA day 6'!$N$36/1000</f>
        <v>7.6775351247379922</v>
      </c>
      <c r="K9" s="37" t="s">
        <v>36</v>
      </c>
      <c r="L9" s="29">
        <v>0</v>
      </c>
      <c r="M9" s="29">
        <f>(C9/1000)/'set up'!$J33</f>
        <v>2.1469701953676503E-2</v>
      </c>
      <c r="N9" s="29">
        <f>(D9/1000)/'set up'!$J33</f>
        <v>2.2520676395632488E-2</v>
      </c>
      <c r="O9" s="29">
        <f>(E9/1000)/'set up'!$J33</f>
        <v>4.2094693820268252E-2</v>
      </c>
      <c r="P9" s="29">
        <f>(F9/1000)/'set up'!$J33</f>
        <v>0.11539642624429725</v>
      </c>
      <c r="Q9" s="29">
        <f>(G9/1000)/'set up'!$J33</f>
        <v>0.17534884436814516</v>
      </c>
      <c r="R9" s="38">
        <f>(H9/1000)/'set up'!$J33</f>
        <v>0.13711792778900675</v>
      </c>
    </row>
    <row r="10" spans="1:19" x14ac:dyDescent="0.25">
      <c r="A10" s="37" t="s">
        <v>37</v>
      </c>
      <c r="B10" s="29">
        <v>0</v>
      </c>
      <c r="C10" s="29">
        <f>'VFA day 1'!$S$36/1000</f>
        <v>1.1522997892087883</v>
      </c>
      <c r="D10" s="29">
        <f>'VFA day 2'!$S$36/1000</f>
        <v>1.8841618808946632</v>
      </c>
      <c r="E10" s="29">
        <f>'VFA day 3'!$S$36/1000</f>
        <v>2.720794553607178</v>
      </c>
      <c r="F10" s="29">
        <f>'VFA day 4'!$S$36/1000</f>
        <v>1.5603766864948034</v>
      </c>
      <c r="G10" s="29">
        <f>'VFA day 5'!$S$36/1000</f>
        <v>6.0566358882503337</v>
      </c>
      <c r="H10" s="38">
        <f>'VFA day 6'!$S$36/1000</f>
        <v>7.4791920149078184</v>
      </c>
      <c r="K10" s="37" t="s">
        <v>37</v>
      </c>
      <c r="L10" s="29">
        <v>0</v>
      </c>
      <c r="M10" s="29">
        <f>(C10/1000)/'set up'!$J34</f>
        <v>2.0564837066880486E-2</v>
      </c>
      <c r="N10" s="29">
        <f>(D10/1000)/'set up'!$J34</f>
        <v>3.3626216416156152E-2</v>
      </c>
      <c r="O10" s="29">
        <f>(E10/1000)/'set up'!$J34</f>
        <v>4.8557412933145326E-2</v>
      </c>
      <c r="P10" s="29">
        <f>(F10/1000)/'set up'!$J34</f>
        <v>2.7847694342422742E-2</v>
      </c>
      <c r="Q10" s="29">
        <f>(G10/1000)/'set up'!$J34</f>
        <v>0.10809142844746357</v>
      </c>
      <c r="R10" s="38">
        <f>(H10/1000)/'set up'!$J34</f>
        <v>0.13347947002932578</v>
      </c>
    </row>
    <row r="11" spans="1:19" x14ac:dyDescent="0.25">
      <c r="A11" s="37" t="s">
        <v>38</v>
      </c>
      <c r="B11" s="29">
        <v>0</v>
      </c>
      <c r="C11" s="29">
        <f>'VFA day 1'!$D$48/1000</f>
        <v>1.9386285621131831</v>
      </c>
      <c r="D11" s="29">
        <f>'VFA day 2'!$D$48/1000</f>
        <v>1.8841618808946632</v>
      </c>
      <c r="E11" s="29">
        <f>'VFA day 3'!$D$48/1000</f>
        <v>4.6239848534021561</v>
      </c>
      <c r="F11" s="29">
        <f>'VFA day 4'!$D$48/1000</f>
        <v>6.7625722849428698</v>
      </c>
      <c r="G11" s="29">
        <f>'VFA day 5'!$D$48/1000</f>
        <v>10.766727534317962</v>
      </c>
      <c r="H11" s="38">
        <f>'VFA day 6'!$D$48/1000</f>
        <v>8.0365702391854121</v>
      </c>
      <c r="K11" s="37" t="s">
        <v>38</v>
      </c>
      <c r="L11" s="29">
        <v>0</v>
      </c>
      <c r="M11" s="29">
        <f>(C11/1000)/'set up'!$J35</f>
        <v>2.9330412657550719E-2</v>
      </c>
      <c r="N11" s="29">
        <f>(D11/1000)/'set up'!$J35</f>
        <v>2.8506360919405952E-2</v>
      </c>
      <c r="O11" s="29">
        <f>(E11/1000)/'set up'!$J35</f>
        <v>6.9958416234574841E-2</v>
      </c>
      <c r="P11" s="29">
        <f>(F11/1000)/'set up'!$J35</f>
        <v>0.10231409957546565</v>
      </c>
      <c r="Q11" s="29">
        <f>(G11/1000)/'set up'!$J35</f>
        <v>0.1628948256125623</v>
      </c>
      <c r="R11" s="38">
        <f>(H11/1000)/'set up'!$J35</f>
        <v>0.12158900682333874</v>
      </c>
    </row>
    <row r="12" spans="1:19" x14ac:dyDescent="0.25">
      <c r="A12" s="37" t="s">
        <v>39</v>
      </c>
      <c r="B12" s="29">
        <v>0</v>
      </c>
      <c r="C12" s="29">
        <f>'VFA day 1'!$I$48/1000</f>
        <v>1.3472872083220624</v>
      </c>
      <c r="D12" s="29">
        <f>'VFA day 2'!$I$48/1000</f>
        <v>2.5608002785141415</v>
      </c>
      <c r="E12" s="29">
        <f>'VFA day 3'!$I$48/1000</f>
        <v>2.5181818160414182</v>
      </c>
      <c r="F12" s="29">
        <f>'VFA day 4'!$I$48/1000</f>
        <v>2.6699100574808763</v>
      </c>
      <c r="G12" s="29">
        <f>'VFA day 5'!$I$48/1000</f>
        <v>1.8217677630106333</v>
      </c>
      <c r="H12" s="38">
        <f>'VFA day 6'!$I$48/1000</f>
        <v>4.1735551187126658</v>
      </c>
      <c r="K12" s="37" t="s">
        <v>39</v>
      </c>
      <c r="L12" s="29">
        <v>0</v>
      </c>
      <c r="M12" s="29">
        <f>(C12/1000)/'set up'!$J36</f>
        <v>2.0378197513528106E-2</v>
      </c>
      <c r="N12" s="29">
        <f>(D12/1000)/'set up'!$J36</f>
        <v>3.8733013678093585E-2</v>
      </c>
      <c r="O12" s="29">
        <f>(E12/1000)/'set up'!$J36</f>
        <v>3.8088394297290822E-2</v>
      </c>
      <c r="P12" s="29">
        <f>(F12/1000)/'set up'!$J36</f>
        <v>4.0383337835190457E-2</v>
      </c>
      <c r="Q12" s="29">
        <f>(G12/1000)/'set up'!$J36</f>
        <v>2.7554884414470408E-2</v>
      </c>
      <c r="R12" s="38">
        <f>(H12/1000)/'set up'!$J36</f>
        <v>6.3126503404307741E-2</v>
      </c>
    </row>
    <row r="13" spans="1:19" x14ac:dyDescent="0.25">
      <c r="A13" s="37" t="s">
        <v>40</v>
      </c>
      <c r="B13" s="29">
        <v>0</v>
      </c>
      <c r="C13" s="29">
        <f>'VFA day 1'!$N$48/1000</f>
        <v>1.266447753573789</v>
      </c>
      <c r="D13" s="29">
        <f>'VFA day 2'!$N$48/1000</f>
        <v>1.9220997852196948</v>
      </c>
      <c r="E13" s="29">
        <f>'VFA day 3'!$N$48/1000</f>
        <v>2.2699446267719723</v>
      </c>
      <c r="F13" s="29">
        <f>'VFA day 4'!$N$48/1000</f>
        <v>2.6143853004495252</v>
      </c>
      <c r="G13" s="29">
        <f>'VFA day 5'!$N$48/1000</f>
        <v>10.091728725537518</v>
      </c>
      <c r="H13" s="38">
        <f>'VFA day 6'!$N$48/1000</f>
        <v>10.363925128529276</v>
      </c>
      <c r="K13" s="37" t="s">
        <v>40</v>
      </c>
      <c r="L13" s="29">
        <v>0</v>
      </c>
      <c r="M13" s="29">
        <f>(C13/1000)/'set up'!$J37</f>
        <v>2.2637225181047622E-2</v>
      </c>
      <c r="N13" s="29">
        <f>(D13/1000)/'set up'!$J37</f>
        <v>3.4356731681727724E-2</v>
      </c>
      <c r="O13" s="29">
        <f>(E13/1000)/'set up'!$J37</f>
        <v>4.0574313089302108E-2</v>
      </c>
      <c r="P13" s="29">
        <f>(F13/1000)/'set up'!$J37</f>
        <v>4.6731046416474624E-2</v>
      </c>
      <c r="Q13" s="29">
        <f>(G13/1000)/'set up'!$J37</f>
        <v>0.18038544028474923</v>
      </c>
      <c r="R13" s="38">
        <f>(H13/1000)/'set up'!$J37</f>
        <v>0.18525083741669388</v>
      </c>
    </row>
    <row r="14" spans="1:19" x14ac:dyDescent="0.25">
      <c r="A14" s="37" t="s">
        <v>41</v>
      </c>
      <c r="B14" s="29">
        <v>0</v>
      </c>
      <c r="C14" s="29">
        <f>'VFA day 1'!$S$48/1000</f>
        <v>1.5021375020287902</v>
      </c>
      <c r="D14" s="29">
        <f>'VFA day 2'!$S$48/1000</f>
        <v>1.4293874052310858</v>
      </c>
      <c r="E14" s="29">
        <f>'VFA day 3'!$S$48/1000</f>
        <v>2.792741858504312</v>
      </c>
      <c r="F14" s="29">
        <f>'VFA day 4'!$S$48/1000</f>
        <v>3.1583746657806189</v>
      </c>
      <c r="G14" s="29">
        <f>'VFA day 5'!$S$48/1000</f>
        <v>15.387764618155865</v>
      </c>
      <c r="H14" s="38">
        <f>'VFA day 6'!$S$48/1000</f>
        <v>11.36364167985047</v>
      </c>
      <c r="K14" s="37" t="s">
        <v>41</v>
      </c>
      <c r="L14" s="29">
        <v>0</v>
      </c>
      <c r="M14" s="29">
        <f>(C14/1000)/'set up'!$J38</f>
        <v>2.6822674705060261E-2</v>
      </c>
      <c r="N14" s="29">
        <f>(D14/1000)/'set up'!$J38</f>
        <v>2.5523624399391855E-2</v>
      </c>
      <c r="O14" s="29">
        <f>(E14/1000)/'set up'!$J38</f>
        <v>4.9868142100636323E-2</v>
      </c>
      <c r="P14" s="29">
        <f>(F14/1000)/'set up'!$J38</f>
        <v>5.6397005029512455E-2</v>
      </c>
      <c r="Q14" s="29">
        <f>(G14/1000)/'set up'!$J38</f>
        <v>0.27476912348795079</v>
      </c>
      <c r="R14" s="38">
        <f>(H14/1000)/'set up'!$J38</f>
        <v>0.20291302482750462</v>
      </c>
    </row>
    <row r="15" spans="1:19" x14ac:dyDescent="0.25">
      <c r="A15" s="37" t="s">
        <v>42</v>
      </c>
      <c r="B15" s="29">
        <v>0</v>
      </c>
      <c r="C15" s="29">
        <f>'VFA day 1'!$D$60/1000</f>
        <v>1.4144166510769309</v>
      </c>
      <c r="D15" s="29" t="e">
        <v>#N/A</v>
      </c>
      <c r="E15" s="29">
        <f>'VFA day 3'!$D$60/1000</f>
        <v>2.1768010447807735</v>
      </c>
      <c r="F15" s="29">
        <f>'VFA day 4'!$D$60/1000</f>
        <v>3.866068037052067</v>
      </c>
      <c r="G15" s="29">
        <f>'VFA day 5'!$D$60/1000</f>
        <v>1.066223277654347</v>
      </c>
      <c r="H15" s="38">
        <f>'VFA day 6'!$D$60/1000</f>
        <v>2.6602470947029966</v>
      </c>
      <c r="K15" s="37" t="s">
        <v>42</v>
      </c>
      <c r="L15" s="29">
        <v>0</v>
      </c>
      <c r="M15" s="29">
        <f>(C15/1000)/'set up'!$J39</f>
        <v>2.526550047232505E-2</v>
      </c>
      <c r="N15" s="29" t="e">
        <f>(D15/1000)/'set up'!$J39</f>
        <v>#N/A</v>
      </c>
      <c r="O15" s="29">
        <f>(E15/1000)/'set up'!$J39</f>
        <v>3.8883852069466991E-2</v>
      </c>
      <c r="P15" s="29">
        <f>(F15/1000)/'set up'!$J39</f>
        <v>6.9058960626494345E-2</v>
      </c>
      <c r="Q15" s="29">
        <f>(G15/1000)/'set up'!$J39</f>
        <v>1.9045777426806222E-2</v>
      </c>
      <c r="R15" s="38">
        <f>(H15/1000)/'set up'!$J39</f>
        <v>4.7519572239583432E-2</v>
      </c>
    </row>
    <row r="16" spans="1:19" ht="15.75" thickBot="1" x14ac:dyDescent="0.3">
      <c r="A16" s="39" t="s">
        <v>43</v>
      </c>
      <c r="B16" s="40">
        <v>0</v>
      </c>
      <c r="C16" s="40">
        <f>'VFA day 1'!$I$60/1000</f>
        <v>1.6822891433704634</v>
      </c>
      <c r="D16" s="40" t="e">
        <v>#N/A</v>
      </c>
      <c r="E16" s="40">
        <f>'VFA day 3'!$I$60/1000</f>
        <v>1.8217771563780125</v>
      </c>
      <c r="F16" s="40">
        <f>'VFA day 4'!$I$60/1000</f>
        <v>3.3844972037305663</v>
      </c>
      <c r="G16" s="40">
        <f>'VFA day 5'!$I$60/1000</f>
        <v>2.2366408065160925</v>
      </c>
      <c r="H16" s="41">
        <f>'VFA day 6'!$I$60/1000</f>
        <v>3.083616368898948</v>
      </c>
      <c r="K16" s="39" t="s">
        <v>43</v>
      </c>
      <c r="L16" s="40">
        <v>0</v>
      </c>
      <c r="M16" s="40">
        <f>(C16/1000)/'set up'!$J40</f>
        <v>3.0040406688971531E-2</v>
      </c>
      <c r="N16" s="40" t="e">
        <f>(D16/1000)/'set up'!$J40</f>
        <v>#N/A</v>
      </c>
      <c r="O16" s="40">
        <f>(E16/1000)/'set up'!$J40</f>
        <v>3.2531225021537186E-2</v>
      </c>
      <c r="P16" s="40">
        <f>(F16/1000)/'set up'!$J40</f>
        <v>6.0436502748899709E-2</v>
      </c>
      <c r="Q16" s="40">
        <f>(G16/1000)/'set up'!$J40</f>
        <v>3.9939388368326771E-2</v>
      </c>
      <c r="R16" s="41">
        <f>(H16/1000)/'set up'!$J40</f>
        <v>5.5063714914609631E-2</v>
      </c>
    </row>
    <row r="18" spans="1:36" ht="15.75" thickBot="1" x14ac:dyDescent="0.3"/>
    <row r="19" spans="1:36" x14ac:dyDescent="0.25">
      <c r="A19" s="54" t="s">
        <v>71</v>
      </c>
      <c r="B19" s="35">
        <v>0</v>
      </c>
      <c r="C19" s="35">
        <v>1</v>
      </c>
      <c r="D19" s="35">
        <v>2</v>
      </c>
      <c r="E19" s="35">
        <v>3</v>
      </c>
      <c r="F19" s="35">
        <v>4</v>
      </c>
      <c r="G19" s="35">
        <v>5</v>
      </c>
      <c r="H19" s="36">
        <v>6</v>
      </c>
      <c r="I19" s="3"/>
      <c r="K19" s="54" t="s">
        <v>71</v>
      </c>
      <c r="L19" s="35">
        <v>0</v>
      </c>
      <c r="M19" s="35">
        <v>1</v>
      </c>
      <c r="N19" s="35">
        <v>2</v>
      </c>
      <c r="O19" s="35">
        <v>3</v>
      </c>
      <c r="P19" s="35">
        <v>4</v>
      </c>
      <c r="Q19" s="35">
        <v>5</v>
      </c>
      <c r="R19" s="36">
        <v>6</v>
      </c>
      <c r="S19" s="3" t="s">
        <v>136</v>
      </c>
    </row>
    <row r="20" spans="1:36" x14ac:dyDescent="0.25">
      <c r="A20" s="37" t="s">
        <v>15</v>
      </c>
      <c r="B20" s="29">
        <f>AVERAGE(B3:B4)</f>
        <v>0</v>
      </c>
      <c r="C20" s="29">
        <f t="shared" ref="C20:D20" si="0">AVERAGE(C3:C4)</f>
        <v>1.7794949684826467</v>
      </c>
      <c r="D20" s="29">
        <f t="shared" si="0"/>
        <v>2.0679108441691199</v>
      </c>
      <c r="E20" s="29">
        <f t="shared" ref="E20:F20" si="1">AVERAGE(E3:E4)</f>
        <v>2.3172297979276792</v>
      </c>
      <c r="F20" s="29">
        <f t="shared" si="1"/>
        <v>2.0191041019743574</v>
      </c>
      <c r="G20" s="29">
        <f t="shared" ref="G20" si="2">AVERAGE(G3:G4)</f>
        <v>2.7818790949175369</v>
      </c>
      <c r="H20" s="38">
        <f t="shared" ref="H20" si="3">AVERAGE(H3:H4)</f>
        <v>2.8579836662588858</v>
      </c>
      <c r="K20" s="37" t="s">
        <v>15</v>
      </c>
      <c r="L20" s="29">
        <f>AVERAGE(L3:L4)</f>
        <v>0</v>
      </c>
      <c r="M20" s="30">
        <f t="shared" ref="M20:N20" si="4">AVERAGE(M3:M4)</f>
        <v>3.1280287160690846E-2</v>
      </c>
      <c r="N20" s="30">
        <f t="shared" si="4"/>
        <v>3.6350225874343556E-2</v>
      </c>
      <c r="O20" s="30">
        <f t="shared" ref="O20:P20" si="5">AVERAGE(O3:O4)</f>
        <v>4.0732495234708892E-2</v>
      </c>
      <c r="P20" s="30">
        <f t="shared" si="5"/>
        <v>3.549215871038805E-2</v>
      </c>
      <c r="Q20" s="30">
        <f t="shared" ref="Q20" si="6">AVERAGE(Q3:Q4)</f>
        <v>4.8899741794086835E-2</v>
      </c>
      <c r="R20" s="42">
        <f t="shared" ref="R20" si="7">AVERAGE(R3:R4)</f>
        <v>5.0238040560333708E-2</v>
      </c>
      <c r="S20" s="26">
        <f t="shared" ref="S20:S25" si="8">(R20-$R$26)/$R$26</f>
        <v>-2.0541416559973467E-2</v>
      </c>
    </row>
    <row r="21" spans="1:36" x14ac:dyDescent="0.25">
      <c r="A21" s="37" t="s">
        <v>120</v>
      </c>
      <c r="B21" s="29">
        <f>AVERAGE(B5:B6)</f>
        <v>0</v>
      </c>
      <c r="C21" s="29">
        <f>AVERAGE(C5:C6)</f>
        <v>1.375053181962534</v>
      </c>
      <c r="D21" s="29">
        <f t="shared" ref="D21" si="9">AVERAGE(D5:D6)</f>
        <v>1.6378210129858313</v>
      </c>
      <c r="E21" s="29">
        <f>AVERAGE(E5:E6)</f>
        <v>2.1209740993352391</v>
      </c>
      <c r="F21" s="29">
        <f>AVERAGE(F5:F6)</f>
        <v>1.3923959383628106</v>
      </c>
      <c r="G21" s="29">
        <f>AVERAGE(G5:G6)</f>
        <v>2.8405024597606996</v>
      </c>
      <c r="H21" s="38">
        <f>AVERAGE(H5:H6)</f>
        <v>2.9069736083324766</v>
      </c>
      <c r="K21" s="37" t="s">
        <v>120</v>
      </c>
      <c r="L21" s="29">
        <f>AVERAGE(L5:L6)</f>
        <v>0</v>
      </c>
      <c r="M21" s="30">
        <f>AVERAGE(M5:M6)</f>
        <v>2.4561811957978998E-2</v>
      </c>
      <c r="N21" s="30">
        <f t="shared" ref="N21" si="10">AVERAGE(N5:N6)</f>
        <v>2.9255480270667295E-2</v>
      </c>
      <c r="O21" s="30">
        <f>AVERAGE(O5:O6)</f>
        <v>3.7886772360084003E-2</v>
      </c>
      <c r="P21" s="30">
        <f>AVERAGE(P5:P6)</f>
        <v>2.487260921602881E-2</v>
      </c>
      <c r="Q21" s="30">
        <f>AVERAGE(Q5:Q6)</f>
        <v>5.0739138282806892E-2</v>
      </c>
      <c r="R21" s="42">
        <f>AVERAGE(R5:R6)</f>
        <v>5.1925887869803677E-2</v>
      </c>
      <c r="S21" s="26">
        <f t="shared" si="8"/>
        <v>1.2365450753275413E-2</v>
      </c>
      <c r="AF21" s="3"/>
      <c r="AG21" s="3"/>
      <c r="AH21" s="3"/>
      <c r="AI21" s="3"/>
      <c r="AJ21" s="3"/>
    </row>
    <row r="22" spans="1:36" x14ac:dyDescent="0.25">
      <c r="A22" s="37" t="s">
        <v>16</v>
      </c>
      <c r="B22" s="29">
        <f>AVERAGE(B7:B8)</f>
        <v>0</v>
      </c>
      <c r="C22" s="29">
        <f t="shared" ref="C22:D22" si="11">AVERAGE(C7:C8)</f>
        <v>1.4550944908757042</v>
      </c>
      <c r="D22" s="29">
        <f t="shared" si="11"/>
        <v>2.2382277421268579</v>
      </c>
      <c r="E22" s="29">
        <f t="shared" ref="E22:F22" si="12">AVERAGE(E7:E8)</f>
        <v>4.6646406956435182</v>
      </c>
      <c r="F22" s="29">
        <f t="shared" si="12"/>
        <v>3.2551717669040157</v>
      </c>
      <c r="G22" s="29">
        <f t="shared" ref="G22" si="13">AVERAGE(G7:G8)</f>
        <v>7.7113259845888322</v>
      </c>
      <c r="H22" s="38">
        <f t="shared" ref="H22" si="14">AVERAGE(H7:H8)</f>
        <v>8.5852897677040243</v>
      </c>
      <c r="K22" s="37" t="s">
        <v>16</v>
      </c>
      <c r="L22" s="29">
        <f>AVERAGE(L7:L8)</f>
        <v>0</v>
      </c>
      <c r="M22" s="30">
        <f t="shared" ref="M22:N22" si="15">AVERAGE(M7:M8)</f>
        <v>2.4103436815348399E-2</v>
      </c>
      <c r="N22" s="30">
        <f t="shared" si="15"/>
        <v>3.7075473713575682E-2</v>
      </c>
      <c r="O22" s="30">
        <f t="shared" ref="O22:P22" si="16">AVERAGE(O7:O8)</f>
        <v>7.726623773609767E-2</v>
      </c>
      <c r="P22" s="30">
        <f t="shared" si="16"/>
        <v>5.3919741829963549E-2</v>
      </c>
      <c r="Q22" s="30">
        <f t="shared" ref="Q22" si="17">AVERAGE(Q7:Q8)</f>
        <v>0.12773228895191013</v>
      </c>
      <c r="R22" s="42">
        <f t="shared" ref="R22" si="18">AVERAGE(R7:R8)</f>
        <v>0.14221184445067667</v>
      </c>
      <c r="S22" s="26">
        <f t="shared" si="8"/>
        <v>1.7726123503318403</v>
      </c>
      <c r="V22" s="3"/>
    </row>
    <row r="23" spans="1:36" x14ac:dyDescent="0.25">
      <c r="A23" s="37" t="s">
        <v>121</v>
      </c>
      <c r="B23" s="29">
        <f>AVERAGE(B9:B10)</f>
        <v>0</v>
      </c>
      <c r="C23" s="31">
        <f t="shared" ref="C23:D23" si="19">AVERAGE(C9:C10)</f>
        <v>1.1772178713632386</v>
      </c>
      <c r="D23" s="31">
        <f t="shared" si="19"/>
        <v>1.5725721054187896</v>
      </c>
      <c r="E23" s="31">
        <f t="shared" ref="E23:F23" si="20">AVERAGE(E9:E10)</f>
        <v>2.5388846401318421</v>
      </c>
      <c r="F23" s="31">
        <f t="shared" si="20"/>
        <v>4.0108385216949642</v>
      </c>
      <c r="G23" s="31">
        <f t="shared" ref="G23" si="21">AVERAGE(G9:G10)</f>
        <v>7.9374021661031176</v>
      </c>
      <c r="H23" s="47">
        <f t="shared" ref="H23" si="22">AVERAGE(H9:H10)</f>
        <v>7.5783635698229048</v>
      </c>
      <c r="I23" s="28"/>
      <c r="J23" s="28"/>
      <c r="K23" s="43" t="s">
        <v>121</v>
      </c>
      <c r="L23" s="31">
        <f>AVERAGE(L9:L10)</f>
        <v>0</v>
      </c>
      <c r="M23" s="32">
        <f t="shared" ref="M23:N23" si="23">AVERAGE(M9:M10)</f>
        <v>2.1017269510278495E-2</v>
      </c>
      <c r="N23" s="32">
        <f t="shared" si="23"/>
        <v>2.807344640589432E-2</v>
      </c>
      <c r="O23" s="32">
        <f t="shared" ref="O23:P23" si="24">AVERAGE(O9:O10)</f>
        <v>4.5326053376706789E-2</v>
      </c>
      <c r="P23" s="32">
        <f t="shared" si="24"/>
        <v>7.162206029335999E-2</v>
      </c>
      <c r="Q23" s="32">
        <f t="shared" ref="Q23" si="25">AVERAGE(Q9:Q10)</f>
        <v>0.14172013640780437</v>
      </c>
      <c r="R23" s="44">
        <f t="shared" ref="R23" si="26">AVERAGE(R9:R10)</f>
        <v>0.13529869890916627</v>
      </c>
      <c r="S23" s="26">
        <f t="shared" si="8"/>
        <v>1.6378312230490064</v>
      </c>
      <c r="V23" s="3"/>
    </row>
    <row r="24" spans="1:36" x14ac:dyDescent="0.25">
      <c r="A24" s="37" t="s">
        <v>17</v>
      </c>
      <c r="B24" s="29">
        <f>AVERAGE(B11:B12)</f>
        <v>0</v>
      </c>
      <c r="C24" s="31">
        <f>AVERAGE(C11)</f>
        <v>1.9386285621131831</v>
      </c>
      <c r="D24" s="31">
        <f t="shared" ref="D24:H24" si="27">AVERAGE(D11)</f>
        <v>1.8841618808946632</v>
      </c>
      <c r="E24" s="31">
        <f t="shared" si="27"/>
        <v>4.6239848534021561</v>
      </c>
      <c r="F24" s="31">
        <f t="shared" si="27"/>
        <v>6.7625722849428698</v>
      </c>
      <c r="G24" s="31">
        <f t="shared" si="27"/>
        <v>10.766727534317962</v>
      </c>
      <c r="H24" s="47">
        <f t="shared" si="27"/>
        <v>8.0365702391854121</v>
      </c>
      <c r="I24" s="28"/>
      <c r="J24" s="28"/>
      <c r="K24" s="43" t="s">
        <v>17</v>
      </c>
      <c r="L24" s="31">
        <f>AVERAGE(L11:L12)</f>
        <v>0</v>
      </c>
      <c r="M24" s="32">
        <f>AVERAGE(M11)</f>
        <v>2.9330412657550719E-2</v>
      </c>
      <c r="N24" s="32">
        <f t="shared" ref="N24:R24" si="28">AVERAGE(N11)</f>
        <v>2.8506360919405952E-2</v>
      </c>
      <c r="O24" s="32">
        <f t="shared" si="28"/>
        <v>6.9958416234574841E-2</v>
      </c>
      <c r="P24" s="32">
        <f t="shared" si="28"/>
        <v>0.10231409957546565</v>
      </c>
      <c r="Q24" s="32">
        <f t="shared" si="28"/>
        <v>0.1628948256125623</v>
      </c>
      <c r="R24" s="44">
        <f t="shared" si="28"/>
        <v>0.12158900682333874</v>
      </c>
      <c r="S24" s="26">
        <f t="shared" si="8"/>
        <v>1.3705422237167766</v>
      </c>
      <c r="V24" s="3"/>
    </row>
    <row r="25" spans="1:36" x14ac:dyDescent="0.25">
      <c r="A25" s="37" t="s">
        <v>122</v>
      </c>
      <c r="B25" s="29">
        <f>AVERAGE(B13:B14)</f>
        <v>0</v>
      </c>
      <c r="C25" s="31">
        <f t="shared" ref="C25:D25" si="29">AVERAGE(C13:C14)</f>
        <v>1.3842926278012895</v>
      </c>
      <c r="D25" s="31">
        <f t="shared" si="29"/>
        <v>1.6757435952253903</v>
      </c>
      <c r="E25" s="31">
        <f t="shared" ref="E25:F25" si="30">AVERAGE(E13:E14)</f>
        <v>2.5313432426381421</v>
      </c>
      <c r="F25" s="31">
        <f t="shared" si="30"/>
        <v>2.8863799831150718</v>
      </c>
      <c r="G25" s="31">
        <f t="shared" ref="G25" si="31">AVERAGE(G13:G14)</f>
        <v>12.739746671846692</v>
      </c>
      <c r="H25" s="47">
        <f t="shared" ref="H25" si="32">AVERAGE(H13:H14)</f>
        <v>10.863783404189874</v>
      </c>
      <c r="I25" s="28"/>
      <c r="J25" s="28"/>
      <c r="K25" s="43" t="s">
        <v>122</v>
      </c>
      <c r="L25" s="31">
        <f>AVERAGE(L13:L14)</f>
        <v>0</v>
      </c>
      <c r="M25" s="32">
        <f t="shared" ref="M25" si="33">AVERAGE(M13:M14)</f>
        <v>2.4729949943053942E-2</v>
      </c>
      <c r="N25" s="32">
        <f>AVERAGE(N13:N14)</f>
        <v>2.9940178040559789E-2</v>
      </c>
      <c r="O25" s="32">
        <f t="shared" ref="O25:P25" si="34">AVERAGE(O13:O14)</f>
        <v>4.5221227594969216E-2</v>
      </c>
      <c r="P25" s="32">
        <f t="shared" si="34"/>
        <v>5.1564025722993539E-2</v>
      </c>
      <c r="Q25" s="32">
        <f t="shared" ref="Q25" si="35">AVERAGE(Q13:Q14)</f>
        <v>0.22757728188635001</v>
      </c>
      <c r="R25" s="44">
        <f t="shared" ref="R25" si="36">AVERAGE(R13:R14)</f>
        <v>0.19408193112209926</v>
      </c>
      <c r="S25" s="26">
        <f t="shared" si="8"/>
        <v>2.7838898812118287</v>
      </c>
      <c r="V25" s="3"/>
    </row>
    <row r="26" spans="1:36" ht="15.75" thickBot="1" x14ac:dyDescent="0.3">
      <c r="A26" s="39" t="s">
        <v>45</v>
      </c>
      <c r="B26" s="40">
        <f>AVERAGE(B15:B16)</f>
        <v>0</v>
      </c>
      <c r="C26" s="40">
        <f t="shared" ref="C26:E26" si="37">AVERAGE(C15:C16)</f>
        <v>1.5483528972236971</v>
      </c>
      <c r="D26" s="40" t="e">
        <v>#N/A</v>
      </c>
      <c r="E26" s="40">
        <f t="shared" si="37"/>
        <v>1.9992891005793929</v>
      </c>
      <c r="F26" s="40">
        <f t="shared" ref="F26:G26" si="38">AVERAGE(F15:F16)</f>
        <v>3.6252826203913164</v>
      </c>
      <c r="G26" s="40">
        <f t="shared" si="38"/>
        <v>1.6514320420852198</v>
      </c>
      <c r="H26" s="41">
        <f t="shared" ref="H26" si="39">AVERAGE(H15:H16)</f>
        <v>2.8719317318009723</v>
      </c>
      <c r="K26" s="39" t="s">
        <v>45</v>
      </c>
      <c r="L26" s="40">
        <f>AVERAGE(L15:L16)</f>
        <v>0</v>
      </c>
      <c r="M26" s="45">
        <f t="shared" ref="M26:O26" si="40">AVERAGE(M15:M16)</f>
        <v>2.7652953580648291E-2</v>
      </c>
      <c r="N26" s="45" t="e">
        <v>#N/A</v>
      </c>
      <c r="O26" s="45">
        <f t="shared" si="40"/>
        <v>3.5707538545502085E-2</v>
      </c>
      <c r="P26" s="45">
        <f t="shared" ref="P26:Q26" si="41">AVERAGE(P15:P16)</f>
        <v>6.4747731687697027E-2</v>
      </c>
      <c r="Q26" s="45">
        <f t="shared" si="41"/>
        <v>2.9492582897566497E-2</v>
      </c>
      <c r="R26" s="46">
        <f t="shared" ref="R26" si="42">AVERAGE(R15:R16)</f>
        <v>5.1291643577096535E-2</v>
      </c>
      <c r="S26" s="27"/>
      <c r="V26" s="3"/>
    </row>
    <row r="27" spans="1:36" ht="15.75" thickBot="1" x14ac:dyDescent="0.3">
      <c r="V27" s="3"/>
    </row>
    <row r="28" spans="1:36" x14ac:dyDescent="0.25">
      <c r="K28" s="54" t="s">
        <v>135</v>
      </c>
      <c r="L28" s="35">
        <v>0</v>
      </c>
      <c r="M28" s="35">
        <v>1</v>
      </c>
      <c r="N28" s="35">
        <v>2</v>
      </c>
      <c r="O28" s="35">
        <v>3</v>
      </c>
      <c r="P28" s="35">
        <v>4</v>
      </c>
      <c r="Q28" s="35">
        <v>5</v>
      </c>
      <c r="R28" s="36">
        <v>6</v>
      </c>
      <c r="S28" s="3"/>
      <c r="V28" s="3"/>
    </row>
    <row r="29" spans="1:36" x14ac:dyDescent="0.25">
      <c r="K29" s="37" t="s">
        <v>15</v>
      </c>
      <c r="L29" s="29">
        <f>_xlfn.STDEV.P(L3:L4)</f>
        <v>0</v>
      </c>
      <c r="M29" s="29">
        <f t="shared" ref="M29:Q29" si="43">_xlfn.STDEV.P(M3:M4)</f>
        <v>1.0841355785113378E-3</v>
      </c>
      <c r="N29" s="29">
        <f t="shared" si="43"/>
        <v>1.9730056035461817E-3</v>
      </c>
      <c r="O29" s="29">
        <f t="shared" si="43"/>
        <v>1.8202959279683961E-4</v>
      </c>
      <c r="P29" s="29">
        <f t="shared" si="43"/>
        <v>1.0929740565788874E-3</v>
      </c>
      <c r="Q29" s="29">
        <f t="shared" si="43"/>
        <v>2.3631711635463716E-3</v>
      </c>
      <c r="R29" s="38">
        <f>_xlfn.STDEV.P(R3:R4)</f>
        <v>9.9091421024058088E-4</v>
      </c>
    </row>
    <row r="30" spans="1:36" x14ac:dyDescent="0.25">
      <c r="K30" s="37" t="s">
        <v>120</v>
      </c>
      <c r="L30" s="29">
        <f>_xlfn.STDEV.P(L5:L6)</f>
        <v>0</v>
      </c>
      <c r="M30" s="29">
        <f t="shared" ref="M30:Q30" si="44">_xlfn.STDEV.P(M5:M6)</f>
        <v>1.8743438889900054E-3</v>
      </c>
      <c r="N30" s="29">
        <f t="shared" si="44"/>
        <v>2.2842172530976122E-3</v>
      </c>
      <c r="O30" s="29">
        <f t="shared" si="44"/>
        <v>3.8001379498162798E-3</v>
      </c>
      <c r="P30" s="29">
        <f t="shared" si="44"/>
        <v>4.9573376337484435E-3</v>
      </c>
      <c r="Q30" s="29">
        <f t="shared" si="44"/>
        <v>1.6697876737790107E-3</v>
      </c>
      <c r="R30" s="38">
        <f>_xlfn.STDEV.P(R5:R6)</f>
        <v>2.3968005129758191E-3</v>
      </c>
      <c r="AC30" s="3"/>
    </row>
    <row r="31" spans="1:36" x14ac:dyDescent="0.25">
      <c r="K31" s="37" t="s">
        <v>16</v>
      </c>
      <c r="L31" s="29">
        <f>_xlfn.STDEV.P(L7:L8)</f>
        <v>0</v>
      </c>
      <c r="M31" s="29">
        <f t="shared" ref="M31:Q31" si="45">_xlfn.STDEV.P(M7:M8)</f>
        <v>1.5092387711396985E-3</v>
      </c>
      <c r="N31" s="29">
        <f t="shared" si="45"/>
        <v>2.4045818605488191E-3</v>
      </c>
      <c r="O31" s="29">
        <f>_xlfn.STDEV.P(O7:O8)</f>
        <v>2.5049511262530841E-2</v>
      </c>
      <c r="P31" s="29">
        <f>_xlfn.STDEV.P(P7:P8)</f>
        <v>1.4488464179217217E-2</v>
      </c>
      <c r="Q31" s="29">
        <f t="shared" si="45"/>
        <v>4.1218449338553502E-2</v>
      </c>
      <c r="R31" s="38">
        <f>_xlfn.STDEV.P(R7:R8)</f>
        <v>1.4732792319741074E-2</v>
      </c>
    </row>
    <row r="32" spans="1:36" x14ac:dyDescent="0.25">
      <c r="K32" s="37" t="s">
        <v>121</v>
      </c>
      <c r="L32" s="29">
        <f>_xlfn.STDEV.P(L9:L10)</f>
        <v>0</v>
      </c>
      <c r="M32" s="29">
        <f t="shared" ref="M32:P32" si="46">_xlfn.STDEV.P(M9:M10)</f>
        <v>4.5243244339800842E-4</v>
      </c>
      <c r="N32" s="29">
        <f t="shared" si="46"/>
        <v>5.5527700102618359E-3</v>
      </c>
      <c r="O32" s="29">
        <f>_xlfn.STDEV.P(O9:O10)</f>
        <v>3.2313595564385372E-3</v>
      </c>
      <c r="P32" s="29">
        <f t="shared" si="46"/>
        <v>4.3774365950937262E-2</v>
      </c>
      <c r="Q32" s="29">
        <f>_xlfn.STDEV.P(Q9:Q10)</f>
        <v>3.3628707960340766E-2</v>
      </c>
      <c r="R32" s="38">
        <f>_xlfn.STDEV.P(R9:R10)</f>
        <v>1.8192288798404843E-3</v>
      </c>
    </row>
    <row r="33" spans="1:18" x14ac:dyDescent="0.25">
      <c r="K33" s="37" t="s">
        <v>17</v>
      </c>
      <c r="L33" s="29">
        <f>_xlfn.STDEV.P(L11:L12)</f>
        <v>0</v>
      </c>
      <c r="M33" s="29">
        <f t="shared" ref="M33:Q33" si="47">_xlfn.STDEV.P(M11:M12)</f>
        <v>4.4761075720113064E-3</v>
      </c>
      <c r="N33" s="29">
        <f t="shared" si="47"/>
        <v>5.1133263793438164E-3</v>
      </c>
      <c r="O33" s="29">
        <f>_xlfn.STDEV.P(O11:O12)</f>
        <v>1.5935010968642027E-2</v>
      </c>
      <c r="P33" s="29">
        <f t="shared" si="47"/>
        <v>3.0965380870137605E-2</v>
      </c>
      <c r="Q33" s="29">
        <f t="shared" si="47"/>
        <v>6.7669970599045934E-2</v>
      </c>
      <c r="R33" s="38">
        <f>_xlfn.STDEV.P(R11:R12)</f>
        <v>2.9231251709515488E-2</v>
      </c>
    </row>
    <row r="34" spans="1:18" x14ac:dyDescent="0.25">
      <c r="K34" s="37" t="s">
        <v>122</v>
      </c>
      <c r="L34" s="29">
        <f>_xlfn.STDEV.P(L13:L14)</f>
        <v>0</v>
      </c>
      <c r="M34" s="29">
        <f t="shared" ref="M34:Q34" si="48">_xlfn.STDEV.P(M13:M14)</f>
        <v>2.0927247620063198E-3</v>
      </c>
      <c r="N34" s="29">
        <f t="shared" si="48"/>
        <v>4.4165536411679349E-3</v>
      </c>
      <c r="O34" s="29">
        <f>_xlfn.STDEV.P(O13:O14)</f>
        <v>4.6469145056671074E-3</v>
      </c>
      <c r="P34" s="29">
        <f t="shared" si="48"/>
        <v>4.8329793065189156E-3</v>
      </c>
      <c r="Q34" s="29">
        <f t="shared" si="48"/>
        <v>4.7191841601600802E-2</v>
      </c>
      <c r="R34" s="38">
        <f>_xlfn.STDEV.P(R13:R14)</f>
        <v>8.8310937054053712E-3</v>
      </c>
    </row>
    <row r="35" spans="1:18" ht="15.75" thickBot="1" x14ac:dyDescent="0.3">
      <c r="K35" s="39" t="s">
        <v>45</v>
      </c>
      <c r="L35" s="40">
        <f>_xlfn.STDEV.P(L15:L16)</f>
        <v>0</v>
      </c>
      <c r="M35" s="40">
        <f t="shared" ref="M35:R35" si="49">_xlfn.STDEV.P(M15:M16)</f>
        <v>2.3874531083232405E-3</v>
      </c>
      <c r="N35" s="40" t="e">
        <f t="shared" si="49"/>
        <v>#N/A</v>
      </c>
      <c r="O35" s="40">
        <f>_xlfn.STDEV.P(O15:O16)</f>
        <v>3.1763135239649028E-3</v>
      </c>
      <c r="P35" s="40">
        <f t="shared" si="49"/>
        <v>4.3112289387973179E-3</v>
      </c>
      <c r="Q35" s="40">
        <f t="shared" si="49"/>
        <v>1.0446805470760274E-2</v>
      </c>
      <c r="R35" s="41">
        <f t="shared" si="49"/>
        <v>3.7720713375130992E-3</v>
      </c>
    </row>
    <row r="38" spans="1:18" ht="19.5" thickBot="1" x14ac:dyDescent="0.35">
      <c r="A38" s="53" t="s">
        <v>128</v>
      </c>
    </row>
    <row r="39" spans="1:18" x14ac:dyDescent="0.25">
      <c r="A39" s="48"/>
      <c r="B39" s="35" t="s">
        <v>30</v>
      </c>
      <c r="C39" s="35" t="s">
        <v>31</v>
      </c>
      <c r="D39" s="35" t="s">
        <v>32</v>
      </c>
      <c r="E39" s="35" t="s">
        <v>33</v>
      </c>
      <c r="F39" s="35" t="s">
        <v>34</v>
      </c>
      <c r="G39" s="35" t="s">
        <v>35</v>
      </c>
      <c r="H39" s="35" t="s">
        <v>36</v>
      </c>
      <c r="I39" s="35" t="s">
        <v>37</v>
      </c>
      <c r="J39" s="35" t="s">
        <v>38</v>
      </c>
      <c r="K39" s="35" t="s">
        <v>39</v>
      </c>
      <c r="L39" s="35" t="s">
        <v>40</v>
      </c>
      <c r="M39" s="35" t="s">
        <v>41</v>
      </c>
      <c r="N39" s="35" t="s">
        <v>42</v>
      </c>
      <c r="O39" s="36" t="s">
        <v>43</v>
      </c>
    </row>
    <row r="40" spans="1:18" x14ac:dyDescent="0.25">
      <c r="A40" s="37" t="s">
        <v>56</v>
      </c>
      <c r="B40" s="29">
        <f>'VFA day 6'!D16/1000</f>
        <v>2.3607538659339689</v>
      </c>
      <c r="C40" s="29">
        <f>'VFA day 6'!I16/1000</f>
        <v>2.3130758135712104</v>
      </c>
      <c r="D40" s="29">
        <f>'VFA day 6'!N16/1000</f>
        <v>2.7540024418219997</v>
      </c>
      <c r="E40" s="29">
        <f>'VFA day 6'!S16/1000</f>
        <v>2.453821424146073</v>
      </c>
      <c r="F40" s="29">
        <f>'VFA day 6'!D28/1000</f>
        <v>4.1515415126791719</v>
      </c>
      <c r="G40" s="29">
        <f>'VFA day 6'!I28/1000</f>
        <v>4.3186054081582776</v>
      </c>
      <c r="H40" s="29">
        <f>'VFA day 6'!N28/1000</f>
        <v>2.5125607846569911</v>
      </c>
      <c r="I40" s="29">
        <f>'VFA day 6'!S28/1000</f>
        <v>3.1602194479527008</v>
      </c>
      <c r="J40" s="29">
        <f>'VFA day 6'!D40/1000</f>
        <v>4.106533431248728</v>
      </c>
      <c r="K40" s="29">
        <f>'VFA day 6'!I40/1000</f>
        <v>3.144581046777716</v>
      </c>
      <c r="L40" s="29">
        <f>'VFA day 6'!N40/1000</f>
        <v>6.6590256425413612</v>
      </c>
      <c r="M40" s="29">
        <f>'VFA day 6'!S40/1000</f>
        <v>7.0610469800641384</v>
      </c>
      <c r="N40" s="29">
        <f>'VFA day 6'!D52/1000</f>
        <v>2.3084987205443852</v>
      </c>
      <c r="O40" s="38">
        <f>'VFA day 6'!I52/2000</f>
        <v>1.1475744329414064</v>
      </c>
    </row>
    <row r="41" spans="1:18" x14ac:dyDescent="0.25">
      <c r="A41" s="37" t="s">
        <v>57</v>
      </c>
      <c r="B41" s="29">
        <f>'VFA day 6'!D17/1000</f>
        <v>0.14970637877495158</v>
      </c>
      <c r="C41" s="29">
        <f>'VFA day 6'!I17/1000</f>
        <v>0.1346860461145172</v>
      </c>
      <c r="D41" s="29">
        <f>'VFA day 6'!N17/1000</f>
        <v>0.13398196802105936</v>
      </c>
      <c r="E41" s="29">
        <f>'VFA day 6'!S17/1000</f>
        <v>0.11755347917370924</v>
      </c>
      <c r="F41" s="29">
        <f>'VFA day 6'!D29/1000</f>
        <v>1.8709426245816041</v>
      </c>
      <c r="G41" s="29">
        <f>'VFA day 6'!I29/1000</f>
        <v>0.88100882517985057</v>
      </c>
      <c r="H41" s="29">
        <f>'VFA day 6'!N29/1000</f>
        <v>0.74699929472503757</v>
      </c>
      <c r="I41" s="29">
        <f>'VFA day 6'!S29/1000</f>
        <v>1.2147418414788769</v>
      </c>
      <c r="J41" s="29">
        <f>'VFA day 6'!D41/1000</f>
        <v>0.91879434952875594</v>
      </c>
      <c r="K41" s="29">
        <f>'VFA day 6'!I41/1000</f>
        <v>0.17341034125469959</v>
      </c>
      <c r="L41" s="29">
        <f>'VFA day 6'!N41/1000</f>
        <v>2.782019677516077</v>
      </c>
      <c r="M41" s="29">
        <f>'VFA day 6'!S41/1000</f>
        <v>2.859702960494261</v>
      </c>
      <c r="N41" s="29">
        <f>'VFA day 6'!D53/1000</f>
        <v>0.13492073881233649</v>
      </c>
      <c r="O41" s="38">
        <f>'VFA day 6'!I53/2000</f>
        <v>6.1827744658505351E-2</v>
      </c>
    </row>
    <row r="42" spans="1:18" x14ac:dyDescent="0.25">
      <c r="A42" s="37" t="s">
        <v>58</v>
      </c>
      <c r="B42" s="29">
        <f>'VFA day 6'!D18/1000</f>
        <v>0</v>
      </c>
      <c r="C42" s="29">
        <f>'VFA day 6'!I18/1000</f>
        <v>0</v>
      </c>
      <c r="D42" s="29">
        <f>'VFA day 6'!N18/1000</f>
        <v>0</v>
      </c>
      <c r="E42" s="29">
        <f>'VFA day 6'!S18/1000</f>
        <v>0</v>
      </c>
      <c r="F42" s="29">
        <f>'VFA day 6'!D30/1000</f>
        <v>0.12240568476390397</v>
      </c>
      <c r="G42" s="29">
        <f>'VFA day 6'!I30/1000</f>
        <v>0</v>
      </c>
      <c r="H42" s="29">
        <f>'VFA day 6'!N30/1000</f>
        <v>0.13794853625680667</v>
      </c>
      <c r="I42" s="29">
        <f>'VFA day 6'!S30/1000</f>
        <v>0</v>
      </c>
      <c r="J42" s="29">
        <f>'VFA day 6'!D42/1000</f>
        <v>0.16809792288761796</v>
      </c>
      <c r="K42" s="29">
        <f>'VFA day 6'!I42/1000</f>
        <v>0</v>
      </c>
      <c r="L42" s="29">
        <f>'VFA day 6'!N42/1000</f>
        <v>0.14918433251673632</v>
      </c>
      <c r="M42" s="29">
        <f>'VFA day 6'!S42/1000</f>
        <v>0.16397813092564373</v>
      </c>
      <c r="N42" s="29">
        <f>'VFA day 6'!D54/1000</f>
        <v>0</v>
      </c>
      <c r="O42" s="38">
        <f>'VFA day 6'!I54/2000</f>
        <v>0</v>
      </c>
    </row>
    <row r="43" spans="1:18" x14ac:dyDescent="0.25">
      <c r="A43" s="37" t="s">
        <v>59</v>
      </c>
      <c r="B43" s="29">
        <f>'VFA day 6'!D19/1000</f>
        <v>0.29159949169590366</v>
      </c>
      <c r="C43" s="29">
        <f>'VFA day 6'!I19/1000</f>
        <v>0.46614573642721946</v>
      </c>
      <c r="D43" s="29">
        <f>'VFA day 6'!N19/1000</f>
        <v>0.15359832312966892</v>
      </c>
      <c r="E43" s="29">
        <f>'VFA day 6'!S19/1000</f>
        <v>0.10817801418163961</v>
      </c>
      <c r="F43" s="29">
        <f>'VFA day 6'!D31/1000</f>
        <v>3.1015678004462091</v>
      </c>
      <c r="G43" s="29">
        <f>'VFA day 6'!I31/1000</f>
        <v>2.4954416086225071</v>
      </c>
      <c r="H43" s="29">
        <f>'VFA day 6'!N31/1000</f>
        <v>3.9812599909913748</v>
      </c>
      <c r="I43" s="29">
        <f>'VFA day 6'!S31/1000</f>
        <v>2.9903663544010342</v>
      </c>
      <c r="J43" s="29">
        <f>'VFA day 6'!D43/1000</f>
        <v>2.5011844063055912</v>
      </c>
      <c r="K43" s="29">
        <f>'VFA day 6'!I43/1000</f>
        <v>0.76320499839766409</v>
      </c>
      <c r="L43" s="29">
        <f>'VFA day 6'!N43/1000</f>
        <v>0.58604839108312834</v>
      </c>
      <c r="M43" s="29">
        <f>'VFA day 6'!S43/1000</f>
        <v>1.0724459524231358</v>
      </c>
      <c r="N43" s="29">
        <f>'VFA day 6'!D55/1000</f>
        <v>0.121751899614384</v>
      </c>
      <c r="O43" s="38">
        <f>'VFA day 6'!I55/2000</f>
        <v>0.28501908361968925</v>
      </c>
    </row>
    <row r="44" spans="1:18" x14ac:dyDescent="0.25">
      <c r="A44" s="37" t="s">
        <v>60</v>
      </c>
      <c r="B44" s="29">
        <f>'VFA day 6'!D20/1000</f>
        <v>0</v>
      </c>
      <c r="C44" s="29">
        <f>'VFA day 6'!I20/1000</f>
        <v>0</v>
      </c>
      <c r="D44" s="29">
        <f>'VFA day 6'!N20/1000</f>
        <v>0</v>
      </c>
      <c r="E44" s="29">
        <f>'VFA day 6'!S20/1000</f>
        <v>0</v>
      </c>
      <c r="F44" s="29">
        <f>'VFA day 6'!D32/1000</f>
        <v>0.13519789233321286</v>
      </c>
      <c r="G44" s="29">
        <f>'VFA day 6'!I32/1000</f>
        <v>0</v>
      </c>
      <c r="H44" s="29">
        <f>'VFA day 6'!N32/1000</f>
        <v>0.17549454359833605</v>
      </c>
      <c r="I44" s="29">
        <f>'VFA day 6'!S32/1000</f>
        <v>0.11386437107520646</v>
      </c>
      <c r="J44" s="29">
        <f>'VFA day 6'!D44/1000</f>
        <v>0.18592426510225027</v>
      </c>
      <c r="K44" s="29">
        <f>'VFA day 6'!I44/1000</f>
        <v>0</v>
      </c>
      <c r="L44" s="29">
        <f>'VFA day 6'!N44/1000</f>
        <v>0.17660072618208456</v>
      </c>
      <c r="M44" s="29">
        <f>'VFA day 6'!S44/1000</f>
        <v>0.2064676559432935</v>
      </c>
      <c r="N44" s="29">
        <f>'VFA day 6'!D56/1000</f>
        <v>0</v>
      </c>
      <c r="O44" s="38">
        <f>'VFA day 6'!I56/2000</f>
        <v>0</v>
      </c>
    </row>
    <row r="45" spans="1:18" x14ac:dyDescent="0.25">
      <c r="A45" s="37" t="s">
        <v>61</v>
      </c>
      <c r="B45" s="29">
        <f>'VFA day 6'!D21/1000</f>
        <v>0</v>
      </c>
      <c r="C45" s="29">
        <f>'VFA day 6'!I21/1000</f>
        <v>0</v>
      </c>
      <c r="D45" s="29">
        <f>'VFA day 6'!N21/1000</f>
        <v>0</v>
      </c>
      <c r="E45" s="29">
        <f>'VFA day 6'!S21/1000</f>
        <v>9.2811566190803177E-2</v>
      </c>
      <c r="F45" s="29">
        <f>'VFA day 6'!D33/1000</f>
        <v>9.386817864331079E-2</v>
      </c>
      <c r="G45" s="29">
        <f>'VFA day 6'!I33/1000</f>
        <v>0</v>
      </c>
      <c r="H45" s="29">
        <f>'VFA day 6'!N33/1000</f>
        <v>0.1124343688802303</v>
      </c>
      <c r="I45" s="29">
        <f>'VFA day 6'!S33/1000</f>
        <v>0</v>
      </c>
      <c r="J45" s="29">
        <f>'VFA day 6'!D45/1000</f>
        <v>0.12979300202856969</v>
      </c>
      <c r="K45" s="29">
        <f>'VFA day 6'!I45/1000</f>
        <v>9.2358732282585621E-2</v>
      </c>
      <c r="L45" s="29">
        <f>'VFA day 6'!N45/1000</f>
        <v>0</v>
      </c>
      <c r="M45" s="29">
        <f>'VFA day 6'!S45/1000</f>
        <v>0</v>
      </c>
      <c r="N45" s="29">
        <f>'VFA day 6'!D57/1000</f>
        <v>9.5075735731890917E-2</v>
      </c>
      <c r="O45" s="38">
        <f>'VFA day 6'!I57/2000</f>
        <v>4.7386923229872945E-2</v>
      </c>
    </row>
    <row r="46" spans="1:18" x14ac:dyDescent="0.25">
      <c r="A46" s="37" t="s">
        <v>62</v>
      </c>
      <c r="B46" s="29">
        <f>'VFA day 6'!D22/1000</f>
        <v>0</v>
      </c>
      <c r="C46" s="29">
        <f>'VFA day 6'!I22/1000</f>
        <v>0</v>
      </c>
      <c r="D46" s="29">
        <f>'VFA day 6'!N22/1000</f>
        <v>0</v>
      </c>
      <c r="E46" s="29">
        <f>'VFA day 6'!S22/1000</f>
        <v>0</v>
      </c>
      <c r="F46" s="29">
        <f>'VFA day 6'!D34/1000</f>
        <v>0</v>
      </c>
      <c r="G46" s="29">
        <f>'VFA day 6'!I34/1000</f>
        <v>0</v>
      </c>
      <c r="H46" s="29">
        <f>'VFA day 6'!N34/1000</f>
        <v>1.0837605629215038E-2</v>
      </c>
      <c r="I46" s="29">
        <f>'VFA day 6'!S34/1000</f>
        <v>0</v>
      </c>
      <c r="J46" s="29">
        <f>'VFA day 6'!D46/1000</f>
        <v>1.2925136235957983E-2</v>
      </c>
      <c r="K46" s="29">
        <f>'VFA day 6'!I46/1000</f>
        <v>0</v>
      </c>
      <c r="L46" s="29">
        <f>'VFA day 6'!N46/1000</f>
        <v>1.1046358689889332E-2</v>
      </c>
      <c r="M46" s="29">
        <f>'VFA day 6'!S46/1000</f>
        <v>0</v>
      </c>
      <c r="N46" s="29">
        <f>'VFA day 6'!D58/1000</f>
        <v>0</v>
      </c>
      <c r="O46" s="38">
        <f>'VFA day 6'!I58/2000</f>
        <v>0</v>
      </c>
    </row>
    <row r="47" spans="1:18" ht="15.75" thickBot="1" x14ac:dyDescent="0.3">
      <c r="A47" s="39" t="s">
        <v>63</v>
      </c>
      <c r="B47" s="40">
        <f>'VFA day 6'!D23/1000</f>
        <v>0</v>
      </c>
      <c r="C47" s="40">
        <f>'VFA day 6'!I23/1000</f>
        <v>0</v>
      </c>
      <c r="D47" s="40">
        <f>'VFA day 6'!N23/1000</f>
        <v>0</v>
      </c>
      <c r="E47" s="40">
        <f>'VFA day 6'!S23/1000</f>
        <v>0</v>
      </c>
      <c r="F47" s="40">
        <f>'VFA day 6'!D35/1000</f>
        <v>0</v>
      </c>
      <c r="G47" s="40">
        <f>'VFA day 6'!I35/1000</f>
        <v>0</v>
      </c>
      <c r="H47" s="40">
        <f>'VFA day 6'!N35/1000</f>
        <v>0</v>
      </c>
      <c r="I47" s="40">
        <f>'VFA day 6'!S35/1000</f>
        <v>0</v>
      </c>
      <c r="J47" s="40">
        <f>'VFA day 6'!D47/1000</f>
        <v>1.3317725847940795E-2</v>
      </c>
      <c r="K47" s="40">
        <f>'VFA day 6'!I47/1000</f>
        <v>0</v>
      </c>
      <c r="L47" s="40">
        <f>'VFA day 6'!N47/1000</f>
        <v>0</v>
      </c>
      <c r="M47" s="40">
        <f>'VFA day 6'!S47/1000</f>
        <v>0</v>
      </c>
      <c r="N47" s="40">
        <f>'VFA day 6'!D59/1000</f>
        <v>0</v>
      </c>
      <c r="O47" s="41">
        <f>'VFA day 6'!I59/2000</f>
        <v>0</v>
      </c>
    </row>
    <row r="49" spans="1:17" ht="15.75" thickBot="1" x14ac:dyDescent="0.3">
      <c r="A49" s="52" t="s">
        <v>44</v>
      </c>
      <c r="B49" s="3"/>
      <c r="F49" s="3"/>
    </row>
    <row r="50" spans="1:17" x14ac:dyDescent="0.25">
      <c r="A50" s="34" t="s">
        <v>129</v>
      </c>
      <c r="B50" s="35" t="s">
        <v>15</v>
      </c>
      <c r="C50" s="35" t="s">
        <v>120</v>
      </c>
      <c r="D50" s="35" t="s">
        <v>16</v>
      </c>
      <c r="E50" s="35" t="s">
        <v>121</v>
      </c>
      <c r="F50" s="35" t="s">
        <v>17</v>
      </c>
      <c r="G50" s="35" t="s">
        <v>122</v>
      </c>
      <c r="H50" s="36" t="s">
        <v>45</v>
      </c>
      <c r="J50" s="34" t="s">
        <v>132</v>
      </c>
      <c r="K50" s="35" t="s">
        <v>15</v>
      </c>
      <c r="L50" s="35" t="s">
        <v>120</v>
      </c>
      <c r="M50" s="35" t="s">
        <v>16</v>
      </c>
      <c r="N50" s="35" t="s">
        <v>121</v>
      </c>
      <c r="O50" s="35" t="s">
        <v>17</v>
      </c>
      <c r="P50" s="35" t="s">
        <v>122</v>
      </c>
      <c r="Q50" s="36" t="s">
        <v>45</v>
      </c>
    </row>
    <row r="51" spans="1:17" x14ac:dyDescent="0.25">
      <c r="A51" s="37" t="s">
        <v>56</v>
      </c>
      <c r="B51" s="29">
        <f>AVERAGE(B40:C40)</f>
        <v>2.3369148397525894</v>
      </c>
      <c r="C51" s="29">
        <f>AVERAGE(D40:E40)</f>
        <v>2.6039119329840363</v>
      </c>
      <c r="D51" s="29">
        <f>AVERAGE(F40:G40)</f>
        <v>4.2350734604187252</v>
      </c>
      <c r="E51" s="29">
        <f>AVERAGE(H40:I40)</f>
        <v>2.8363901163048459</v>
      </c>
      <c r="F51" s="33">
        <f>AVERAGE(J40)</f>
        <v>4.106533431248728</v>
      </c>
      <c r="G51" s="29">
        <f>AVERAGE(L40:M40)</f>
        <v>6.8600363113027498</v>
      </c>
      <c r="H51" s="38">
        <f>AVERAGE(N40:O40)</f>
        <v>1.7280365767428958</v>
      </c>
      <c r="J51" s="37" t="s">
        <v>56</v>
      </c>
      <c r="K51" s="24">
        <f>B51/B$59</f>
        <v>0.81767956456225044</v>
      </c>
      <c r="L51" s="24">
        <f t="shared" ref="L51:Q58" si="50">C51/C$59</f>
        <v>0.89574667121856499</v>
      </c>
      <c r="M51" s="24">
        <f t="shared" si="50"/>
        <v>0.49329417818256305</v>
      </c>
      <c r="N51" s="24">
        <f t="shared" si="50"/>
        <v>0.37427474812628031</v>
      </c>
      <c r="O51" s="24">
        <f t="shared" si="50"/>
        <v>0.51098084245263387</v>
      </c>
      <c r="P51" s="24">
        <f t="shared" si="50"/>
        <v>0.63145923073696553</v>
      </c>
      <c r="Q51" s="49">
        <f t="shared" si="50"/>
        <v>0.82247208184820952</v>
      </c>
    </row>
    <row r="52" spans="1:17" x14ac:dyDescent="0.25">
      <c r="A52" s="37" t="s">
        <v>57</v>
      </c>
      <c r="B52" s="29">
        <f>AVERAGE(B41:C41)</f>
        <v>0.1421962124447344</v>
      </c>
      <c r="C52" s="29">
        <f t="shared" ref="C52:C58" si="51">AVERAGE(D41:E41)</f>
        <v>0.12576772359738431</v>
      </c>
      <c r="D52" s="29">
        <f t="shared" ref="D52:D58" si="52">AVERAGE(F41:G41)</f>
        <v>1.3759757248807274</v>
      </c>
      <c r="E52" s="29">
        <f t="shared" ref="E52:E58" si="53">AVERAGE(H41:I41)</f>
        <v>0.98087056810195716</v>
      </c>
      <c r="F52" s="33">
        <f t="shared" ref="F52:F58" si="54">AVERAGE(J41)</f>
        <v>0.91879434952875594</v>
      </c>
      <c r="G52" s="29">
        <f t="shared" ref="G52:G58" si="55">AVERAGE(L41:M41)</f>
        <v>2.8208613190051688</v>
      </c>
      <c r="H52" s="38">
        <f t="shared" ref="H52:H58" si="56">AVERAGE(N41:O41)</f>
        <v>9.837424173542092E-2</v>
      </c>
      <c r="J52" s="37" t="s">
        <v>57</v>
      </c>
      <c r="K52" s="24">
        <f>B52/B$59</f>
        <v>4.9754032580203632E-2</v>
      </c>
      <c r="L52" s="24">
        <f t="shared" si="50"/>
        <v>4.3264143587986775E-2</v>
      </c>
      <c r="M52" s="24">
        <f t="shared" si="50"/>
        <v>0.16027132014307144</v>
      </c>
      <c r="N52" s="24">
        <f t="shared" si="50"/>
        <v>0.12943039207142165</v>
      </c>
      <c r="O52" s="24">
        <f t="shared" si="50"/>
        <v>0.11432667446229959</v>
      </c>
      <c r="P52" s="24">
        <f t="shared" si="50"/>
        <v>0.25965736006088241</v>
      </c>
      <c r="Q52" s="49">
        <f t="shared" si="50"/>
        <v>4.6821964586464183E-2</v>
      </c>
    </row>
    <row r="53" spans="1:17" x14ac:dyDescent="0.25">
      <c r="A53" s="37" t="s">
        <v>58</v>
      </c>
      <c r="B53" s="29">
        <f t="shared" ref="B53:B58" si="57">AVERAGE(B42:C42)</f>
        <v>0</v>
      </c>
      <c r="C53" s="29">
        <f t="shared" si="51"/>
        <v>0</v>
      </c>
      <c r="D53" s="29">
        <f t="shared" si="52"/>
        <v>6.1202842381951984E-2</v>
      </c>
      <c r="E53" s="29">
        <f t="shared" si="53"/>
        <v>6.8974268128403335E-2</v>
      </c>
      <c r="F53" s="33">
        <f t="shared" si="54"/>
        <v>0.16809792288761796</v>
      </c>
      <c r="G53" s="29">
        <f t="shared" si="55"/>
        <v>0.15658123172119004</v>
      </c>
      <c r="H53" s="38">
        <f t="shared" si="56"/>
        <v>0</v>
      </c>
      <c r="J53" s="37" t="s">
        <v>58</v>
      </c>
      <c r="K53" s="24">
        <f>B53/B$59</f>
        <v>0</v>
      </c>
      <c r="L53" s="24">
        <f t="shared" si="50"/>
        <v>0</v>
      </c>
      <c r="M53" s="24">
        <f t="shared" si="50"/>
        <v>7.1288033412900791E-3</v>
      </c>
      <c r="N53" s="24">
        <f t="shared" si="50"/>
        <v>9.1014725663280845E-3</v>
      </c>
      <c r="O53" s="24">
        <f t="shared" si="50"/>
        <v>2.0916624615310568E-2</v>
      </c>
      <c r="P53" s="24">
        <f t="shared" si="50"/>
        <v>1.4413140054025822E-2</v>
      </c>
      <c r="Q53" s="49">
        <f t="shared" si="50"/>
        <v>0</v>
      </c>
    </row>
    <row r="54" spans="1:17" x14ac:dyDescent="0.25">
      <c r="A54" s="37" t="s">
        <v>59</v>
      </c>
      <c r="B54" s="29">
        <f t="shared" si="57"/>
        <v>0.37887261406156159</v>
      </c>
      <c r="C54" s="29">
        <f t="shared" si="51"/>
        <v>0.13088816865565428</v>
      </c>
      <c r="D54" s="29">
        <f t="shared" si="52"/>
        <v>2.7985047045343583</v>
      </c>
      <c r="E54" s="29">
        <f t="shared" si="53"/>
        <v>3.4858131726962043</v>
      </c>
      <c r="F54" s="33">
        <f t="shared" si="54"/>
        <v>2.5011844063055912</v>
      </c>
      <c r="G54" s="29">
        <f t="shared" si="55"/>
        <v>0.82924717175313201</v>
      </c>
      <c r="H54" s="38">
        <f t="shared" si="56"/>
        <v>0.20338549161703662</v>
      </c>
      <c r="J54" s="37" t="s">
        <v>59</v>
      </c>
      <c r="K54" s="24">
        <f t="shared" ref="K54:K58" si="58">B54/B$59</f>
        <v>0.13256640285754595</v>
      </c>
      <c r="L54" s="24">
        <f t="shared" si="50"/>
        <v>4.5025578588150816E-2</v>
      </c>
      <c r="M54" s="24">
        <f t="shared" si="50"/>
        <v>0.32596508449391171</v>
      </c>
      <c r="N54" s="24">
        <f t="shared" si="50"/>
        <v>0.45996911346095037</v>
      </c>
      <c r="O54" s="24">
        <f t="shared" si="50"/>
        <v>0.31122535259010081</v>
      </c>
      <c r="P54" s="24">
        <f t="shared" si="50"/>
        <v>7.633134248914733E-2</v>
      </c>
      <c r="Q54" s="49">
        <f t="shared" si="50"/>
        <v>9.6802863411191611E-2</v>
      </c>
    </row>
    <row r="55" spans="1:17" x14ac:dyDescent="0.25">
      <c r="A55" s="37" t="s">
        <v>60</v>
      </c>
      <c r="B55" s="29">
        <f t="shared" si="57"/>
        <v>0</v>
      </c>
      <c r="C55" s="29">
        <f t="shared" si="51"/>
        <v>0</v>
      </c>
      <c r="D55" s="29">
        <f t="shared" si="52"/>
        <v>6.759894616660643E-2</v>
      </c>
      <c r="E55" s="29">
        <f t="shared" si="53"/>
        <v>0.14467945733677126</v>
      </c>
      <c r="F55" s="33">
        <f t="shared" si="54"/>
        <v>0.18592426510225027</v>
      </c>
      <c r="G55" s="29">
        <f t="shared" si="55"/>
        <v>0.19153419106268904</v>
      </c>
      <c r="H55" s="38">
        <f t="shared" si="56"/>
        <v>0</v>
      </c>
      <c r="J55" s="37" t="s">
        <v>60</v>
      </c>
      <c r="K55" s="24">
        <f t="shared" si="58"/>
        <v>0</v>
      </c>
      <c r="L55" s="24">
        <f t="shared" si="50"/>
        <v>0</v>
      </c>
      <c r="M55" s="24">
        <f t="shared" si="50"/>
        <v>7.8738106686740868E-3</v>
      </c>
      <c r="N55" s="24">
        <f t="shared" si="50"/>
        <v>1.9091121190448802E-2</v>
      </c>
      <c r="O55" s="24">
        <f t="shared" si="50"/>
        <v>2.3134777594016963E-2</v>
      </c>
      <c r="P55" s="24">
        <f>G55/G$59</f>
        <v>1.7630523726091536E-2</v>
      </c>
      <c r="Q55" s="49">
        <f t="shared" si="50"/>
        <v>0</v>
      </c>
    </row>
    <row r="56" spans="1:17" x14ac:dyDescent="0.25">
      <c r="A56" s="37" t="s">
        <v>61</v>
      </c>
      <c r="B56" s="29">
        <f t="shared" si="57"/>
        <v>0</v>
      </c>
      <c r="C56" s="29">
        <f t="shared" si="51"/>
        <v>4.6405783095401588E-2</v>
      </c>
      <c r="D56" s="29">
        <f t="shared" si="52"/>
        <v>4.6934089321655395E-2</v>
      </c>
      <c r="E56" s="29">
        <f t="shared" si="53"/>
        <v>5.6217184440115149E-2</v>
      </c>
      <c r="F56" s="33">
        <f t="shared" si="54"/>
        <v>0.12979300202856969</v>
      </c>
      <c r="G56" s="29">
        <f t="shared" si="55"/>
        <v>0</v>
      </c>
      <c r="H56" s="38">
        <f t="shared" si="56"/>
        <v>7.1231329480881928E-2</v>
      </c>
      <c r="J56" s="37" t="s">
        <v>61</v>
      </c>
      <c r="K56" s="24">
        <f t="shared" si="58"/>
        <v>0</v>
      </c>
      <c r="L56" s="24">
        <f t="shared" si="50"/>
        <v>1.5963606605297415E-2</v>
      </c>
      <c r="M56" s="24">
        <f t="shared" si="50"/>
        <v>5.4668031704894959E-3</v>
      </c>
      <c r="N56" s="24">
        <f t="shared" si="50"/>
        <v>7.4181165791480852E-3</v>
      </c>
      <c r="O56" s="24">
        <f t="shared" si="50"/>
        <v>1.615029772224395E-2</v>
      </c>
      <c r="P56" s="24">
        <f t="shared" si="50"/>
        <v>0</v>
      </c>
      <c r="Q56" s="49">
        <f t="shared" si="50"/>
        <v>3.3903090154134695E-2</v>
      </c>
    </row>
    <row r="57" spans="1:17" x14ac:dyDescent="0.25">
      <c r="A57" s="37" t="s">
        <v>62</v>
      </c>
      <c r="B57" s="29">
        <f t="shared" si="57"/>
        <v>0</v>
      </c>
      <c r="C57" s="29">
        <f t="shared" si="51"/>
        <v>0</v>
      </c>
      <c r="D57" s="29">
        <f t="shared" si="52"/>
        <v>0</v>
      </c>
      <c r="E57" s="29">
        <f t="shared" si="53"/>
        <v>5.4188028146075189E-3</v>
      </c>
      <c r="F57" s="33">
        <f t="shared" si="54"/>
        <v>1.2925136235957983E-2</v>
      </c>
      <c r="G57" s="29">
        <f t="shared" si="55"/>
        <v>5.5231793449446662E-3</v>
      </c>
      <c r="H57" s="38">
        <f t="shared" si="56"/>
        <v>0</v>
      </c>
      <c r="J57" s="37" t="s">
        <v>62</v>
      </c>
      <c r="K57" s="24">
        <f t="shared" si="58"/>
        <v>0</v>
      </c>
      <c r="L57" s="24">
        <f t="shared" si="50"/>
        <v>0</v>
      </c>
      <c r="M57" s="24">
        <f t="shared" si="50"/>
        <v>0</v>
      </c>
      <c r="N57" s="24">
        <f t="shared" si="50"/>
        <v>7.1503600542275768E-4</v>
      </c>
      <c r="O57" s="24">
        <f t="shared" si="50"/>
        <v>1.6082900853571179E-3</v>
      </c>
      <c r="P57" s="24">
        <f t="shared" si="50"/>
        <v>5.0840293288749872E-4</v>
      </c>
      <c r="Q57" s="49">
        <f t="shared" si="50"/>
        <v>0</v>
      </c>
    </row>
    <row r="58" spans="1:17" ht="15.75" thickBot="1" x14ac:dyDescent="0.3">
      <c r="A58" s="37" t="s">
        <v>63</v>
      </c>
      <c r="B58" s="29">
        <f t="shared" si="57"/>
        <v>0</v>
      </c>
      <c r="C58" s="29">
        <f t="shared" si="51"/>
        <v>0</v>
      </c>
      <c r="D58" s="29">
        <f t="shared" si="52"/>
        <v>0</v>
      </c>
      <c r="E58" s="29">
        <f t="shared" si="53"/>
        <v>0</v>
      </c>
      <c r="F58" s="33">
        <f t="shared" si="54"/>
        <v>1.3317725847940795E-2</v>
      </c>
      <c r="G58" s="29">
        <f t="shared" si="55"/>
        <v>0</v>
      </c>
      <c r="H58" s="38">
        <f t="shared" si="56"/>
        <v>0</v>
      </c>
      <c r="J58" s="39" t="s">
        <v>63</v>
      </c>
      <c r="K58" s="50">
        <f t="shared" si="58"/>
        <v>0</v>
      </c>
      <c r="L58" s="50">
        <f t="shared" si="50"/>
        <v>0</v>
      </c>
      <c r="M58" s="50">
        <f t="shared" si="50"/>
        <v>0</v>
      </c>
      <c r="N58" s="50">
        <f t="shared" si="50"/>
        <v>0</v>
      </c>
      <c r="O58" s="50">
        <f t="shared" si="50"/>
        <v>1.6571404780368942E-3</v>
      </c>
      <c r="P58" s="50">
        <f t="shared" si="50"/>
        <v>0</v>
      </c>
      <c r="Q58" s="51">
        <f t="shared" si="50"/>
        <v>0</v>
      </c>
    </row>
    <row r="59" spans="1:17" ht="15.75" thickBot="1" x14ac:dyDescent="0.3">
      <c r="A59" s="39" t="s">
        <v>14</v>
      </c>
      <c r="B59" s="40">
        <f>SUM(B51:B58)</f>
        <v>2.8579836662588853</v>
      </c>
      <c r="C59" s="40">
        <f t="shared" ref="C59:H59" si="59">SUM(C51:C58)</f>
        <v>2.9069736083324766</v>
      </c>
      <c r="D59" s="40">
        <f t="shared" si="59"/>
        <v>8.5852897677040261</v>
      </c>
      <c r="E59" s="40">
        <f t="shared" si="59"/>
        <v>7.5783635698229039</v>
      </c>
      <c r="F59" s="40">
        <f t="shared" si="59"/>
        <v>8.0365702391854139</v>
      </c>
      <c r="G59" s="40">
        <f t="shared" si="59"/>
        <v>10.863783404189872</v>
      </c>
      <c r="H59" s="41">
        <f t="shared" si="59"/>
        <v>2.1010276395762353</v>
      </c>
    </row>
    <row r="60" spans="1:17" x14ac:dyDescent="0.25">
      <c r="A60" s="3"/>
    </row>
    <row r="61" spans="1:17" ht="15.75" thickBot="1" x14ac:dyDescent="0.3">
      <c r="A61" s="52" t="s">
        <v>135</v>
      </c>
    </row>
    <row r="62" spans="1:17" x14ac:dyDescent="0.25">
      <c r="A62" s="34" t="s">
        <v>129</v>
      </c>
      <c r="B62" s="35" t="s">
        <v>15</v>
      </c>
      <c r="C62" s="35" t="s">
        <v>120</v>
      </c>
      <c r="D62" s="35" t="s">
        <v>16</v>
      </c>
      <c r="E62" s="35" t="s">
        <v>121</v>
      </c>
      <c r="F62" s="35" t="s">
        <v>17</v>
      </c>
      <c r="G62" s="35" t="s">
        <v>122</v>
      </c>
      <c r="H62" s="36" t="s">
        <v>45</v>
      </c>
    </row>
    <row r="63" spans="1:17" x14ac:dyDescent="0.25">
      <c r="A63" s="37" t="s">
        <v>113</v>
      </c>
      <c r="B63" s="29">
        <f>_xlfn.STDEV.P(B40:C40)</f>
        <v>2.383902618137923E-2</v>
      </c>
      <c r="C63" s="29">
        <f>_xlfn.STDEV.P(D40:E40)</f>
        <v>0.15009050883796338</v>
      </c>
      <c r="D63" s="29">
        <f>_xlfn.STDEV.P(F40:G40)</f>
        <v>8.3531947739552859E-2</v>
      </c>
      <c r="E63" s="29">
        <f>_xlfn.STDEV.P(H40:I40)</f>
        <v>0.32382933164785416</v>
      </c>
      <c r="F63" s="29"/>
      <c r="G63" s="29">
        <f>_xlfn.STDEV.P(L40:M40)</f>
        <v>0.20101066876138862</v>
      </c>
      <c r="H63" s="38">
        <f>_xlfn.STDEV.P(N40:O40)</f>
        <v>0.58046214380148942</v>
      </c>
    </row>
    <row r="64" spans="1:17" x14ac:dyDescent="0.25">
      <c r="A64" s="37" t="s">
        <v>114</v>
      </c>
      <c r="B64" s="29">
        <f t="shared" ref="B64:B70" si="60">_xlfn.STDEV.P(B41:C41)</f>
        <v>7.5101663302171856E-3</v>
      </c>
      <c r="C64" s="29">
        <f>_xlfn.STDEV.P(D41:E41)</f>
        <v>8.2142444236750559E-3</v>
      </c>
      <c r="D64" s="29">
        <f t="shared" ref="D64:D70" si="61">_xlfn.STDEV.P(F41:G41)</f>
        <v>0.49496689970087665</v>
      </c>
      <c r="E64" s="29">
        <f>_xlfn.STDEV.P(H41:I41)</f>
        <v>0.23387127337691999</v>
      </c>
      <c r="F64" s="29"/>
      <c r="G64" s="29">
        <f t="shared" ref="G64:G70" si="62">_xlfn.STDEV.P(L41:M41)</f>
        <v>3.8841641489091971E-2</v>
      </c>
      <c r="H64" s="38">
        <f>_xlfn.STDEV.P(N41:O41)</f>
        <v>3.6546497076915554E-2</v>
      </c>
    </row>
    <row r="65" spans="1:8" x14ac:dyDescent="0.25">
      <c r="A65" s="37" t="s">
        <v>115</v>
      </c>
      <c r="B65" s="29">
        <f t="shared" si="60"/>
        <v>0</v>
      </c>
      <c r="C65" s="29">
        <f t="shared" ref="C65:C70" si="63">_xlfn.STDEV.P(D42:E42)</f>
        <v>0</v>
      </c>
      <c r="D65" s="29">
        <f t="shared" si="61"/>
        <v>6.1202842381951984E-2</v>
      </c>
      <c r="E65" s="29">
        <f t="shared" ref="E65:E70" si="64">_xlfn.STDEV.P(H42:I42)</f>
        <v>6.8974268128403335E-2</v>
      </c>
      <c r="F65" s="29"/>
      <c r="G65" s="29">
        <f t="shared" si="62"/>
        <v>7.3968992044537024E-3</v>
      </c>
      <c r="H65" s="38">
        <f t="shared" ref="H65:H70" si="65">_xlfn.STDEV.P(N42:O42)</f>
        <v>0</v>
      </c>
    </row>
    <row r="66" spans="1:8" x14ac:dyDescent="0.25">
      <c r="A66" s="37" t="s">
        <v>116</v>
      </c>
      <c r="B66" s="29">
        <f t="shared" si="60"/>
        <v>8.7273122365657846E-2</v>
      </c>
      <c r="C66" s="29">
        <f t="shared" si="63"/>
        <v>2.2710154474014577E-2</v>
      </c>
      <c r="D66" s="29">
        <f t="shared" si="61"/>
        <v>0.30306309591184999</v>
      </c>
      <c r="E66" s="29">
        <f t="shared" si="64"/>
        <v>0.49544681829517162</v>
      </c>
      <c r="F66" s="29"/>
      <c r="G66" s="29">
        <f t="shared" si="62"/>
        <v>0.24319878067000383</v>
      </c>
      <c r="H66" s="38">
        <f t="shared" si="65"/>
        <v>8.1633592002652619E-2</v>
      </c>
    </row>
    <row r="67" spans="1:8" x14ac:dyDescent="0.25">
      <c r="A67" s="37" t="s">
        <v>117</v>
      </c>
      <c r="B67" s="29">
        <f t="shared" si="60"/>
        <v>0</v>
      </c>
      <c r="C67" s="29">
        <f t="shared" si="63"/>
        <v>0</v>
      </c>
      <c r="D67" s="29">
        <f t="shared" si="61"/>
        <v>6.759894616660643E-2</v>
      </c>
      <c r="E67" s="29">
        <f t="shared" si="64"/>
        <v>3.0815086261564751E-2</v>
      </c>
      <c r="F67" s="29"/>
      <c r="G67" s="29">
        <f t="shared" si="62"/>
        <v>1.4933464880604472E-2</v>
      </c>
      <c r="H67" s="38">
        <f t="shared" si="65"/>
        <v>0</v>
      </c>
    </row>
    <row r="68" spans="1:8" x14ac:dyDescent="0.25">
      <c r="A68" s="37" t="s">
        <v>118</v>
      </c>
      <c r="B68" s="29">
        <f t="shared" si="60"/>
        <v>0</v>
      </c>
      <c r="C68" s="29">
        <f t="shared" si="63"/>
        <v>4.6405783095401588E-2</v>
      </c>
      <c r="D68" s="29">
        <f t="shared" si="61"/>
        <v>4.6934089321655395E-2</v>
      </c>
      <c r="E68" s="29">
        <f t="shared" si="64"/>
        <v>5.6217184440115149E-2</v>
      </c>
      <c r="F68" s="29"/>
      <c r="G68" s="29">
        <f t="shared" si="62"/>
        <v>0</v>
      </c>
      <c r="H68" s="38">
        <f t="shared" si="65"/>
        <v>2.3844406251008993E-2</v>
      </c>
    </row>
    <row r="69" spans="1:8" x14ac:dyDescent="0.25">
      <c r="A69" s="37" t="s">
        <v>62</v>
      </c>
      <c r="B69" s="29">
        <f t="shared" si="60"/>
        <v>0</v>
      </c>
      <c r="C69" s="29">
        <f t="shared" si="63"/>
        <v>0</v>
      </c>
      <c r="D69" s="29">
        <f t="shared" si="61"/>
        <v>0</v>
      </c>
      <c r="E69" s="29">
        <f t="shared" si="64"/>
        <v>5.4188028146075189E-3</v>
      </c>
      <c r="F69" s="29"/>
      <c r="G69" s="29">
        <f t="shared" si="62"/>
        <v>5.5231793449446662E-3</v>
      </c>
      <c r="H69" s="38">
        <f t="shared" si="65"/>
        <v>0</v>
      </c>
    </row>
    <row r="70" spans="1:8" ht="15.75" thickBot="1" x14ac:dyDescent="0.3">
      <c r="A70" s="39" t="s">
        <v>63</v>
      </c>
      <c r="B70" s="40">
        <f t="shared" si="60"/>
        <v>0</v>
      </c>
      <c r="C70" s="40">
        <f t="shared" si="63"/>
        <v>0</v>
      </c>
      <c r="D70" s="40">
        <f t="shared" si="61"/>
        <v>0</v>
      </c>
      <c r="E70" s="40">
        <f t="shared" si="64"/>
        <v>0</v>
      </c>
      <c r="F70" s="40"/>
      <c r="G70" s="40">
        <f t="shared" si="62"/>
        <v>0</v>
      </c>
      <c r="H70" s="41">
        <f t="shared" si="65"/>
        <v>0</v>
      </c>
    </row>
    <row r="71" spans="1:8" ht="15.75" thickBot="1" x14ac:dyDescent="0.3"/>
    <row r="72" spans="1:8" x14ac:dyDescent="0.25">
      <c r="A72" s="34" t="s">
        <v>130</v>
      </c>
      <c r="B72" s="35" t="s">
        <v>15</v>
      </c>
      <c r="C72" s="35" t="s">
        <v>120</v>
      </c>
      <c r="D72" s="35" t="s">
        <v>16</v>
      </c>
      <c r="E72" s="35" t="s">
        <v>121</v>
      </c>
      <c r="F72" s="35" t="s">
        <v>17</v>
      </c>
      <c r="G72" s="35" t="s">
        <v>122</v>
      </c>
      <c r="H72" s="36" t="s">
        <v>45</v>
      </c>
    </row>
    <row r="73" spans="1:8" x14ac:dyDescent="0.25">
      <c r="A73" s="37" t="s">
        <v>113</v>
      </c>
      <c r="B73" s="30">
        <f>B51/$H$20</f>
        <v>0.81767956456225033</v>
      </c>
      <c r="C73" s="30">
        <f>C51/$H$21</f>
        <v>0.89574667121856499</v>
      </c>
      <c r="D73" s="30">
        <f>D51/$H$22</f>
        <v>0.49329417818256316</v>
      </c>
      <c r="E73" s="30">
        <f>E51/$H$23</f>
        <v>0.37427474812628025</v>
      </c>
      <c r="F73" s="30">
        <f>F51/$H$24</f>
        <v>0.51098084245263398</v>
      </c>
      <c r="G73" s="30">
        <f>G51/$H$25</f>
        <v>0.63145923073696542</v>
      </c>
      <c r="H73" s="42">
        <f>H51/$H$26</f>
        <v>0.60169834735565031</v>
      </c>
    </row>
    <row r="74" spans="1:8" x14ac:dyDescent="0.25">
      <c r="A74" s="37" t="s">
        <v>114</v>
      </c>
      <c r="B74" s="30">
        <f t="shared" ref="B74:B80" si="66">B52/$H$20</f>
        <v>4.9754032580203625E-2</v>
      </c>
      <c r="C74" s="30">
        <f t="shared" ref="C74:C80" si="67">C52/$H$21</f>
        <v>4.3264143587986775E-2</v>
      </c>
      <c r="D74" s="30">
        <f t="shared" ref="D74:D80" si="68">D52/$H$22</f>
        <v>0.16027132014307147</v>
      </c>
      <c r="E74" s="30">
        <f t="shared" ref="E74:E80" si="69">E52/$H$23</f>
        <v>0.12943039207142165</v>
      </c>
      <c r="F74" s="30">
        <f t="shared" ref="F74:F80" si="70">F52/$H$24</f>
        <v>0.11432667446229962</v>
      </c>
      <c r="G74" s="30">
        <f t="shared" ref="G74:G80" si="71">G52/$H$25</f>
        <v>0.25965736006088241</v>
      </c>
      <c r="H74" s="42">
        <f t="shared" ref="H74:H80" si="72">H52/$H$26</f>
        <v>3.4253683904154293E-2</v>
      </c>
    </row>
    <row r="75" spans="1:8" x14ac:dyDescent="0.25">
      <c r="A75" s="37" t="s">
        <v>115</v>
      </c>
      <c r="B75" s="30">
        <f t="shared" si="66"/>
        <v>0</v>
      </c>
      <c r="C75" s="30">
        <f t="shared" si="67"/>
        <v>0</v>
      </c>
      <c r="D75" s="30">
        <f t="shared" si="68"/>
        <v>7.1288033412900799E-3</v>
      </c>
      <c r="E75" s="30">
        <f t="shared" si="69"/>
        <v>9.1014725663280845E-3</v>
      </c>
      <c r="F75" s="30">
        <f t="shared" si="70"/>
        <v>2.0916624615310572E-2</v>
      </c>
      <c r="G75" s="30">
        <f t="shared" si="71"/>
        <v>1.4413140054025818E-2</v>
      </c>
      <c r="H75" s="42">
        <f t="shared" si="72"/>
        <v>0</v>
      </c>
    </row>
    <row r="76" spans="1:8" x14ac:dyDescent="0.25">
      <c r="A76" s="37" t="s">
        <v>116</v>
      </c>
      <c r="B76" s="30">
        <f t="shared" si="66"/>
        <v>0.13256640285754595</v>
      </c>
      <c r="C76" s="30">
        <f t="shared" si="67"/>
        <v>4.5025578588150816E-2</v>
      </c>
      <c r="D76" s="30">
        <f t="shared" si="68"/>
        <v>0.32596508449391176</v>
      </c>
      <c r="E76" s="30">
        <f t="shared" si="69"/>
        <v>0.45996911346095032</v>
      </c>
      <c r="F76" s="30">
        <f t="shared" si="70"/>
        <v>0.31122535259010087</v>
      </c>
      <c r="G76" s="30">
        <f t="shared" si="71"/>
        <v>7.6331342489147316E-2</v>
      </c>
      <c r="H76" s="42">
        <f t="shared" si="72"/>
        <v>7.0818358725224545E-2</v>
      </c>
    </row>
    <row r="77" spans="1:8" x14ac:dyDescent="0.25">
      <c r="A77" s="37" t="s">
        <v>117</v>
      </c>
      <c r="B77" s="30">
        <f t="shared" si="66"/>
        <v>0</v>
      </c>
      <c r="C77" s="30">
        <f t="shared" si="67"/>
        <v>0</v>
      </c>
      <c r="D77" s="30">
        <f t="shared" si="68"/>
        <v>7.8738106686740885E-3</v>
      </c>
      <c r="E77" s="30">
        <f t="shared" si="69"/>
        <v>1.9091121190448798E-2</v>
      </c>
      <c r="F77" s="30">
        <f t="shared" si="70"/>
        <v>2.313477759401697E-2</v>
      </c>
      <c r="G77" s="30">
        <f t="shared" si="71"/>
        <v>1.7630523726091536E-2</v>
      </c>
      <c r="H77" s="42">
        <f t="shared" si="72"/>
        <v>0</v>
      </c>
    </row>
    <row r="78" spans="1:8" x14ac:dyDescent="0.25">
      <c r="A78" s="37" t="s">
        <v>118</v>
      </c>
      <c r="B78" s="30">
        <f t="shared" si="66"/>
        <v>0</v>
      </c>
      <c r="C78" s="30">
        <f t="shared" si="67"/>
        <v>1.5963606605297415E-2</v>
      </c>
      <c r="D78" s="30">
        <f t="shared" si="68"/>
        <v>5.4668031704894968E-3</v>
      </c>
      <c r="E78" s="30">
        <f t="shared" si="69"/>
        <v>7.4181165791480843E-3</v>
      </c>
      <c r="F78" s="30">
        <f t="shared" si="70"/>
        <v>1.6150297722243953E-2</v>
      </c>
      <c r="G78" s="30">
        <f t="shared" si="71"/>
        <v>0</v>
      </c>
      <c r="H78" s="42">
        <f t="shared" si="72"/>
        <v>2.4802584508585503E-2</v>
      </c>
    </row>
    <row r="79" spans="1:8" x14ac:dyDescent="0.25">
      <c r="A79" s="37" t="s">
        <v>62</v>
      </c>
      <c r="B79" s="30">
        <f t="shared" si="66"/>
        <v>0</v>
      </c>
      <c r="C79" s="30">
        <f t="shared" si="67"/>
        <v>0</v>
      </c>
      <c r="D79" s="30">
        <f t="shared" si="68"/>
        <v>0</v>
      </c>
      <c r="E79" s="30">
        <f t="shared" si="69"/>
        <v>7.1503600542275757E-4</v>
      </c>
      <c r="F79" s="30">
        <f t="shared" si="70"/>
        <v>1.6082900853571181E-3</v>
      </c>
      <c r="G79" s="30">
        <f t="shared" si="71"/>
        <v>5.0840293288749862E-4</v>
      </c>
      <c r="H79" s="42">
        <f t="shared" si="72"/>
        <v>0</v>
      </c>
    </row>
    <row r="80" spans="1:8" ht="15.75" thickBot="1" x14ac:dyDescent="0.3">
      <c r="A80" s="39" t="s">
        <v>63</v>
      </c>
      <c r="B80" s="45">
        <f t="shared" si="66"/>
        <v>0</v>
      </c>
      <c r="C80" s="45">
        <f t="shared" si="67"/>
        <v>0</v>
      </c>
      <c r="D80" s="45">
        <f t="shared" si="68"/>
        <v>0</v>
      </c>
      <c r="E80" s="45">
        <f t="shared" si="69"/>
        <v>0</v>
      </c>
      <c r="F80" s="45">
        <f t="shared" si="70"/>
        <v>1.6571404780368947E-3</v>
      </c>
      <c r="G80" s="45">
        <f t="shared" si="71"/>
        <v>0</v>
      </c>
      <c r="H80" s="46">
        <f t="shared" si="72"/>
        <v>0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60"/>
  <sheetViews>
    <sheetView topLeftCell="A21" workbookViewId="0">
      <selection activeCell="M9" sqref="M9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6.6079999999999997</v>
      </c>
      <c r="C5" s="15">
        <v>1340</v>
      </c>
      <c r="D5" s="15">
        <v>7161</v>
      </c>
      <c r="E5" s="15">
        <v>13241</v>
      </c>
      <c r="F5" s="16">
        <v>53</v>
      </c>
      <c r="G5" s="16">
        <v>263</v>
      </c>
      <c r="H5" s="16">
        <v>525</v>
      </c>
      <c r="I5">
        <f>LINEST(C5:E5, F5:H5)</f>
        <v>25.132453923368544</v>
      </c>
      <c r="J5">
        <f>INTERCEPT(C5:E5, F5:H5)</f>
        <v>201.86875014901852</v>
      </c>
      <c r="K5">
        <f>RSQ(C5:E5,F5:H5)</f>
        <v>0.99740566416808629</v>
      </c>
    </row>
    <row r="6" spans="1:20" ht="15.75" x14ac:dyDescent="0.25">
      <c r="A6" s="3" t="s">
        <v>57</v>
      </c>
      <c r="B6" s="15">
        <v>7.609</v>
      </c>
      <c r="C6" s="15">
        <v>1979</v>
      </c>
      <c r="D6" s="15">
        <v>10922</v>
      </c>
      <c r="E6" s="15">
        <v>20513</v>
      </c>
      <c r="F6" s="16">
        <v>49</v>
      </c>
      <c r="G6" s="16">
        <v>247</v>
      </c>
      <c r="H6" s="16">
        <v>495</v>
      </c>
      <c r="I6">
        <f t="shared" ref="I6:I12" si="0">LINEST(C6:E6, F6:H6)</f>
        <v>41.436754065094924</v>
      </c>
      <c r="J6">
        <f>INTERCEPT(C6:E6, F6:H6)</f>
        <v>212.50917816997207</v>
      </c>
      <c r="K6">
        <f t="shared" ref="K6:K12" si="1">RSQ(C6:E6,F6:H6)</f>
        <v>0.99802530465244033</v>
      </c>
    </row>
    <row r="7" spans="1:20" ht="15.75" x14ac:dyDescent="0.25">
      <c r="A7" s="3" t="s">
        <v>58</v>
      </c>
      <c r="B7" s="15">
        <v>7.9560000000000004</v>
      </c>
      <c r="C7" s="15">
        <v>2251</v>
      </c>
      <c r="D7" s="15">
        <v>12529</v>
      </c>
      <c r="E7" s="15">
        <v>23650</v>
      </c>
      <c r="F7" s="16">
        <v>47</v>
      </c>
      <c r="G7" s="16">
        <v>235</v>
      </c>
      <c r="H7" s="16">
        <v>469</v>
      </c>
      <c r="I7">
        <f t="shared" si="0"/>
        <v>50.580780359753014</v>
      </c>
      <c r="J7">
        <f t="shared" ref="J7:J12" si="2">INTERCEPT(C7:E7, F7:H7)</f>
        <v>147.94464994182817</v>
      </c>
      <c r="K7">
        <f t="shared" si="1"/>
        <v>0.99839200243924042</v>
      </c>
    </row>
    <row r="8" spans="1:20" ht="15.75" x14ac:dyDescent="0.25">
      <c r="A8" s="3" t="s">
        <v>59</v>
      </c>
      <c r="B8" s="15">
        <v>8.6809999999999992</v>
      </c>
      <c r="C8" s="15">
        <v>2236</v>
      </c>
      <c r="D8" s="15">
        <v>12474</v>
      </c>
      <c r="E8" s="15">
        <v>23840</v>
      </c>
      <c r="F8" s="16">
        <v>45</v>
      </c>
      <c r="G8" s="16">
        <v>227</v>
      </c>
      <c r="H8" s="16">
        <v>453</v>
      </c>
      <c r="I8">
        <f t="shared" si="0"/>
        <v>52.845498356365489</v>
      </c>
      <c r="J8">
        <f t="shared" si="2"/>
        <v>79.004563878339468</v>
      </c>
      <c r="K8">
        <f>RSQ(C8:E8,F8:H8)</f>
        <v>0.99897332938521632</v>
      </c>
    </row>
    <row r="9" spans="1:20" ht="15.75" x14ac:dyDescent="0.25">
      <c r="A9" s="3" t="s">
        <v>60</v>
      </c>
      <c r="B9" s="15">
        <v>9.157</v>
      </c>
      <c r="C9" s="15">
        <v>2507</v>
      </c>
      <c r="D9" s="15">
        <v>13532</v>
      </c>
      <c r="E9" s="15">
        <v>25866</v>
      </c>
      <c r="F9" s="16">
        <v>46</v>
      </c>
      <c r="G9" s="16">
        <v>228</v>
      </c>
      <c r="H9" s="16">
        <v>455</v>
      </c>
      <c r="I9">
        <f t="shared" si="0"/>
        <v>56.999845197551728</v>
      </c>
      <c r="J9">
        <f t="shared" si="2"/>
        <v>117.37095032826073</v>
      </c>
      <c r="K9">
        <f t="shared" si="1"/>
        <v>0.99903341677555635</v>
      </c>
    </row>
    <row r="10" spans="1:20" ht="15.75" x14ac:dyDescent="0.25">
      <c r="A10" s="3" t="s">
        <v>61</v>
      </c>
      <c r="B10" s="15">
        <v>9.9429999999999996</v>
      </c>
      <c r="C10" s="15">
        <v>2433</v>
      </c>
      <c r="D10" s="15">
        <v>13217</v>
      </c>
      <c r="E10" s="15">
        <v>25540</v>
      </c>
      <c r="F10" s="16">
        <v>44</v>
      </c>
      <c r="G10" s="16">
        <v>221</v>
      </c>
      <c r="H10" s="16">
        <v>443</v>
      </c>
      <c r="I10">
        <f t="shared" si="0"/>
        <v>57.812166929370257</v>
      </c>
      <c r="J10">
        <f t="shared" si="2"/>
        <v>86.328604668617118</v>
      </c>
      <c r="K10">
        <f t="shared" si="1"/>
        <v>0.99929322022058653</v>
      </c>
    </row>
    <row r="11" spans="1:20" ht="15.75" x14ac:dyDescent="0.25">
      <c r="A11" s="3" t="s">
        <v>62</v>
      </c>
      <c r="B11" s="15">
        <v>11.129</v>
      </c>
      <c r="C11" s="15">
        <v>2516</v>
      </c>
      <c r="D11" s="15">
        <v>12992</v>
      </c>
      <c r="E11" s="15">
        <v>25507</v>
      </c>
      <c r="F11" s="16">
        <v>44</v>
      </c>
      <c r="G11" s="16">
        <v>222</v>
      </c>
      <c r="H11" s="16">
        <v>444</v>
      </c>
      <c r="I11">
        <f t="shared" si="0"/>
        <v>57.432762856478881</v>
      </c>
      <c r="J11">
        <f t="shared" si="2"/>
        <v>79.246123966664527</v>
      </c>
      <c r="K11">
        <f t="shared" si="1"/>
        <v>0.99984958621518449</v>
      </c>
    </row>
    <row r="12" spans="1:20" ht="15.75" x14ac:dyDescent="0.25">
      <c r="A12" s="3" t="s">
        <v>63</v>
      </c>
      <c r="B12" s="15">
        <v>12.257999999999999</v>
      </c>
      <c r="C12" s="15">
        <v>2654</v>
      </c>
      <c r="D12" s="15">
        <v>13146</v>
      </c>
      <c r="E12" s="15">
        <v>25968</v>
      </c>
      <c r="F12" s="16">
        <v>47</v>
      </c>
      <c r="G12" s="16">
        <v>234</v>
      </c>
      <c r="H12" s="16">
        <v>467</v>
      </c>
      <c r="I12">
        <f t="shared" si="0"/>
        <v>55.490179102455045</v>
      </c>
      <c r="J12">
        <f t="shared" si="2"/>
        <v>87.115343787872916</v>
      </c>
      <c r="K12">
        <f t="shared" si="1"/>
        <v>0.99996960633765275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37964</v>
      </c>
      <c r="C16">
        <v>1</v>
      </c>
      <c r="D16">
        <f>IF(B16=0,0,(B16-$J$5)/$I$5)*C16</f>
        <v>1502.5246386601018</v>
      </c>
      <c r="E16">
        <f>1.07*D16/1000</f>
        <v>1.6077013633663091</v>
      </c>
      <c r="F16" s="3" t="s">
        <v>56</v>
      </c>
      <c r="G16">
        <v>42383</v>
      </c>
      <c r="H16">
        <v>1</v>
      </c>
      <c r="I16">
        <f>IF(G16=0,0,(G16-$J$5)/$I$5)*H16</f>
        <v>1678.3530720265367</v>
      </c>
      <c r="J16">
        <f>1.07*I16/1000</f>
        <v>1.7958377870683944</v>
      </c>
      <c r="K16" s="3" t="s">
        <v>56</v>
      </c>
      <c r="L16">
        <v>34067</v>
      </c>
      <c r="M16">
        <v>1</v>
      </c>
      <c r="N16">
        <f>IF(L16=0,0,(L16-$J$5)/$I$5)*M16</f>
        <v>1347.4661627992743</v>
      </c>
      <c r="O16">
        <f>1.07*N16/1000</f>
        <v>1.4417887941952237</v>
      </c>
      <c r="P16" s="3" t="s">
        <v>56</v>
      </c>
      <c r="Q16">
        <v>29669</v>
      </c>
      <c r="R16">
        <v>1</v>
      </c>
      <c r="S16">
        <f>IF(Q16=0,0,(Q16-$J$5)/$I$5)*R16</f>
        <v>1172.4733024359386</v>
      </c>
      <c r="T16">
        <f>1.07*S16/1000</f>
        <v>1.2545464336064545</v>
      </c>
    </row>
    <row r="17" spans="1:20" x14ac:dyDescent="0.25">
      <c r="A17" s="3" t="s">
        <v>57</v>
      </c>
      <c r="B17">
        <v>4353</v>
      </c>
      <c r="C17">
        <v>1</v>
      </c>
      <c r="D17">
        <f>IF(B17=0,0,(B17-$J$6)/$I$6)*C17</f>
        <v>99.923145894235304</v>
      </c>
      <c r="E17">
        <f>1.51*D17/1000</f>
        <v>0.15088395030029531</v>
      </c>
      <c r="F17" s="3" t="s">
        <v>57</v>
      </c>
      <c r="G17">
        <v>4100</v>
      </c>
      <c r="H17">
        <v>1</v>
      </c>
      <c r="I17">
        <f>IF(G17=0,0,(G17-$J$6)/$I$6)*H17</f>
        <v>93.8174552891616</v>
      </c>
      <c r="J17">
        <f>1.51*I17/1000</f>
        <v>0.141664357486634</v>
      </c>
      <c r="K17" s="3" t="s">
        <v>57</v>
      </c>
      <c r="L17">
        <v>4028</v>
      </c>
      <c r="M17">
        <v>1</v>
      </c>
      <c r="N17">
        <f>IF(L17=0,0,(L17-$J$6)/$I$6)*M17</f>
        <v>92.079867448982512</v>
      </c>
      <c r="O17">
        <f>1.51*N17/1000</f>
        <v>0.1390405998479636</v>
      </c>
      <c r="P17" s="3" t="s">
        <v>57</v>
      </c>
      <c r="Q17">
        <v>2587</v>
      </c>
      <c r="R17">
        <v>1</v>
      </c>
      <c r="S17">
        <f>IF(Q17=0,0,(Q17-$J$6)/$I$6)*R17</f>
        <v>57.303977480953982</v>
      </c>
      <c r="T17">
        <f>1.51*S17/1000</f>
        <v>8.6529005996240513E-2</v>
      </c>
    </row>
    <row r="18" spans="1:20" x14ac:dyDescent="0.25">
      <c r="A18" s="3" t="s">
        <v>58</v>
      </c>
      <c r="B18">
        <v>449</v>
      </c>
      <c r="C18">
        <v>1</v>
      </c>
      <c r="D18">
        <f>IF(B18=0,0,(B18-$J$7)/$I$7)*C18</f>
        <v>5.9519712411894838</v>
      </c>
      <c r="E18">
        <f>1.82*D18/1000</f>
        <v>1.0832587658964861E-2</v>
      </c>
      <c r="F18" s="3" t="s">
        <v>58</v>
      </c>
      <c r="G18">
        <v>234</v>
      </c>
      <c r="H18">
        <v>1</v>
      </c>
      <c r="I18">
        <f>IF(G18=0,0,(G18-$J$7)/$I$7)*H18</f>
        <v>1.7013448477091078</v>
      </c>
      <c r="J18">
        <f>1.82*I18/1000</f>
        <v>3.0964476228305766E-3</v>
      </c>
      <c r="K18" s="3" t="s">
        <v>58</v>
      </c>
      <c r="L18">
        <v>242</v>
      </c>
      <c r="M18">
        <v>1</v>
      </c>
      <c r="N18">
        <f>IF(L18=0,0,(L18-$J$7)/$I$7)*M18</f>
        <v>1.859507690257215</v>
      </c>
      <c r="O18">
        <f>1.82*N18/1000</f>
        <v>3.3843039962681313E-3</v>
      </c>
      <c r="P18" s="3" t="s">
        <v>58</v>
      </c>
      <c r="Q18">
        <v>260</v>
      </c>
      <c r="R18">
        <v>1</v>
      </c>
      <c r="S18">
        <f>IF(Q18=0,0,(Q18-$J$7)/$I$7)*R18</f>
        <v>2.2153740859904558</v>
      </c>
      <c r="T18">
        <f>1.82*S18/1000</f>
        <v>4.0319808365026294E-3</v>
      </c>
    </row>
    <row r="19" spans="1:20" x14ac:dyDescent="0.25">
      <c r="A19" s="3" t="s">
        <v>59</v>
      </c>
      <c r="B19">
        <v>1284</v>
      </c>
      <c r="C19">
        <v>1</v>
      </c>
      <c r="D19">
        <f>IF(B19=0,0,(B19-$J$8)/$I$8)*C19</f>
        <v>22.802234317022258</v>
      </c>
      <c r="E19">
        <f>1.82*D19/1000</f>
        <v>4.1500066456980511E-2</v>
      </c>
      <c r="F19" s="3" t="s">
        <v>59</v>
      </c>
      <c r="G19">
        <v>906</v>
      </c>
      <c r="H19">
        <v>1</v>
      </c>
      <c r="I19">
        <f>IF(G19=0,0,(G19-$J$8)/$I$8)*H19</f>
        <v>15.649307166048231</v>
      </c>
      <c r="J19">
        <f>1.82*I19/1000</f>
        <v>2.8481739042207781E-2</v>
      </c>
      <c r="K19" s="3" t="s">
        <v>59</v>
      </c>
      <c r="L19">
        <v>688</v>
      </c>
      <c r="M19">
        <v>1</v>
      </c>
      <c r="N19">
        <f>IF(L19=0,0,(L19-$J$8)/$I$8)*M19</f>
        <v>11.524074047232524</v>
      </c>
      <c r="O19">
        <f>1.82*N19/1000</f>
        <v>2.0973814765963193E-2</v>
      </c>
      <c r="P19" s="3" t="s">
        <v>59</v>
      </c>
      <c r="Q19">
        <v>752</v>
      </c>
      <c r="R19">
        <v>1</v>
      </c>
      <c r="S19">
        <f>IF(Q19=0,0,(Q19-$J$8)/$I$8)*R19</f>
        <v>12.735151660095852</v>
      </c>
      <c r="T19">
        <f>1.82*S19/1000</f>
        <v>2.317797602137445E-2</v>
      </c>
    </row>
    <row r="20" spans="1:20" x14ac:dyDescent="0.25">
      <c r="A20" s="3" t="s">
        <v>60</v>
      </c>
      <c r="B20">
        <v>864</v>
      </c>
      <c r="C20">
        <v>1</v>
      </c>
      <c r="D20">
        <f>IF(B20=0,0,(B20-$J$9)/$I$9)*C20</f>
        <v>13.098790831519814</v>
      </c>
      <c r="E20">
        <f>2.04*D20/1000</f>
        <v>2.672153329630042E-2</v>
      </c>
      <c r="F20" s="3" t="s">
        <v>60</v>
      </c>
      <c r="G20">
        <v>471</v>
      </c>
      <c r="H20">
        <v>1</v>
      </c>
      <c r="I20">
        <f>IF(G20=0,0,(G20-$J$9)/$I$9)*H20</f>
        <v>6.2040352644138137</v>
      </c>
      <c r="J20">
        <f>2.04*I20/1000</f>
        <v>1.265623193940418E-2</v>
      </c>
      <c r="K20" s="3" t="s">
        <v>60</v>
      </c>
      <c r="L20">
        <v>281</v>
      </c>
      <c r="M20">
        <v>1</v>
      </c>
      <c r="N20">
        <f>IF(L20=0,0,(L20-$J$9)/$I$9)*M20</f>
        <v>2.8706928782811416</v>
      </c>
      <c r="O20">
        <f>2.04*N20/1000</f>
        <v>5.8562134716935287E-3</v>
      </c>
      <c r="P20" s="3" t="s">
        <v>60</v>
      </c>
      <c r="Q20">
        <v>298</v>
      </c>
      <c r="R20">
        <v>1</v>
      </c>
      <c r="S20">
        <f>IF(Q20=0,0,(Q20-$J$9)/$I$9)*R20</f>
        <v>3.1689393023035386</v>
      </c>
      <c r="T20">
        <f>2.04*S20/1000</f>
        <v>6.4646361766992188E-3</v>
      </c>
    </row>
    <row r="21" spans="1:20" x14ac:dyDescent="0.25">
      <c r="A21" s="3" t="s">
        <v>61</v>
      </c>
      <c r="B21">
        <v>898</v>
      </c>
      <c r="C21">
        <v>1</v>
      </c>
      <c r="D21">
        <f>IF(B21=0,0,(B21-$J$10)/$I$10)*C21</f>
        <v>14.039802319172892</v>
      </c>
      <c r="E21">
        <f>2.04*D21/1000</f>
        <v>2.8641196731112699E-2</v>
      </c>
      <c r="F21" s="3" t="s">
        <v>61</v>
      </c>
      <c r="G21">
        <v>419</v>
      </c>
      <c r="H21">
        <v>1</v>
      </c>
      <c r="I21">
        <f>IF(G21=0,0,(G21-$J$10)/$I$10)*H21</f>
        <v>5.7543491794350325</v>
      </c>
      <c r="J21">
        <f>2.04*I21/1000</f>
        <v>1.1738872326047468E-2</v>
      </c>
      <c r="K21" s="3" t="s">
        <v>61</v>
      </c>
      <c r="L21">
        <v>217</v>
      </c>
      <c r="M21">
        <v>1</v>
      </c>
      <c r="N21">
        <f>IF(L21=0,0,(L21-$J$10)/$I$10)*M21</f>
        <v>2.2602749952449548</v>
      </c>
      <c r="O21">
        <f>2.04*N21/1000</f>
        <v>4.6109609902997076E-3</v>
      </c>
      <c r="P21" s="3" t="s">
        <v>61</v>
      </c>
      <c r="Q21">
        <v>273</v>
      </c>
      <c r="R21">
        <v>1</v>
      </c>
      <c r="S21">
        <f>IF(Q21=0,0,(Q21-$J$10)/$I$10)*R21</f>
        <v>3.2289292245253725</v>
      </c>
      <c r="T21">
        <f>2.04*S21/1000</f>
        <v>6.5870156180317602E-3</v>
      </c>
    </row>
    <row r="22" spans="1:20" x14ac:dyDescent="0.25">
      <c r="A22" s="3" t="s">
        <v>62</v>
      </c>
      <c r="B22">
        <v>1429</v>
      </c>
      <c r="C22">
        <v>1</v>
      </c>
      <c r="D22">
        <f>IF(B22=0,0,(B22-$J$11)/$I$11)*1</f>
        <v>23.501461690190521</v>
      </c>
      <c r="E22">
        <f>2.21*D22/1000</f>
        <v>5.1938230335321051E-2</v>
      </c>
      <c r="F22" s="3" t="s">
        <v>62</v>
      </c>
      <c r="G22">
        <v>927</v>
      </c>
      <c r="H22">
        <v>1</v>
      </c>
      <c r="I22">
        <f>IF(G22=0,0,(G22-$J$11)/$I$11)*1</f>
        <v>14.760806095152045</v>
      </c>
      <c r="J22">
        <f>2.21*I22/1000</f>
        <v>3.2621381470286016E-2</v>
      </c>
      <c r="K22" s="3" t="s">
        <v>62</v>
      </c>
      <c r="L22">
        <v>547</v>
      </c>
      <c r="M22">
        <v>1</v>
      </c>
      <c r="N22">
        <f>IF(L22=0,0,(L22-$J$11)/$I$11)*1</f>
        <v>8.144373573011368</v>
      </c>
      <c r="O22">
        <f>2.21*N22/1000</f>
        <v>1.7999065596355123E-2</v>
      </c>
      <c r="P22" s="3" t="s">
        <v>62</v>
      </c>
      <c r="Q22">
        <v>487</v>
      </c>
      <c r="R22">
        <v>1</v>
      </c>
      <c r="S22">
        <f>IF(Q22=0,0,(Q22-$J$11)/$I$11)*1</f>
        <v>7.0996737010944191</v>
      </c>
      <c r="T22">
        <f>2.21*S22/1000</f>
        <v>1.5690278879418665E-2</v>
      </c>
    </row>
    <row r="23" spans="1:20" x14ac:dyDescent="0.25">
      <c r="A23" s="3" t="s">
        <v>63</v>
      </c>
      <c r="B23">
        <v>2099</v>
      </c>
      <c r="C23">
        <v>1</v>
      </c>
      <c r="D23">
        <f>IF(B23=0,0,(B23-$J$12)/$I$12)*1</f>
        <v>36.256589702070642</v>
      </c>
      <c r="E23">
        <f>2.34*D23/1000</f>
        <v>8.4840419902845299E-2</v>
      </c>
      <c r="F23" s="3" t="s">
        <v>63</v>
      </c>
      <c r="G23">
        <v>1455</v>
      </c>
      <c r="H23">
        <v>1</v>
      </c>
      <c r="I23">
        <f>IF(G23=0,0,(G23-$J$12)/$I$12)*1</f>
        <v>24.650932441333712</v>
      </c>
      <c r="J23">
        <f>2.34*I23/1000</f>
        <v>5.7683181912720885E-2</v>
      </c>
      <c r="K23" s="3" t="s">
        <v>63</v>
      </c>
      <c r="L23">
        <v>863</v>
      </c>
      <c r="M23">
        <v>1</v>
      </c>
      <c r="N23">
        <f>IF(L23=0,0,(L23-$J$12)/$I$12)*1</f>
        <v>13.982377940780511</v>
      </c>
      <c r="O23">
        <f>2.34*N23/1000</f>
        <v>3.2718764381426395E-2</v>
      </c>
      <c r="P23" s="3" t="s">
        <v>63</v>
      </c>
      <c r="Q23">
        <v>736</v>
      </c>
      <c r="R23">
        <v>1</v>
      </c>
      <c r="S23">
        <f>IF(Q23=0,0,(Q23-$J$12)/$I$12)*1</f>
        <v>11.693684661101022</v>
      </c>
      <c r="T23">
        <f>2.34*S23/1000</f>
        <v>2.7363222106976389E-2</v>
      </c>
    </row>
    <row r="24" spans="1:20" x14ac:dyDescent="0.25">
      <c r="B24" s="3" t="s">
        <v>69</v>
      </c>
      <c r="C24" s="3"/>
      <c r="D24" s="3">
        <f>SUM(D16:D23)</f>
        <v>1718.098634655503</v>
      </c>
      <c r="E24" s="3">
        <f>SUM(E16:E23)</f>
        <v>2.0030593480481289</v>
      </c>
      <c r="G24" s="3" t="s">
        <v>69</v>
      </c>
      <c r="H24" s="3"/>
      <c r="I24" s="3">
        <f>SUM(I16:I23)</f>
        <v>1840.89130230979</v>
      </c>
      <c r="J24" s="3">
        <f>SUM(J16:J23)</f>
        <v>2.0837799988685251</v>
      </c>
      <c r="L24" s="3" t="s">
        <v>69</v>
      </c>
      <c r="M24" s="3"/>
      <c r="N24" s="3">
        <f>SUM(N16:N23)</f>
        <v>1480.1873313730644</v>
      </c>
      <c r="O24" s="3">
        <f>SUM(O16:O23)</f>
        <v>1.6663725172451935</v>
      </c>
      <c r="Q24" s="3" t="s">
        <v>69</v>
      </c>
      <c r="R24" s="3"/>
      <c r="S24" s="3">
        <f>SUM(S16:S23)</f>
        <v>1269.9190325520035</v>
      </c>
      <c r="T24" s="3">
        <f>SUM(T16:T23)</f>
        <v>1.4243905492416977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32059</v>
      </c>
      <c r="C28">
        <v>1</v>
      </c>
      <c r="D28">
        <f>IF(B28=0,0,(B28-$J$5)/$I$5)*C28</f>
        <v>1267.5694680267463</v>
      </c>
      <c r="E28">
        <f>1.07*D28/1000</f>
        <v>1.3562993307886186</v>
      </c>
      <c r="F28" s="3" t="s">
        <v>56</v>
      </c>
      <c r="G28">
        <v>36182</v>
      </c>
      <c r="H28">
        <v>1</v>
      </c>
      <c r="I28">
        <f>IF(G28=0,0,(G28-$J$5)/$I$5)*H28</f>
        <v>1431.6203009685455</v>
      </c>
      <c r="J28">
        <f>1.07*I28/1000</f>
        <v>1.5318337220363438</v>
      </c>
      <c r="K28" s="3" t="s">
        <v>56</v>
      </c>
      <c r="L28">
        <v>28261</v>
      </c>
      <c r="M28">
        <v>1</v>
      </c>
      <c r="N28">
        <f>IF(L28=0,0,(L28-$J$5)/$I$5)*M28</f>
        <v>1116.4501220376719</v>
      </c>
      <c r="O28">
        <f>1.07*N28/1000</f>
        <v>1.1946016305803091</v>
      </c>
      <c r="P28" s="3" t="s">
        <v>56</v>
      </c>
      <c r="Q28">
        <v>27353</v>
      </c>
      <c r="R28">
        <v>1</v>
      </c>
      <c r="S28">
        <f>IF(Q28=0,0,(Q28-$J$5)/$I$5)*R28</f>
        <v>1080.3215369512898</v>
      </c>
      <c r="T28">
        <f>1.07*S28/1000</f>
        <v>1.1559440445378799</v>
      </c>
    </row>
    <row r="29" spans="1:20" x14ac:dyDescent="0.25">
      <c r="A29" s="3" t="s">
        <v>57</v>
      </c>
      <c r="B29">
        <v>2851</v>
      </c>
      <c r="C29">
        <v>1</v>
      </c>
      <c r="D29">
        <f>IF(B29=0,0,(B29-$J$6)/$I$6)*C29</f>
        <v>63.675132894943943</v>
      </c>
      <c r="E29">
        <f>1.51*D29/1000</f>
        <v>9.6149450671365363E-2</v>
      </c>
      <c r="F29" s="3" t="s">
        <v>57</v>
      </c>
      <c r="G29">
        <v>3929</v>
      </c>
      <c r="H29">
        <v>1</v>
      </c>
      <c r="I29">
        <f>IF(G29=0,0,(G29-$J$6)/$I$6)*H29</f>
        <v>89.690684168736283</v>
      </c>
      <c r="J29">
        <f>1.51*I29/1000</f>
        <v>0.13543293309479179</v>
      </c>
      <c r="K29" s="3" t="s">
        <v>57</v>
      </c>
      <c r="L29">
        <v>3331</v>
      </c>
      <c r="M29">
        <v>1</v>
      </c>
      <c r="N29">
        <f>IF(L29=0,0,(L29-$J$6)/$I$6)*M29</f>
        <v>75.259051829471147</v>
      </c>
      <c r="O29">
        <f>1.51*N29/1000</f>
        <v>0.11364116826250144</v>
      </c>
      <c r="P29" s="3" t="s">
        <v>57</v>
      </c>
      <c r="Q29">
        <v>2759</v>
      </c>
      <c r="R29">
        <v>1</v>
      </c>
      <c r="S29">
        <f>IF(Q29=0,0,(Q29-$J$6)/$I$6)*R29</f>
        <v>61.454881765826229</v>
      </c>
      <c r="T29">
        <f>1.51*S29/1000</f>
        <v>9.2796871466397604E-2</v>
      </c>
    </row>
    <row r="30" spans="1:20" x14ac:dyDescent="0.25">
      <c r="A30" s="3" t="s">
        <v>58</v>
      </c>
      <c r="B30">
        <v>202</v>
      </c>
      <c r="C30">
        <v>1</v>
      </c>
      <c r="D30">
        <f>IF(B30=0,0,(B30-$J$7)/$I$7)*C30</f>
        <v>1.0686934775166799</v>
      </c>
      <c r="E30">
        <f>1.82*D30/1000</f>
        <v>1.9450221290803573E-3</v>
      </c>
      <c r="F30" s="3" t="s">
        <v>58</v>
      </c>
      <c r="G30">
        <v>261</v>
      </c>
      <c r="H30">
        <v>1</v>
      </c>
      <c r="I30">
        <f>IF(G30=0,0,(G30-$J$7)/$I$7)*H30</f>
        <v>2.2351444413089689</v>
      </c>
      <c r="J30">
        <f>1.82*I30/1000</f>
        <v>4.0679628831823238E-3</v>
      </c>
      <c r="K30" s="3" t="s">
        <v>58</v>
      </c>
      <c r="L30">
        <v>214</v>
      </c>
      <c r="M30">
        <v>1</v>
      </c>
      <c r="N30">
        <f>IF(L30=0,0,(L30-$J$7)/$I$7)*M30</f>
        <v>1.3059377413388402</v>
      </c>
      <c r="O30">
        <f>1.82*N30/1000</f>
        <v>2.3768066892366894E-3</v>
      </c>
      <c r="P30" s="3" t="s">
        <v>58</v>
      </c>
      <c r="Q30">
        <v>261</v>
      </c>
      <c r="R30">
        <v>1</v>
      </c>
      <c r="S30">
        <f>IF(Q30=0,0,(Q30-$J$7)/$I$7)*R30</f>
        <v>2.2351444413089689</v>
      </c>
      <c r="T30">
        <f>1.82*S30/1000</f>
        <v>4.0679628831823238E-3</v>
      </c>
    </row>
    <row r="31" spans="1:20" x14ac:dyDescent="0.25">
      <c r="A31" s="3" t="s">
        <v>59</v>
      </c>
      <c r="B31">
        <v>1643</v>
      </c>
      <c r="C31">
        <v>1</v>
      </c>
      <c r="D31">
        <f>IF(B31=0,0,(B31-$J$8)/$I$8)*C31</f>
        <v>29.595622801677486</v>
      </c>
      <c r="E31">
        <f>1.82*D31/1000</f>
        <v>5.3864033499053027E-2</v>
      </c>
      <c r="F31" s="3" t="s">
        <v>59</v>
      </c>
      <c r="G31">
        <v>963</v>
      </c>
      <c r="H31">
        <v>1</v>
      </c>
      <c r="I31">
        <f>IF(G31=0,0,(G31-$J$8)/$I$8)*H31</f>
        <v>16.727923165004633</v>
      </c>
      <c r="J31">
        <f>1.82*I31/1000</f>
        <v>3.0444820160308431E-2</v>
      </c>
      <c r="K31" s="3" t="s">
        <v>59</v>
      </c>
      <c r="L31">
        <v>561</v>
      </c>
      <c r="M31">
        <v>1</v>
      </c>
      <c r="N31">
        <f>IF(L31=0,0,(L31-$J$8)/$I$8)*M31</f>
        <v>9.1208419092068596</v>
      </c>
      <c r="O31">
        <f>1.82*N31/1000</f>
        <v>1.6599932274756483E-2</v>
      </c>
      <c r="P31" s="3" t="s">
        <v>59</v>
      </c>
      <c r="Q31">
        <v>517</v>
      </c>
      <c r="R31">
        <v>1</v>
      </c>
      <c r="S31">
        <f>IF(Q31=0,0,(Q31-$J$8)/$I$8)*R31</f>
        <v>8.2882260503633223</v>
      </c>
      <c r="T31">
        <f>1.82*S31/1000</f>
        <v>1.5084571411661248E-2</v>
      </c>
    </row>
    <row r="32" spans="1:20" x14ac:dyDescent="0.25">
      <c r="A32" s="3" t="s">
        <v>60</v>
      </c>
      <c r="B32">
        <v>0</v>
      </c>
      <c r="C32">
        <v>1</v>
      </c>
      <c r="D32">
        <f>IF(B32=0,0,(B32-$J$9)/$I$9)*C32</f>
        <v>0</v>
      </c>
      <c r="E32">
        <f>2.04*D32/1000</f>
        <v>0</v>
      </c>
      <c r="F32" s="3" t="s">
        <v>60</v>
      </c>
      <c r="G32">
        <v>0</v>
      </c>
      <c r="H32">
        <v>1</v>
      </c>
      <c r="I32">
        <f>IF(G32=0,0,(G32-$J$9)/$I$9)*H32</f>
        <v>0</v>
      </c>
      <c r="J32">
        <f>2.04*I32/1000</f>
        <v>0</v>
      </c>
      <c r="K32" s="3" t="s">
        <v>60</v>
      </c>
      <c r="L32">
        <v>0</v>
      </c>
      <c r="M32">
        <v>1</v>
      </c>
      <c r="N32">
        <f>IF(L32=0,0,(L32-$J$9)/$I$9)*M32</f>
        <v>0</v>
      </c>
      <c r="O32">
        <f>2.04*N32/1000</f>
        <v>0</v>
      </c>
      <c r="P32" s="3" t="s">
        <v>60</v>
      </c>
      <c r="Q32">
        <v>0</v>
      </c>
      <c r="R32">
        <v>1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0</v>
      </c>
      <c r="C34">
        <v>1</v>
      </c>
      <c r="D34">
        <f>IF(B34=0,0,(B34-$J$11)/$I$11)*1</f>
        <v>0</v>
      </c>
      <c r="E34">
        <f>2.21*D34/1000</f>
        <v>0</v>
      </c>
      <c r="F34" s="3" t="s">
        <v>62</v>
      </c>
      <c r="G34">
        <v>235</v>
      </c>
      <c r="H34">
        <v>1</v>
      </c>
      <c r="I34">
        <f>IF(G34=0,0,(G34-$J$11)/$I$11)*1</f>
        <v>2.7119342390432322</v>
      </c>
      <c r="J34">
        <f>2.21*I34/1000</f>
        <v>5.9933746682855425E-3</v>
      </c>
      <c r="K34" s="3" t="s">
        <v>62</v>
      </c>
      <c r="L34">
        <v>0</v>
      </c>
      <c r="M34">
        <v>1</v>
      </c>
      <c r="N34">
        <f>IF(L34=0,0,(L34-$J$11)/$I$11)*1</f>
        <v>0</v>
      </c>
      <c r="O34">
        <f>2.21*N34/1000</f>
        <v>0</v>
      </c>
      <c r="P34" s="3" t="s">
        <v>62</v>
      </c>
      <c r="Q34">
        <v>0</v>
      </c>
      <c r="R34">
        <v>1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63</v>
      </c>
      <c r="B35">
        <v>210</v>
      </c>
      <c r="C35">
        <v>1</v>
      </c>
      <c r="D35">
        <f>IF(B35=0,0,(B35-$J$12)/$I$12)*1</f>
        <v>2.21452981770409</v>
      </c>
      <c r="E35">
        <f>2.34*D35/1000</f>
        <v>5.1819997734275699E-3</v>
      </c>
      <c r="F35" s="3" t="s">
        <v>63</v>
      </c>
      <c r="G35">
        <v>258</v>
      </c>
      <c r="H35">
        <v>1</v>
      </c>
      <c r="I35">
        <f>IF(G35=0,0,(G35-$J$12)/$I$12)*1</f>
        <v>3.0795477501813768</v>
      </c>
      <c r="J35">
        <f>2.34*I35/1000</f>
        <v>7.2061417354244211E-3</v>
      </c>
      <c r="K35" s="3" t="s">
        <v>63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1364.1234470185886</v>
      </c>
      <c r="E36" s="3">
        <f>SUM(E28:E35)</f>
        <v>1.5134398368615449</v>
      </c>
      <c r="G36" s="3" t="s">
        <v>69</v>
      </c>
      <c r="H36" s="3"/>
      <c r="I36" s="3">
        <f>SUM(I28:I35)</f>
        <v>1546.0655347328197</v>
      </c>
      <c r="J36" s="3">
        <f>SUM(J28:J35)</f>
        <v>1.7149789545783365</v>
      </c>
      <c r="L36" s="3" t="s">
        <v>69</v>
      </c>
      <c r="M36" s="3"/>
      <c r="N36" s="3">
        <f>SUM(N28:N35)</f>
        <v>1202.1359535176887</v>
      </c>
      <c r="O36" s="3">
        <f>SUM(O28:O35)</f>
        <v>1.3272195378068037</v>
      </c>
      <c r="Q36" s="3" t="s">
        <v>69</v>
      </c>
      <c r="R36" s="3"/>
      <c r="S36" s="3">
        <f>SUM(S28:S35)</f>
        <v>1152.2997892087883</v>
      </c>
      <c r="T36" s="3">
        <f>SUM(T28:T35)</f>
        <v>1.267893450299121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41089</v>
      </c>
      <c r="C40">
        <v>1</v>
      </c>
      <c r="D40">
        <f>IF(B40=0,0,(B40-$J$5)/$I$5)*C40</f>
        <v>1626.8658593593796</v>
      </c>
      <c r="E40">
        <f>1.07*D40/1000</f>
        <v>1.7407464695145363</v>
      </c>
      <c r="F40" s="3" t="s">
        <v>56</v>
      </c>
      <c r="G40">
        <v>31626</v>
      </c>
      <c r="H40">
        <v>1</v>
      </c>
      <c r="I40">
        <f>IF(G40=0,0,(G40-$J$5)/$I$5)*H40</f>
        <v>1250.3407484866543</v>
      </c>
      <c r="J40">
        <f>1.07*I40/1000</f>
        <v>1.3378646008807202</v>
      </c>
      <c r="K40" s="3" t="s">
        <v>56</v>
      </c>
      <c r="L40">
        <v>30272</v>
      </c>
      <c r="M40">
        <v>1</v>
      </c>
      <c r="N40">
        <f>IF(L40=0,0,(L40-$J$5)/$I$5)*M40</f>
        <v>1196.4661843820713</v>
      </c>
      <c r="O40">
        <f>1.07*N40/1000</f>
        <v>1.2802188172888163</v>
      </c>
      <c r="P40" s="3" t="s">
        <v>56</v>
      </c>
      <c r="Q40">
        <v>35047</v>
      </c>
      <c r="R40">
        <v>1</v>
      </c>
      <c r="S40">
        <f>IF(Q40=0,0,(Q40-$J$5)/$I$5)*R40</f>
        <v>1386.4595696105678</v>
      </c>
      <c r="T40">
        <f>1.07*S40/1000</f>
        <v>1.4835117394833075</v>
      </c>
    </row>
    <row r="41" spans="1:20" x14ac:dyDescent="0.25">
      <c r="A41" s="3" t="s">
        <v>57</v>
      </c>
      <c r="B41">
        <v>4959</v>
      </c>
      <c r="C41">
        <v>1</v>
      </c>
      <c r="D41">
        <f>IF(B41=0,0,(B41-$J$6)/$I$6)*C41</f>
        <v>114.54784354907589</v>
      </c>
      <c r="E41">
        <f>1.51*D41/1000</f>
        <v>0.17296724375910461</v>
      </c>
      <c r="F41" s="3" t="s">
        <v>57</v>
      </c>
      <c r="G41">
        <v>2910</v>
      </c>
      <c r="H41">
        <v>1</v>
      </c>
      <c r="I41">
        <f>IF(G41=0,0,(G41-$J$6)/$I$6)*H41</f>
        <v>65.098989597312908</v>
      </c>
      <c r="J41">
        <f>1.51*I41/1000</f>
        <v>9.8299474291942482E-2</v>
      </c>
      <c r="K41" s="3" t="s">
        <v>57</v>
      </c>
      <c r="L41">
        <v>2536</v>
      </c>
      <c r="M41">
        <v>1</v>
      </c>
      <c r="N41">
        <f>IF(L41=0,0,(L41-$J$6)/$I$6)*M41</f>
        <v>56.073186094160469</v>
      </c>
      <c r="O41">
        <f>1.51*N41/1000</f>
        <v>8.4670511002182314E-2</v>
      </c>
      <c r="P41" s="3" t="s">
        <v>57</v>
      </c>
      <c r="Q41">
        <v>4077</v>
      </c>
      <c r="R41">
        <v>1</v>
      </c>
      <c r="S41">
        <f>IF(Q41=0,0,(Q41-$J$6)/$I$6)*R41</f>
        <v>93.262392506882165</v>
      </c>
      <c r="T41">
        <f>1.51*S41/1000</f>
        <v>0.14082621268539208</v>
      </c>
    </row>
    <row r="42" spans="1:20" x14ac:dyDescent="0.25">
      <c r="A42" s="3" t="s">
        <v>58</v>
      </c>
      <c r="B42">
        <v>314</v>
      </c>
      <c r="C42">
        <v>1</v>
      </c>
      <c r="D42">
        <f>IF(B42=0,0,(B42-$J$7)/$I$7)*C42</f>
        <v>3.2829732731901782</v>
      </c>
      <c r="E42">
        <f>1.82*D42/1000</f>
        <v>5.9750113572061246E-3</v>
      </c>
      <c r="F42" s="3" t="s">
        <v>58</v>
      </c>
      <c r="G42">
        <v>0</v>
      </c>
      <c r="H42">
        <v>1</v>
      </c>
      <c r="I42">
        <f>IF(G42=0,0,(G42-$J$7)/$I$7)*H42</f>
        <v>0</v>
      </c>
      <c r="J42">
        <f>1.82*I42/1000</f>
        <v>0</v>
      </c>
      <c r="K42" s="3" t="s">
        <v>58</v>
      </c>
      <c r="L42">
        <v>0</v>
      </c>
      <c r="M42">
        <v>1</v>
      </c>
      <c r="N42">
        <f>IF(L42=0,0,(L42-$J$7)/$I$7)*M42</f>
        <v>0</v>
      </c>
      <c r="O42">
        <f>1.82*N42/1000</f>
        <v>0</v>
      </c>
      <c r="P42" s="3" t="s">
        <v>58</v>
      </c>
      <c r="Q42">
        <v>338</v>
      </c>
      <c r="R42">
        <v>1</v>
      </c>
      <c r="S42">
        <f>IF(Q42=0,0,(Q42-$J$7)/$I$7)*R42</f>
        <v>3.7574618008344993</v>
      </c>
      <c r="T42">
        <f>1.82*S42/1000</f>
        <v>6.8385804775187896E-3</v>
      </c>
    </row>
    <row r="43" spans="1:20" x14ac:dyDescent="0.25">
      <c r="A43" s="3" t="s">
        <v>59</v>
      </c>
      <c r="B43">
        <v>10197</v>
      </c>
      <c r="C43">
        <v>1</v>
      </c>
      <c r="D43">
        <f>IF(B43=0,0,(B43-$J$8)/$I$8)*C43</f>
        <v>191.46371499594156</v>
      </c>
      <c r="E43">
        <f>1.82*D43/1000</f>
        <v>0.34846396129261364</v>
      </c>
      <c r="F43" s="3" t="s">
        <v>59</v>
      </c>
      <c r="G43">
        <v>1762</v>
      </c>
      <c r="H43">
        <v>1</v>
      </c>
      <c r="I43">
        <f>IF(G43=0,0,(G43-$J$8)/$I$8)*H43</f>
        <v>31.847470238095234</v>
      </c>
      <c r="J43">
        <f>1.82*I43/1000</f>
        <v>5.7962395833333326E-2</v>
      </c>
      <c r="K43" s="3" t="s">
        <v>59</v>
      </c>
      <c r="L43">
        <v>814</v>
      </c>
      <c r="M43">
        <v>1</v>
      </c>
      <c r="N43">
        <f>IF(L43=0,0,(L43-$J$8)/$I$8)*M43</f>
        <v>13.9083830975572</v>
      </c>
      <c r="O43">
        <f>1.82*N43/1000</f>
        <v>2.5313257237554104E-2</v>
      </c>
      <c r="P43" s="3" t="s">
        <v>59</v>
      </c>
      <c r="Q43">
        <v>1065</v>
      </c>
      <c r="R43">
        <v>1</v>
      </c>
      <c r="S43">
        <f>IF(Q43=0,0,(Q43-$J$8)/$I$8)*R43</f>
        <v>18.65807811050556</v>
      </c>
      <c r="T43">
        <f>1.82*S43/1000</f>
        <v>3.3957702161120117E-2</v>
      </c>
    </row>
    <row r="44" spans="1:20" x14ac:dyDescent="0.25">
      <c r="A44" s="3" t="s">
        <v>60</v>
      </c>
      <c r="B44">
        <v>0</v>
      </c>
      <c r="C44">
        <v>1</v>
      </c>
      <c r="D44">
        <f>IF(B44=0,0,(B44-$J$9)/$I$9)*C44</f>
        <v>0</v>
      </c>
      <c r="E44">
        <f>2.04*D44/1000</f>
        <v>0</v>
      </c>
      <c r="F44" s="3" t="s">
        <v>60</v>
      </c>
      <c r="G44">
        <v>0</v>
      </c>
      <c r="H44">
        <v>1</v>
      </c>
      <c r="I44">
        <f>IF(G44=0,0,(G44-$J$9)/$I$9)*H44</f>
        <v>0</v>
      </c>
      <c r="J44">
        <f>2.04*I44/1000</f>
        <v>0</v>
      </c>
      <c r="K44" s="3" t="s">
        <v>60</v>
      </c>
      <c r="L44">
        <v>0</v>
      </c>
      <c r="M44">
        <v>1</v>
      </c>
      <c r="N44">
        <f>IF(L44=0,0,(L44-$J$9)/$I$9)*M44</f>
        <v>0</v>
      </c>
      <c r="O44">
        <f>2.04*N44/1000</f>
        <v>0</v>
      </c>
      <c r="P44" s="3" t="s">
        <v>60</v>
      </c>
      <c r="Q44">
        <v>0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221</v>
      </c>
      <c r="C46">
        <v>1</v>
      </c>
      <c r="D46">
        <f>IF(B46=0,0,(B46-$J$11)/$I$11)*1</f>
        <v>2.468170935595944</v>
      </c>
      <c r="E46">
        <f>2.21*D46/1000</f>
        <v>5.4546577676670358E-3</v>
      </c>
      <c r="F46" s="3" t="s">
        <v>62</v>
      </c>
      <c r="G46">
        <v>0</v>
      </c>
      <c r="H46">
        <v>1</v>
      </c>
      <c r="I46">
        <f>IF(G46=0,0,(G46-$J$11)/$I$11)*1</f>
        <v>0</v>
      </c>
      <c r="J46">
        <f>2.21*I46/1000</f>
        <v>0</v>
      </c>
      <c r="K46" s="3" t="s">
        <v>62</v>
      </c>
      <c r="L46">
        <v>0</v>
      </c>
      <c r="M46">
        <v>1</v>
      </c>
      <c r="N46">
        <f>IF(L46=0,0,(L46-$J$11)/$I$11)*1</f>
        <v>0</v>
      </c>
      <c r="O46">
        <f>2.21*N46/1000</f>
        <v>0</v>
      </c>
      <c r="P46" s="3" t="s">
        <v>62</v>
      </c>
      <c r="Q46">
        <v>0</v>
      </c>
      <c r="R46">
        <v>1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0</v>
      </c>
      <c r="C47">
        <v>1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1938.6285621131831</v>
      </c>
      <c r="E48" s="3">
        <f>SUM(E40:E47)</f>
        <v>2.2736073436911273</v>
      </c>
      <c r="F48" s="3"/>
      <c r="G48" s="3" t="s">
        <v>69</v>
      </c>
      <c r="H48" s="3"/>
      <c r="I48" s="3">
        <f>SUM(I40:I47)</f>
        <v>1347.2872083220625</v>
      </c>
      <c r="J48" s="3">
        <f>SUM(J40:J47)</f>
        <v>1.494126471005996</v>
      </c>
      <c r="K48" s="3"/>
      <c r="L48" s="3" t="s">
        <v>69</v>
      </c>
      <c r="M48" s="3"/>
      <c r="N48" s="3">
        <f>SUM(N40:N47)</f>
        <v>1266.447753573789</v>
      </c>
      <c r="O48" s="3">
        <f>SUM(O40:O47)</f>
        <v>1.3902025855285527</v>
      </c>
      <c r="P48" s="3"/>
      <c r="Q48" s="3" t="s">
        <v>69</v>
      </c>
      <c r="R48" s="3"/>
      <c r="S48" s="3">
        <f>SUM(S40:S47)</f>
        <v>1502.1375020287901</v>
      </c>
      <c r="T48" s="3">
        <f>SUM(T40:T47)</f>
        <v>1.6651342348073386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33770</v>
      </c>
      <c r="C52">
        <v>1</v>
      </c>
      <c r="D52">
        <f>IF(B52=0,0,(B52-$J$5)/$I$5)*C52</f>
        <v>1335.648773184015</v>
      </c>
      <c r="E52">
        <f>1.07*D52/1000</f>
        <v>1.4291441873068962</v>
      </c>
      <c r="F52" s="3" t="s">
        <v>56</v>
      </c>
      <c r="G52">
        <v>40213</v>
      </c>
      <c r="H52">
        <v>1</v>
      </c>
      <c r="I52">
        <f>IF(G52=0,0,(G52-$J$5)/$I$5)*H52</f>
        <v>1592.0105283729581</v>
      </c>
      <c r="J52">
        <f>1.07*I52/1000</f>
        <v>1.7034512653590652</v>
      </c>
    </row>
    <row r="53" spans="1:13" x14ac:dyDescent="0.25">
      <c r="A53" s="3" t="s">
        <v>57</v>
      </c>
      <c r="B53">
        <v>2935</v>
      </c>
      <c r="C53">
        <v>1</v>
      </c>
      <c r="D53">
        <f>IF(B53=0,0,(B53-$J$6)/$I$6)*C53</f>
        <v>65.702318708486203</v>
      </c>
      <c r="E53">
        <f>1.51*D53/1000</f>
        <v>9.9210501249814176E-2</v>
      </c>
      <c r="F53" s="3" t="s">
        <v>57</v>
      </c>
      <c r="G53">
        <v>3209</v>
      </c>
      <c r="H53">
        <v>1</v>
      </c>
      <c r="I53">
        <f>IF(G53=0,0,(G53-$J$6)/$I$6)*H53</f>
        <v>72.314805766945483</v>
      </c>
      <c r="J53">
        <f>1.51*I53/1000</f>
        <v>0.10919535670808769</v>
      </c>
    </row>
    <row r="54" spans="1:13" x14ac:dyDescent="0.25">
      <c r="A54" s="3" t="s">
        <v>58</v>
      </c>
      <c r="B54">
        <v>291</v>
      </c>
      <c r="C54">
        <v>1</v>
      </c>
      <c r="D54">
        <f>IF(B54=0,0,(B54-$J$7)/$I$7)*C54</f>
        <v>2.8282551008643706</v>
      </c>
      <c r="E54">
        <f>1.82*D54/1000</f>
        <v>5.1474242835731539E-3</v>
      </c>
      <c r="F54" s="3" t="s">
        <v>58</v>
      </c>
      <c r="G54">
        <v>444</v>
      </c>
      <c r="H54">
        <v>1</v>
      </c>
      <c r="I54">
        <f>IF(G54=0,0,(G54-$J$7)/$I$7)*H54</f>
        <v>5.8531194645969169</v>
      </c>
      <c r="J54">
        <f>1.82*I54/1000</f>
        <v>1.065267742556639E-2</v>
      </c>
    </row>
    <row r="55" spans="1:13" x14ac:dyDescent="0.25">
      <c r="A55" s="3" t="s">
        <v>59</v>
      </c>
      <c r="B55">
        <v>620</v>
      </c>
      <c r="C55">
        <v>1</v>
      </c>
      <c r="D55">
        <f>IF(B55=0,0,(B55-$J$8)/$I$8)*C55</f>
        <v>10.237304083565238</v>
      </c>
      <c r="E55">
        <f>1.82*D55/1000</f>
        <v>1.8631893432088733E-2</v>
      </c>
      <c r="F55" s="3" t="s">
        <v>59</v>
      </c>
      <c r="G55">
        <v>719</v>
      </c>
      <c r="H55">
        <v>1</v>
      </c>
      <c r="I55">
        <f>IF(G55=0,0,(G55-$J$8)/$I$8)*H55</f>
        <v>12.110689765963198</v>
      </c>
      <c r="J55">
        <f>1.82*I55/1000</f>
        <v>2.2041455374053019E-2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0</v>
      </c>
      <c r="C58">
        <v>1</v>
      </c>
      <c r="D58">
        <f>IF(B58=0,0,(B58-$J$11)/$I$11)*1</f>
        <v>0</v>
      </c>
      <c r="E58">
        <f>2.21*D58/1000</f>
        <v>0</v>
      </c>
      <c r="F58" s="3" t="s">
        <v>62</v>
      </c>
      <c r="G58">
        <v>0</v>
      </c>
      <c r="H58">
        <v>1</v>
      </c>
      <c r="I58">
        <f>IF(G58=0,0,(G58-$J$11)/$I$11)*1</f>
        <v>0</v>
      </c>
      <c r="J58">
        <f>2.21*I58/1000</f>
        <v>0</v>
      </c>
    </row>
    <row r="59" spans="1:13" x14ac:dyDescent="0.25">
      <c r="A59" s="3" t="s">
        <v>63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1414.416651076931</v>
      </c>
      <c r="E60" s="3">
        <f>SUM(E52:E59)</f>
        <v>1.5521340062723723</v>
      </c>
      <c r="G60" s="3" t="s">
        <v>69</v>
      </c>
      <c r="H60" s="3"/>
      <c r="I60" s="3">
        <f>SUM(I52:I59)</f>
        <v>1682.2891433704635</v>
      </c>
      <c r="J60" s="3">
        <f>SUM(J52:J59)</f>
        <v>1.8453407548667724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T60"/>
  <sheetViews>
    <sheetView workbookViewId="0">
      <selection activeCell="L57" sqref="L57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6.6029999999999998</v>
      </c>
      <c r="C5" s="15">
        <v>2840</v>
      </c>
      <c r="D5" s="15">
        <v>8471</v>
      </c>
      <c r="E5" s="15">
        <v>16981</v>
      </c>
      <c r="F5" s="16">
        <v>53</v>
      </c>
      <c r="G5" s="16">
        <v>263</v>
      </c>
      <c r="H5" s="16">
        <v>525</v>
      </c>
      <c r="I5">
        <f>LINEST(C5:E5, F5:H5)</f>
        <v>30.062117021530252</v>
      </c>
      <c r="J5">
        <f>INTERCEPT(C5:E5, F5:H5)</f>
        <v>1003.2531949643544</v>
      </c>
      <c r="K5">
        <f>RSQ(C5:E5,F5:H5)</f>
        <v>0.99714193231350767</v>
      </c>
    </row>
    <row r="6" spans="1:20" ht="15.75" x14ac:dyDescent="0.25">
      <c r="A6" s="3" t="s">
        <v>57</v>
      </c>
      <c r="B6" s="15">
        <v>7.5979999999999999</v>
      </c>
      <c r="C6" s="15">
        <v>2589</v>
      </c>
      <c r="D6" s="15">
        <v>12447</v>
      </c>
      <c r="E6" s="15">
        <v>25705</v>
      </c>
      <c r="F6" s="16">
        <v>49</v>
      </c>
      <c r="G6" s="16">
        <v>247</v>
      </c>
      <c r="H6" s="16">
        <v>495</v>
      </c>
      <c r="I6">
        <f t="shared" ref="I6:I12" si="0">LINEST(C6:E6, F6:H6)</f>
        <v>51.897057645582464</v>
      </c>
      <c r="J6">
        <f>INTERCEPT(C6:E6, F6:H6)</f>
        <v>-103.1908658852426</v>
      </c>
      <c r="K6">
        <f t="shared" ref="K6:K12" si="1">RSQ(C6:E6,F6:H6)</f>
        <v>0.99959682006798511</v>
      </c>
    </row>
    <row r="7" spans="1:20" ht="15.75" x14ac:dyDescent="0.25">
      <c r="A7" s="3" t="s">
        <v>58</v>
      </c>
      <c r="B7" s="15">
        <v>7.9489999999999998</v>
      </c>
      <c r="C7" s="15">
        <v>3049</v>
      </c>
      <c r="D7" s="15">
        <v>14420</v>
      </c>
      <c r="E7" s="15">
        <v>29757</v>
      </c>
      <c r="F7" s="16">
        <v>47</v>
      </c>
      <c r="G7" s="16">
        <v>235</v>
      </c>
      <c r="H7" s="16">
        <v>469</v>
      </c>
      <c r="I7">
        <f t="shared" si="0"/>
        <v>63.379552844315839</v>
      </c>
      <c r="J7">
        <f t="shared" ref="J7:J12" si="2">INTERCEPT(C7:E7, F7:H7)</f>
        <v>-124.01472869373538</v>
      </c>
      <c r="K7">
        <f t="shared" si="1"/>
        <v>0.99948600620468375</v>
      </c>
    </row>
    <row r="8" spans="1:20" ht="15.75" x14ac:dyDescent="0.25">
      <c r="A8" s="3" t="s">
        <v>59</v>
      </c>
      <c r="B8" s="15">
        <v>8.6769999999999996</v>
      </c>
      <c r="C8" s="15">
        <v>2766</v>
      </c>
      <c r="D8" s="15">
        <v>14186</v>
      </c>
      <c r="E8" s="15">
        <v>29830</v>
      </c>
      <c r="F8" s="16">
        <v>45</v>
      </c>
      <c r="G8" s="16">
        <v>227</v>
      </c>
      <c r="H8" s="16">
        <v>453</v>
      </c>
      <c r="I8">
        <f t="shared" si="0"/>
        <v>66.447898381897673</v>
      </c>
      <c r="J8">
        <f t="shared" si="2"/>
        <v>-464.24210895860779</v>
      </c>
      <c r="K8">
        <f>RSQ(C8:E8,F8:H8)</f>
        <v>0.99923379473921103</v>
      </c>
    </row>
    <row r="9" spans="1:20" ht="15.75" x14ac:dyDescent="0.25">
      <c r="A9" s="3" t="s">
        <v>60</v>
      </c>
      <c r="B9" s="15">
        <v>9.1519999999999992</v>
      </c>
      <c r="C9" s="15">
        <v>2891</v>
      </c>
      <c r="D9" s="15">
        <v>15132</v>
      </c>
      <c r="E9" s="15">
        <v>31948</v>
      </c>
      <c r="F9" s="16">
        <v>46</v>
      </c>
      <c r="G9" s="16">
        <v>228</v>
      </c>
      <c r="H9" s="16">
        <v>455</v>
      </c>
      <c r="I9">
        <f t="shared" si="0"/>
        <v>71.167079473195358</v>
      </c>
      <c r="J9">
        <f t="shared" si="2"/>
        <v>-636.60031198647266</v>
      </c>
      <c r="K9">
        <f t="shared" si="1"/>
        <v>0.99925943181963217</v>
      </c>
    </row>
    <row r="10" spans="1:20" ht="15.75" x14ac:dyDescent="0.25">
      <c r="A10" s="3" t="s">
        <v>61</v>
      </c>
      <c r="B10" s="15">
        <v>9.9380000000000006</v>
      </c>
      <c r="C10" s="15">
        <v>2760</v>
      </c>
      <c r="D10" s="15">
        <v>14811</v>
      </c>
      <c r="E10" s="15">
        <v>31314</v>
      </c>
      <c r="F10" s="16">
        <v>44</v>
      </c>
      <c r="G10" s="16">
        <v>221</v>
      </c>
      <c r="H10" s="16">
        <v>443</v>
      </c>
      <c r="I10">
        <f t="shared" si="0"/>
        <v>71.679464084665625</v>
      </c>
      <c r="J10">
        <f t="shared" si="2"/>
        <v>-621.35352398108444</v>
      </c>
      <c r="K10">
        <f t="shared" si="1"/>
        <v>0.99938742580333773</v>
      </c>
    </row>
    <row r="11" spans="1:20" ht="15.75" x14ac:dyDescent="0.25">
      <c r="A11" s="3" t="s">
        <v>62</v>
      </c>
      <c r="B11" s="15">
        <v>11.122999999999999</v>
      </c>
      <c r="C11" s="15">
        <v>2763</v>
      </c>
      <c r="D11" s="15">
        <v>14584</v>
      </c>
      <c r="E11" s="15">
        <v>31043</v>
      </c>
      <c r="F11" s="16">
        <v>44</v>
      </c>
      <c r="G11" s="16">
        <v>222</v>
      </c>
      <c r="H11" s="16">
        <v>444</v>
      </c>
      <c r="I11">
        <f t="shared" si="0"/>
        <v>70.839430961787471</v>
      </c>
      <c r="J11">
        <f t="shared" si="2"/>
        <v>-635.33199428969965</v>
      </c>
      <c r="K11">
        <f t="shared" si="1"/>
        <v>0.99904040659050175</v>
      </c>
    </row>
    <row r="12" spans="1:20" ht="15.75" x14ac:dyDescent="0.25">
      <c r="A12" s="3" t="s">
        <v>63</v>
      </c>
      <c r="B12" s="15">
        <v>12.250999999999999</v>
      </c>
      <c r="C12" s="15">
        <v>2823</v>
      </c>
      <c r="D12" s="15">
        <v>14673</v>
      </c>
      <c r="E12" s="15">
        <v>31514</v>
      </c>
      <c r="F12" s="16">
        <v>47</v>
      </c>
      <c r="G12" s="16">
        <v>234</v>
      </c>
      <c r="H12" s="16">
        <v>467</v>
      </c>
      <c r="I12">
        <f t="shared" si="0"/>
        <v>68.471956425178234</v>
      </c>
      <c r="J12">
        <f t="shared" si="2"/>
        <v>-735.67446867777289</v>
      </c>
      <c r="K12">
        <f t="shared" si="1"/>
        <v>0.99863539789223055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51183</v>
      </c>
      <c r="C16">
        <v>1</v>
      </c>
      <c r="D16">
        <f>IF(B16=0,0,(B16-$J$5)/$I$5)*C16</f>
        <v>1669.202031550117</v>
      </c>
      <c r="E16">
        <f>1.07*D16/1000</f>
        <v>1.7860461737586255</v>
      </c>
      <c r="F16" s="3" t="s">
        <v>56</v>
      </c>
      <c r="G16">
        <v>60235</v>
      </c>
      <c r="H16">
        <v>1</v>
      </c>
      <c r="I16">
        <f>IF(G16=0,0,(G16-$J$5)/$I$5)*H16</f>
        <v>1970.3118966177378</v>
      </c>
      <c r="J16">
        <f>1.07*I16/1000</f>
        <v>2.1082337293809799</v>
      </c>
      <c r="K16" s="3" t="s">
        <v>56</v>
      </c>
      <c r="L16">
        <v>48842</v>
      </c>
      <c r="M16">
        <v>1</v>
      </c>
      <c r="N16">
        <f>IF(L16=0,0,(L16-$J$5)/$I$5)*M16</f>
        <v>1591.3299376345956</v>
      </c>
      <c r="O16">
        <f>1.07*N16/1000</f>
        <v>1.7027230332690173</v>
      </c>
      <c r="P16" s="3" t="s">
        <v>56</v>
      </c>
      <c r="Q16">
        <v>42078</v>
      </c>
      <c r="R16">
        <v>1</v>
      </c>
      <c r="S16">
        <f>IF(Q16=0,0,(Q16-$J$5)/$I$5)*R16</f>
        <v>1366.3291502597185</v>
      </c>
      <c r="T16">
        <f>1.07*S16/1000</f>
        <v>1.4619721907778989</v>
      </c>
    </row>
    <row r="17" spans="1:20" x14ac:dyDescent="0.25">
      <c r="A17" s="3" t="s">
        <v>57</v>
      </c>
      <c r="B17">
        <v>4056</v>
      </c>
      <c r="C17">
        <v>1</v>
      </c>
      <c r="D17">
        <f>IF(B17=0,0,(B17-$J$6)/$I$6)*C17</f>
        <v>80.143095862762806</v>
      </c>
      <c r="E17">
        <f>1.51*D17/1000</f>
        <v>0.12101607475277185</v>
      </c>
      <c r="F17" s="3" t="s">
        <v>57</v>
      </c>
      <c r="G17">
        <v>4042</v>
      </c>
      <c r="H17">
        <v>1</v>
      </c>
      <c r="I17">
        <f>IF(G17=0,0,(G17-$J$6)/$I$6)*H17</f>
        <v>79.873331050745719</v>
      </c>
      <c r="J17">
        <f>1.51*I17/1000</f>
        <v>0.12060872988662603</v>
      </c>
      <c r="K17" s="3" t="s">
        <v>57</v>
      </c>
      <c r="L17">
        <v>3549</v>
      </c>
      <c r="M17">
        <v>1</v>
      </c>
      <c r="N17">
        <f>IF(L17=0,0,(L17-$J$6)/$I$6)*M17</f>
        <v>70.373755884715777</v>
      </c>
      <c r="O17">
        <f>1.51*N17/1000</f>
        <v>0.10626437138592082</v>
      </c>
      <c r="P17" s="3" t="s">
        <v>57</v>
      </c>
      <c r="Q17">
        <v>2189</v>
      </c>
      <c r="R17">
        <v>1</v>
      </c>
      <c r="S17">
        <f>IF(Q17=0,0,(Q17-$J$6)/$I$6)*R17</f>
        <v>44.168031288771076</v>
      </c>
      <c r="T17">
        <f>1.51*S17/1000</f>
        <v>6.6693727246044318E-2</v>
      </c>
    </row>
    <row r="18" spans="1:20" x14ac:dyDescent="0.25">
      <c r="A18" s="3" t="s">
        <v>58</v>
      </c>
      <c r="B18">
        <v>914</v>
      </c>
      <c r="C18">
        <v>1</v>
      </c>
      <c r="D18">
        <f>IF(B18=0,0,(B18-$J$7)/$I$7)*C18</f>
        <v>16.377754056477684</v>
      </c>
      <c r="E18">
        <f>1.82*D18/1000</f>
        <v>2.9807512382789388E-2</v>
      </c>
      <c r="F18" s="3" t="s">
        <v>58</v>
      </c>
      <c r="G18">
        <v>913</v>
      </c>
      <c r="H18">
        <v>1</v>
      </c>
      <c r="I18">
        <f>IF(G18=0,0,(G18-$J$7)/$I$7)*H18</f>
        <v>16.3619760972602</v>
      </c>
      <c r="J18">
        <f>1.82*I18/1000</f>
        <v>2.9778796497013565E-2</v>
      </c>
      <c r="K18" s="3" t="s">
        <v>58</v>
      </c>
      <c r="L18">
        <v>1095</v>
      </c>
      <c r="M18">
        <v>1</v>
      </c>
      <c r="N18">
        <f>IF(L18=0,0,(L18-$J$7)/$I$7)*M18</f>
        <v>19.233564674842324</v>
      </c>
      <c r="O18">
        <f>1.82*N18/1000</f>
        <v>3.5005087708213034E-2</v>
      </c>
      <c r="P18" s="3" t="s">
        <v>58</v>
      </c>
      <c r="Q18">
        <v>1364</v>
      </c>
      <c r="R18">
        <v>1</v>
      </c>
      <c r="S18">
        <f>IF(Q18=0,0,(Q18-$J$7)/$I$7)*R18</f>
        <v>23.477835704345573</v>
      </c>
      <c r="T18">
        <f>1.82*S18/1000</f>
        <v>4.2729660981908946E-2</v>
      </c>
    </row>
    <row r="19" spans="1:20" x14ac:dyDescent="0.25">
      <c r="A19" s="3" t="s">
        <v>59</v>
      </c>
      <c r="B19">
        <v>1662</v>
      </c>
      <c r="C19">
        <v>1</v>
      </c>
      <c r="D19">
        <f>IF(B19=0,0,(B19-$J$8)/$I$8)*C19</f>
        <v>31.998635934855354</v>
      </c>
      <c r="E19">
        <f>1.82*D19/1000</f>
        <v>5.8237517401436747E-2</v>
      </c>
      <c r="F19" s="3" t="s">
        <v>59</v>
      </c>
      <c r="G19">
        <v>993</v>
      </c>
      <c r="H19">
        <v>1</v>
      </c>
      <c r="I19">
        <f>IF(G19=0,0,(G19-$J$8)/$I$8)*H19</f>
        <v>21.930597422109027</v>
      </c>
      <c r="J19">
        <f>1.82*I19/1000</f>
        <v>3.9913687308238431E-2</v>
      </c>
      <c r="K19" s="3" t="s">
        <v>59</v>
      </c>
      <c r="L19">
        <v>659</v>
      </c>
      <c r="M19">
        <v>1</v>
      </c>
      <c r="N19">
        <f>IF(L19=0,0,(L19-$J$8)/$I$8)*M19</f>
        <v>16.904102858196811</v>
      </c>
      <c r="O19">
        <f>1.82*N19/1000</f>
        <v>3.0765467201918199E-2</v>
      </c>
      <c r="P19" s="3" t="s">
        <v>59</v>
      </c>
      <c r="Q19">
        <v>667</v>
      </c>
      <c r="R19">
        <v>1</v>
      </c>
      <c r="S19">
        <f>IF(Q19=0,0,(Q19-$J$8)/$I$8)*R19</f>
        <v>17.024497937571955</v>
      </c>
      <c r="T19">
        <f>1.82*S19/1000</f>
        <v>3.0984586246380955E-2</v>
      </c>
    </row>
    <row r="20" spans="1:20" x14ac:dyDescent="0.25">
      <c r="A20" s="3" t="s">
        <v>60</v>
      </c>
      <c r="B20">
        <v>1197</v>
      </c>
      <c r="C20">
        <v>1</v>
      </c>
      <c r="D20">
        <f>IF(B20=0,0,(B20-$J$9)/$I$9)*C20</f>
        <v>25.764726128421316</v>
      </c>
      <c r="E20">
        <f>2.04*D20/1000</f>
        <v>5.2560041301979492E-2</v>
      </c>
      <c r="F20" s="3" t="s">
        <v>60</v>
      </c>
      <c r="G20">
        <v>470</v>
      </c>
      <c r="H20">
        <v>1</v>
      </c>
      <c r="I20">
        <f>IF(G20=0,0,(G20-$J$9)/$I$9)*H20</f>
        <v>15.54932870897515</v>
      </c>
      <c r="J20">
        <f>2.04*I20/1000</f>
        <v>3.1720630566309305E-2</v>
      </c>
      <c r="K20" s="3" t="s">
        <v>60</v>
      </c>
      <c r="L20">
        <v>273</v>
      </c>
      <c r="M20">
        <v>1</v>
      </c>
      <c r="N20">
        <f>IF(L20=0,0,(L20-$J$9)/$I$9)*M20</f>
        <v>12.781194882797854</v>
      </c>
      <c r="O20">
        <f>2.04*N20/1000</f>
        <v>2.6073637560907619E-2</v>
      </c>
      <c r="P20" s="3" t="s">
        <v>60</v>
      </c>
      <c r="Q20">
        <v>208</v>
      </c>
      <c r="R20">
        <v>1</v>
      </c>
      <c r="S20">
        <f>IF(Q20=0,0,(Q20-$J$9)/$I$9)*R20</f>
        <v>11.867851234566766</v>
      </c>
      <c r="T20">
        <f>2.04*S20/1000</f>
        <v>2.4210416518516204E-2</v>
      </c>
    </row>
    <row r="21" spans="1:20" x14ac:dyDescent="0.25">
      <c r="A21" s="3" t="s">
        <v>61</v>
      </c>
      <c r="B21">
        <v>1550</v>
      </c>
      <c r="C21">
        <v>1</v>
      </c>
      <c r="D21">
        <f>IF(B21=0,0,(B21-$J$10)/$I$10)*C21</f>
        <v>30.292546850187762</v>
      </c>
      <c r="E21">
        <f>2.04*D21/1000</f>
        <v>6.1796795574383036E-2</v>
      </c>
      <c r="F21" s="3" t="s">
        <v>61</v>
      </c>
      <c r="G21">
        <v>613</v>
      </c>
      <c r="H21">
        <v>1</v>
      </c>
      <c r="I21">
        <f>IF(G21=0,0,(G21-$J$10)/$I$10)*H21</f>
        <v>17.220462509640186</v>
      </c>
      <c r="J21">
        <f>2.04*I21/1000</f>
        <v>3.5129743519665982E-2</v>
      </c>
      <c r="K21" s="3" t="s">
        <v>61</v>
      </c>
      <c r="L21">
        <v>314</v>
      </c>
      <c r="M21">
        <v>1</v>
      </c>
      <c r="N21">
        <f>IF(L21=0,0,(L21-$J$10)/$I$10)*M21</f>
        <v>13.049114358280818</v>
      </c>
      <c r="O21">
        <f>2.04*N21/1000</f>
        <v>2.6620193290892869E-2</v>
      </c>
      <c r="P21" s="3" t="s">
        <v>61</v>
      </c>
      <c r="Q21">
        <v>214</v>
      </c>
      <c r="R21">
        <v>1</v>
      </c>
      <c r="S21">
        <f>IF(Q21=0,0,(Q21-$J$10)/$I$10)*R21</f>
        <v>11.654014642107118</v>
      </c>
      <c r="T21">
        <f>2.04*S21/1000</f>
        <v>2.3774189869898522E-2</v>
      </c>
    </row>
    <row r="22" spans="1:20" x14ac:dyDescent="0.25">
      <c r="A22" s="3" t="s">
        <v>62</v>
      </c>
      <c r="B22">
        <v>2453</v>
      </c>
      <c r="C22">
        <v>1</v>
      </c>
      <c r="D22">
        <f>IF(B22=0,0,(B22-$J$11)/$I$11)*1</f>
        <v>43.596228150895534</v>
      </c>
      <c r="E22">
        <f>2.21*D22/1000</f>
        <v>9.6347664213479137E-2</v>
      </c>
      <c r="F22" s="3" t="s">
        <v>62</v>
      </c>
      <c r="G22">
        <v>1125</v>
      </c>
      <c r="H22">
        <v>1</v>
      </c>
      <c r="I22">
        <f>IF(G22=0,0,(G22-$J$11)/$I$11)*1</f>
        <v>24.849606644063332</v>
      </c>
      <c r="J22">
        <f>2.21*I22/1000</f>
        <v>5.4917630683379959E-2</v>
      </c>
      <c r="K22" s="3" t="s">
        <v>62</v>
      </c>
      <c r="L22">
        <v>646</v>
      </c>
      <c r="M22">
        <v>1</v>
      </c>
      <c r="N22">
        <f>IF(L22=0,0,(L22-$J$11)/$I$11)*1</f>
        <v>18.087835784294789</v>
      </c>
      <c r="O22">
        <f>2.21*N22/1000</f>
        <v>3.9974117083291481E-2</v>
      </c>
      <c r="P22" s="3" t="s">
        <v>62</v>
      </c>
      <c r="Q22">
        <v>475</v>
      </c>
      <c r="R22">
        <v>1</v>
      </c>
      <c r="S22">
        <f>IF(Q22=0,0,(Q22-$J$11)/$I$11)*1</f>
        <v>15.673925936652992</v>
      </c>
      <c r="T22">
        <f>2.21*S22/1000</f>
        <v>3.4639376320003107E-2</v>
      </c>
    </row>
    <row r="23" spans="1:20" x14ac:dyDescent="0.25">
      <c r="A23" s="3" t="s">
        <v>63</v>
      </c>
      <c r="B23">
        <v>3278</v>
      </c>
      <c r="C23">
        <v>1</v>
      </c>
      <c r="D23">
        <f>IF(B23=0,0,(B23-$J$12)/$I$12)*1</f>
        <v>58.61778570711148</v>
      </c>
      <c r="E23">
        <f>2.34*D23/1000</f>
        <v>0.13716561855464085</v>
      </c>
      <c r="F23" s="3" t="s">
        <v>63</v>
      </c>
      <c r="G23">
        <v>1574</v>
      </c>
      <c r="H23">
        <v>1</v>
      </c>
      <c r="I23">
        <f>IF(G23=0,0,(G23-$J$12)/$I$12)*1</f>
        <v>33.731685046879555</v>
      </c>
      <c r="J23">
        <f>2.34*I23/1000</f>
        <v>7.8932143009698155E-2</v>
      </c>
      <c r="K23" s="3" t="s">
        <v>63</v>
      </c>
      <c r="L23">
        <v>920</v>
      </c>
      <c r="M23">
        <v>1</v>
      </c>
      <c r="N23">
        <f>IF(L23=0,0,(L23-$J$12)/$I$12)*1</f>
        <v>24.180329511790536</v>
      </c>
      <c r="O23">
        <f>2.34*N23/1000</f>
        <v>5.6581971057589844E-2</v>
      </c>
      <c r="P23" s="3" t="s">
        <v>63</v>
      </c>
      <c r="Q23">
        <v>600</v>
      </c>
      <c r="R23">
        <v>1</v>
      </c>
      <c r="S23">
        <f>IF(Q23=0,0,(Q23-$J$12)/$I$12)*1</f>
        <v>19.506883378413647</v>
      </c>
      <c r="T23">
        <f>2.34*S23/1000</f>
        <v>4.5646107105487929E-2</v>
      </c>
    </row>
    <row r="24" spans="1:20" x14ac:dyDescent="0.25">
      <c r="B24" s="3" t="s">
        <v>69</v>
      </c>
      <c r="C24" s="3"/>
      <c r="D24" s="3">
        <f>SUM(D16:D23)</f>
        <v>1955.9928042408289</v>
      </c>
      <c r="E24" s="3">
        <f>SUM(E16:E23)</f>
        <v>2.3429773979401056</v>
      </c>
      <c r="G24" s="3" t="s">
        <v>69</v>
      </c>
      <c r="H24" s="3"/>
      <c r="I24" s="3">
        <f>SUM(I16:I23)</f>
        <v>2179.828884097411</v>
      </c>
      <c r="J24" s="3">
        <f>SUM(J16:J23)</f>
        <v>2.4992350908519114</v>
      </c>
      <c r="L24" s="3" t="s">
        <v>69</v>
      </c>
      <c r="M24" s="3"/>
      <c r="N24" s="3">
        <f>SUM(N16:N23)</f>
        <v>1765.9398355895144</v>
      </c>
      <c r="O24" s="3">
        <f>SUM(O16:O23)</f>
        <v>2.0240078785577511</v>
      </c>
      <c r="Q24" s="3" t="s">
        <v>69</v>
      </c>
      <c r="R24" s="3"/>
      <c r="S24" s="3">
        <f>SUM(S16:S23)</f>
        <v>1509.7021903821478</v>
      </c>
      <c r="T24" s="3">
        <f>SUM(T16:T23)</f>
        <v>1.7306502550661387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55916</v>
      </c>
      <c r="C28">
        <v>1</v>
      </c>
      <c r="D28">
        <f>IF(B28=0,0,(B28-$J$5)/$I$5)*C28</f>
        <v>1826.6427066898705</v>
      </c>
      <c r="E28">
        <f>1.07*D28/1000</f>
        <v>1.9545076961581616</v>
      </c>
      <c r="F28" s="3" t="s">
        <v>56</v>
      </c>
      <c r="G28">
        <v>57554</v>
      </c>
      <c r="H28">
        <v>1</v>
      </c>
      <c r="I28">
        <f>IF(G28=0,0,(G28-$J$5)/$I$5)*H28</f>
        <v>1881.1298873108121</v>
      </c>
      <c r="J28">
        <f>1.07*I28/1000</f>
        <v>2.012808979422569</v>
      </c>
      <c r="K28" s="3" t="s">
        <v>56</v>
      </c>
      <c r="L28">
        <v>35297</v>
      </c>
      <c r="M28">
        <v>1</v>
      </c>
      <c r="N28">
        <f>IF(L28=0,0,(L28-$J$5)/$I$5)*M28</f>
        <v>1140.7628671152711</v>
      </c>
      <c r="O28">
        <f>1.07*N28/1000</f>
        <v>1.2206162678133401</v>
      </c>
      <c r="P28" s="3" t="s">
        <v>56</v>
      </c>
      <c r="Q28">
        <v>53992</v>
      </c>
      <c r="R28">
        <v>1</v>
      </c>
      <c r="S28">
        <f>IF(Q28=0,0,(Q28-$J$5)/$I$5)*R28</f>
        <v>1762.6418913573359</v>
      </c>
      <c r="T28">
        <f>1.07*S28/1000</f>
        <v>1.8860268237523496</v>
      </c>
    </row>
    <row r="29" spans="1:20" x14ac:dyDescent="0.25">
      <c r="A29" s="3" t="s">
        <v>57</v>
      </c>
      <c r="B29">
        <v>5441</v>
      </c>
      <c r="C29">
        <v>1</v>
      </c>
      <c r="D29">
        <f>IF(B29=0,0,(B29-$J$6)/$I$6)*C29</f>
        <v>106.83054333730942</v>
      </c>
      <c r="E29">
        <f>1.51*D29/1000</f>
        <v>0.16131412043933721</v>
      </c>
      <c r="F29" s="3" t="s">
        <v>57</v>
      </c>
      <c r="G29">
        <v>4642</v>
      </c>
      <c r="H29">
        <v>1</v>
      </c>
      <c r="I29">
        <f>IF(G29=0,0,(G29-$J$6)/$I$6)*H29</f>
        <v>91.434680137191918</v>
      </c>
      <c r="J29">
        <f>1.51*I29/1000</f>
        <v>0.1380663670071598</v>
      </c>
      <c r="K29" s="3" t="s">
        <v>57</v>
      </c>
      <c r="L29">
        <v>2735</v>
      </c>
      <c r="M29">
        <v>1</v>
      </c>
      <c r="N29">
        <f>IF(L29=0,0,(L29-$J$6)/$I$6)*M29</f>
        <v>54.688858957437112</v>
      </c>
      <c r="O29">
        <f>1.51*N29/1000</f>
        <v>8.2580177025730034E-2</v>
      </c>
      <c r="P29" s="3" t="s">
        <v>57</v>
      </c>
      <c r="Q29">
        <v>3244</v>
      </c>
      <c r="R29">
        <v>1</v>
      </c>
      <c r="S29">
        <f>IF(Q29=0,0,(Q29-$J$6)/$I$6)*R29</f>
        <v>64.496736765772297</v>
      </c>
      <c r="T29">
        <f>1.51*S29/1000</f>
        <v>9.7390072516316165E-2</v>
      </c>
    </row>
    <row r="30" spans="1:20" x14ac:dyDescent="0.25">
      <c r="A30" s="3" t="s">
        <v>58</v>
      </c>
      <c r="B30">
        <v>1116</v>
      </c>
      <c r="C30">
        <v>1</v>
      </c>
      <c r="D30">
        <f>IF(B30=0,0,(B30-$J$7)/$I$7)*C30</f>
        <v>19.564901818409492</v>
      </c>
      <c r="E30">
        <f>1.82*D30/1000</f>
        <v>3.5608121309505282E-2</v>
      </c>
      <c r="F30" s="3" t="s">
        <v>58</v>
      </c>
      <c r="G30">
        <v>1043</v>
      </c>
      <c r="H30">
        <v>1</v>
      </c>
      <c r="I30">
        <f>IF(G30=0,0,(G30-$J$7)/$I$7)*H30</f>
        <v>18.413110795533143</v>
      </c>
      <c r="J30">
        <f>1.82*I30/1000</f>
        <v>3.3511861647870317E-2</v>
      </c>
      <c r="K30" s="3" t="s">
        <v>58</v>
      </c>
      <c r="L30">
        <v>1132</v>
      </c>
      <c r="M30">
        <v>1</v>
      </c>
      <c r="N30">
        <f>IF(L30=0,0,(L30-$J$7)/$I$7)*M30</f>
        <v>19.817349165889237</v>
      </c>
      <c r="O30">
        <f>1.82*N30/1000</f>
        <v>3.6067575481918412E-2</v>
      </c>
      <c r="P30" s="3" t="s">
        <v>58</v>
      </c>
      <c r="Q30">
        <v>595</v>
      </c>
      <c r="R30">
        <v>1</v>
      </c>
      <c r="S30">
        <f>IF(Q30=0,0,(Q30-$J$7)/$I$7)*R30</f>
        <v>11.344585066100223</v>
      </c>
      <c r="T30">
        <f>1.82*S30/1000</f>
        <v>2.0647144820302405E-2</v>
      </c>
    </row>
    <row r="31" spans="1:20" x14ac:dyDescent="0.25">
      <c r="A31" s="3" t="s">
        <v>59</v>
      </c>
      <c r="B31">
        <v>26235</v>
      </c>
      <c r="C31">
        <v>1</v>
      </c>
      <c r="D31">
        <f>IF(B31=0,0,(B31-$J$8)/$I$8)*C31</f>
        <v>401.80717162052866</v>
      </c>
      <c r="E31">
        <f>1.82*D31/1000</f>
        <v>0.73128905234936226</v>
      </c>
      <c r="F31" s="3" t="s">
        <v>59</v>
      </c>
      <c r="G31">
        <v>4519</v>
      </c>
      <c r="H31">
        <v>1</v>
      </c>
      <c r="I31">
        <f>IF(G31=0,0,(G31-$J$8)/$I$8)*H31</f>
        <v>74.994728656703259</v>
      </c>
      <c r="J31">
        <f>1.82*I31/1000</f>
        <v>0.13649040615519994</v>
      </c>
      <c r="K31" s="3" t="s">
        <v>59</v>
      </c>
      <c r="L31">
        <v>1771</v>
      </c>
      <c r="M31">
        <v>1</v>
      </c>
      <c r="N31">
        <f>IF(L31=0,0,(L31-$J$8)/$I$8)*M31</f>
        <v>33.639018891341678</v>
      </c>
      <c r="O31">
        <f>1.82*N31/1000</f>
        <v>6.1223014382241855E-2</v>
      </c>
      <c r="P31" s="3" t="s">
        <v>59</v>
      </c>
      <c r="Q31">
        <v>1280</v>
      </c>
      <c r="R31">
        <v>1</v>
      </c>
      <c r="S31">
        <f>IF(Q31=0,0,(Q31-$J$8)/$I$8)*R31</f>
        <v>26.249770894692279</v>
      </c>
      <c r="T31">
        <f>1.82*S31/1000</f>
        <v>4.7774583028339944E-2</v>
      </c>
    </row>
    <row r="32" spans="1:20" x14ac:dyDescent="0.25">
      <c r="A32" s="3" t="s">
        <v>60</v>
      </c>
      <c r="B32">
        <v>0</v>
      </c>
      <c r="C32">
        <v>1</v>
      </c>
      <c r="D32">
        <f>IF(B32=0,0,(B32-$J$9)/$I$9)*C32</f>
        <v>0</v>
      </c>
      <c r="E32">
        <f>2.04*D32/1000</f>
        <v>0</v>
      </c>
      <c r="F32" s="3" t="s">
        <v>60</v>
      </c>
      <c r="G32">
        <v>0</v>
      </c>
      <c r="H32">
        <v>1</v>
      </c>
      <c r="I32">
        <f>IF(G32=0,0,(G32-$J$9)/$I$9)*H32</f>
        <v>0</v>
      </c>
      <c r="J32">
        <f>2.04*I32/1000</f>
        <v>0</v>
      </c>
      <c r="K32" s="3" t="s">
        <v>60</v>
      </c>
      <c r="L32">
        <v>0</v>
      </c>
      <c r="M32">
        <v>1</v>
      </c>
      <c r="N32">
        <f>IF(L32=0,0,(L32-$J$9)/$I$9)*M32</f>
        <v>0</v>
      </c>
      <c r="O32">
        <f>2.04*N32/1000</f>
        <v>0</v>
      </c>
      <c r="P32" s="3" t="s">
        <v>60</v>
      </c>
      <c r="Q32">
        <v>0</v>
      </c>
      <c r="R32">
        <v>1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61</v>
      </c>
      <c r="B33">
        <v>0</v>
      </c>
      <c r="C33">
        <v>1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343</v>
      </c>
      <c r="C34">
        <v>1</v>
      </c>
      <c r="D34">
        <f>IF(B34=0,0,(B34-$J$11)/$I$11)*1</f>
        <v>13.810556931455816</v>
      </c>
      <c r="E34">
        <f>2.21*D34/1000</f>
        <v>3.0521330818517354E-2</v>
      </c>
      <c r="F34" s="3" t="s">
        <v>62</v>
      </c>
      <c r="G34">
        <v>283</v>
      </c>
      <c r="H34">
        <v>1</v>
      </c>
      <c r="I34">
        <f>IF(G34=0,0,(G34-$J$11)/$I$11)*1</f>
        <v>12.963571020002552</v>
      </c>
      <c r="J34">
        <f>2.21*I34/1000</f>
        <v>2.8649491954205641E-2</v>
      </c>
      <c r="K34" s="3" t="s">
        <v>62</v>
      </c>
      <c r="L34">
        <v>220</v>
      </c>
      <c r="M34">
        <v>1</v>
      </c>
      <c r="N34">
        <f>IF(L34=0,0,(L34-$J$11)/$I$11)*1</f>
        <v>12.074235812976628</v>
      </c>
      <c r="O34">
        <f>2.21*N34/1000</f>
        <v>2.6684061146678349E-2</v>
      </c>
      <c r="P34" s="3" t="s">
        <v>62</v>
      </c>
      <c r="Q34">
        <v>741</v>
      </c>
      <c r="R34">
        <v>1</v>
      </c>
      <c r="S34">
        <f>IF(Q34=0,0,(Q34-$J$11)/$I$11)*1</f>
        <v>19.428896810762453</v>
      </c>
      <c r="T34">
        <f>2.21*S34/1000</f>
        <v>4.293786195178502E-2</v>
      </c>
    </row>
    <row r="35" spans="1:20" x14ac:dyDescent="0.25">
      <c r="A35" s="3" t="s">
        <v>63</v>
      </c>
      <c r="B35">
        <v>288</v>
      </c>
      <c r="C35">
        <v>1</v>
      </c>
      <c r="D35">
        <f>IF(B35=0,0,(B35-$J$12)/$I$12)*1</f>
        <v>14.950273398371182</v>
      </c>
      <c r="E35">
        <f>2.34*D35/1000</f>
        <v>3.4983639752188565E-2</v>
      </c>
      <c r="F35" s="3" t="s">
        <v>63</v>
      </c>
      <c r="G35">
        <v>217</v>
      </c>
      <c r="H35">
        <v>1</v>
      </c>
      <c r="I35">
        <f>IF(G35=0,0,(G35-$J$12)/$I$12)*1</f>
        <v>13.913352537528185</v>
      </c>
      <c r="J35">
        <f>2.34*I35/1000</f>
        <v>3.2557244937815949E-2</v>
      </c>
      <c r="K35" s="3" t="s">
        <v>63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2383.6061537959449</v>
      </c>
      <c r="E36" s="3">
        <f>SUM(E28:E35)</f>
        <v>2.9482239608270722</v>
      </c>
      <c r="G36" s="3" t="s">
        <v>69</v>
      </c>
      <c r="H36" s="3"/>
      <c r="I36" s="3">
        <f>SUM(I28:I35)</f>
        <v>2092.8493304577714</v>
      </c>
      <c r="J36" s="3">
        <f>SUM(J28:J35)</f>
        <v>2.3820843511248202</v>
      </c>
      <c r="L36" s="3" t="s">
        <v>69</v>
      </c>
      <c r="M36" s="3"/>
      <c r="N36" s="3">
        <f>SUM(N28:N35)</f>
        <v>1260.9823299429158</v>
      </c>
      <c r="O36" s="3">
        <f>SUM(O28:O35)</f>
        <v>1.4271710958499086</v>
      </c>
      <c r="Q36" s="3" t="s">
        <v>69</v>
      </c>
      <c r="R36" s="3"/>
      <c r="S36" s="3">
        <f>SUM(S28:S35)</f>
        <v>1884.1618808946632</v>
      </c>
      <c r="T36" s="3">
        <f>SUM(T28:T35)</f>
        <v>2.0947764860690929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53992</v>
      </c>
      <c r="C40">
        <v>1</v>
      </c>
      <c r="D40">
        <f>IF(B40=0,0,(B40-$J$5)/$I$5)*C40</f>
        <v>1762.6418913573359</v>
      </c>
      <c r="E40">
        <f>1.07*D40/1000</f>
        <v>1.8860268237523496</v>
      </c>
      <c r="F40" s="3" t="s">
        <v>56</v>
      </c>
      <c r="G40">
        <v>62712</v>
      </c>
      <c r="H40">
        <v>1</v>
      </c>
      <c r="I40">
        <f>IF(G40=0,0,(G40-$J$5)/$I$5)*H40</f>
        <v>2052.707956689821</v>
      </c>
      <c r="J40">
        <f>1.07*I40/1000</f>
        <v>2.1963975136581086</v>
      </c>
      <c r="K40" s="3" t="s">
        <v>56</v>
      </c>
      <c r="L40">
        <v>51598</v>
      </c>
      <c r="M40">
        <v>1</v>
      </c>
      <c r="N40">
        <f>IF(L40=0,0,(L40-$J$5)/$I$5)*M40</f>
        <v>1683.0067812190368</v>
      </c>
      <c r="O40">
        <f>1.07*N40/1000</f>
        <v>1.8008172559043696</v>
      </c>
      <c r="P40" s="3" t="s">
        <v>56</v>
      </c>
      <c r="Q40">
        <v>39884</v>
      </c>
      <c r="R40">
        <v>1</v>
      </c>
      <c r="S40">
        <f>IF(Q40=0,0,(Q40-$J$5)/$I$5)*R40</f>
        <v>1293.3469315281277</v>
      </c>
      <c r="T40">
        <f>1.07*S40/1000</f>
        <v>1.3838812167350969</v>
      </c>
    </row>
    <row r="41" spans="1:20" x14ac:dyDescent="0.25">
      <c r="A41" s="3" t="s">
        <v>57</v>
      </c>
      <c r="B41">
        <v>3244</v>
      </c>
      <c r="C41">
        <v>1</v>
      </c>
      <c r="D41">
        <f>IF(B41=0,0,(B41-$J$6)/$I$6)*C41</f>
        <v>64.496736765772297</v>
      </c>
      <c r="E41">
        <f>1.51*D41/1000</f>
        <v>9.7390072516316165E-2</v>
      </c>
      <c r="F41" s="3" t="s">
        <v>57</v>
      </c>
      <c r="G41">
        <v>4783</v>
      </c>
      <c r="H41">
        <v>1</v>
      </c>
      <c r="I41">
        <f>IF(G41=0,0,(G41-$J$6)/$I$6)*H41</f>
        <v>94.151597172506769</v>
      </c>
      <c r="J41">
        <f>1.51*I41/1000</f>
        <v>0.14216891173048524</v>
      </c>
      <c r="K41" s="3" t="s">
        <v>57</v>
      </c>
      <c r="L41">
        <v>3062</v>
      </c>
      <c r="M41">
        <v>1</v>
      </c>
      <c r="N41">
        <f>IF(L41=0,0,(L41-$J$6)/$I$6)*M41</f>
        <v>60.989794209550283</v>
      </c>
      <c r="O41">
        <f>1.51*N41/1000</f>
        <v>9.2094589256420931E-2</v>
      </c>
      <c r="P41" s="3" t="s">
        <v>57</v>
      </c>
      <c r="Q41">
        <v>2788</v>
      </c>
      <c r="R41">
        <v>1</v>
      </c>
      <c r="S41">
        <f>IF(Q41=0,0,(Q41-$J$6)/$I$6)*R41</f>
        <v>55.710111460073193</v>
      </c>
      <c r="T41">
        <f>1.51*S41/1000</f>
        <v>8.4122268304710521E-2</v>
      </c>
    </row>
    <row r="42" spans="1:20" x14ac:dyDescent="0.25">
      <c r="A42" s="3" t="s">
        <v>58</v>
      </c>
      <c r="B42">
        <v>595</v>
      </c>
      <c r="C42">
        <v>1</v>
      </c>
      <c r="D42">
        <f>IF(B42=0,0,(B42-$J$7)/$I$7)*C42</f>
        <v>11.344585066100223</v>
      </c>
      <c r="E42">
        <f>1.82*D42/1000</f>
        <v>2.0647144820302405E-2</v>
      </c>
      <c r="F42" s="3" t="s">
        <v>58</v>
      </c>
      <c r="G42">
        <v>1117</v>
      </c>
      <c r="H42">
        <v>1</v>
      </c>
      <c r="I42">
        <f>IF(G42=0,0,(G42-$J$7)/$I$7)*H42</f>
        <v>19.580679777626976</v>
      </c>
      <c r="J42">
        <f>1.82*I42/1000</f>
        <v>3.5636837195281094E-2</v>
      </c>
      <c r="K42" s="3" t="s">
        <v>58</v>
      </c>
      <c r="L42">
        <v>1251</v>
      </c>
      <c r="M42">
        <v>1</v>
      </c>
      <c r="N42">
        <f>IF(L42=0,0,(L42-$J$7)/$I$7)*M42</f>
        <v>21.694926312769859</v>
      </c>
      <c r="O42">
        <f>1.82*N42/1000</f>
        <v>3.9484765889241144E-2</v>
      </c>
      <c r="P42" s="3" t="s">
        <v>58</v>
      </c>
      <c r="Q42">
        <v>1560</v>
      </c>
      <c r="R42">
        <v>1</v>
      </c>
      <c r="S42">
        <f>IF(Q42=0,0,(Q42-$J$7)/$I$7)*R42</f>
        <v>26.570315710972476</v>
      </c>
      <c r="T42">
        <f>1.82*S42/1000</f>
        <v>4.8357974593969906E-2</v>
      </c>
    </row>
    <row r="43" spans="1:20" x14ac:dyDescent="0.25">
      <c r="A43" s="3" t="s">
        <v>59</v>
      </c>
      <c r="B43">
        <v>1280</v>
      </c>
      <c r="C43">
        <v>1</v>
      </c>
      <c r="D43">
        <f>IF(B43=0,0,(B43-$J$8)/$I$8)*C43</f>
        <v>26.249770894692279</v>
      </c>
      <c r="E43">
        <f>1.82*D43/1000</f>
        <v>4.7774583028339944E-2</v>
      </c>
      <c r="F43" s="3" t="s">
        <v>59</v>
      </c>
      <c r="G43">
        <v>24875</v>
      </c>
      <c r="H43">
        <v>1</v>
      </c>
      <c r="I43">
        <f>IF(G43=0,0,(G43-$J$8)/$I$8)*H43</f>
        <v>381.34000812675436</v>
      </c>
      <c r="J43">
        <f>1.82*I43/1000</f>
        <v>0.69403881479069296</v>
      </c>
      <c r="K43" s="3" t="s">
        <v>59</v>
      </c>
      <c r="L43">
        <v>6788</v>
      </c>
      <c r="M43">
        <v>1</v>
      </c>
      <c r="N43">
        <f>IF(L43=0,0,(L43-$J$8)/$I$8)*M43</f>
        <v>109.14178304447817</v>
      </c>
      <c r="O43">
        <f>1.82*N43/1000</f>
        <v>0.19863804514095029</v>
      </c>
      <c r="P43" s="3" t="s">
        <v>59</v>
      </c>
      <c r="Q43">
        <v>3108</v>
      </c>
      <c r="R43">
        <v>1</v>
      </c>
      <c r="S43">
        <f>IF(Q43=0,0,(Q43-$J$8)/$I$8)*R43</f>
        <v>53.760046531912437</v>
      </c>
      <c r="T43">
        <f>1.82*S43/1000</f>
        <v>9.7843284688080651E-2</v>
      </c>
    </row>
    <row r="44" spans="1:20" x14ac:dyDescent="0.25">
      <c r="A44" s="3" t="s">
        <v>60</v>
      </c>
      <c r="B44">
        <v>0</v>
      </c>
      <c r="C44">
        <v>1</v>
      </c>
      <c r="D44">
        <f>IF(B44=0,0,(B44-$J$9)/$I$9)*C44</f>
        <v>0</v>
      </c>
      <c r="E44">
        <f>2.04*D44/1000</f>
        <v>0</v>
      </c>
      <c r="F44" s="3" t="s">
        <v>60</v>
      </c>
      <c r="G44">
        <v>0</v>
      </c>
      <c r="H44">
        <v>1</v>
      </c>
      <c r="I44">
        <f>IF(G44=0,0,(G44-$J$9)/$I$9)*H44</f>
        <v>0</v>
      </c>
      <c r="J44">
        <f>2.04*I44/1000</f>
        <v>0</v>
      </c>
      <c r="K44" s="3" t="s">
        <v>60</v>
      </c>
      <c r="L44">
        <v>0</v>
      </c>
      <c r="M44">
        <v>1</v>
      </c>
      <c r="N44">
        <f>IF(L44=0,0,(L44-$J$9)/$I$9)*M44</f>
        <v>0</v>
      </c>
      <c r="O44">
        <f>2.04*N44/1000</f>
        <v>0</v>
      </c>
      <c r="P44" s="3" t="s">
        <v>60</v>
      </c>
      <c r="Q44">
        <v>0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61</v>
      </c>
      <c r="B45">
        <v>0</v>
      </c>
      <c r="C45">
        <v>1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741</v>
      </c>
      <c r="C46">
        <v>1</v>
      </c>
      <c r="D46">
        <f>IF(B46=0,0,(B46-$J$11)/$I$11)*1</f>
        <v>19.428896810762453</v>
      </c>
      <c r="E46">
        <f>2.21*D46/1000</f>
        <v>4.293786195178502E-2</v>
      </c>
      <c r="F46" s="3" t="s">
        <v>62</v>
      </c>
      <c r="G46">
        <v>287</v>
      </c>
      <c r="H46">
        <v>1</v>
      </c>
      <c r="I46">
        <f>IF(G46=0,0,(G46-$J$11)/$I$11)*1</f>
        <v>13.020036747432771</v>
      </c>
      <c r="J46">
        <f>2.21*I46/1000</f>
        <v>2.8774281211826423E-2</v>
      </c>
      <c r="K46" s="3" t="s">
        <v>62</v>
      </c>
      <c r="L46">
        <v>2713</v>
      </c>
      <c r="M46">
        <v>1</v>
      </c>
      <c r="N46">
        <f>IF(L46=0,0,(L46-$J$11)/$I$11)*1</f>
        <v>47.266500433859669</v>
      </c>
      <c r="O46">
        <f>2.21*N46/1000</f>
        <v>0.10445896595882986</v>
      </c>
      <c r="P46" s="3" t="s">
        <v>62</v>
      </c>
      <c r="Q46">
        <v>0</v>
      </c>
      <c r="R46">
        <v>1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0</v>
      </c>
      <c r="C47">
        <v>1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1884.1618808946632</v>
      </c>
      <c r="E48" s="3">
        <f>SUM(E40:E47)</f>
        <v>2.0947764860690929</v>
      </c>
      <c r="F48" s="3"/>
      <c r="G48" s="3" t="s">
        <v>69</v>
      </c>
      <c r="H48" s="3"/>
      <c r="I48" s="3">
        <f>SUM(I40:I47)</f>
        <v>2560.8002785141416</v>
      </c>
      <c r="J48" s="3">
        <f>SUM(J40:J47)</f>
        <v>3.0970163585863943</v>
      </c>
      <c r="K48" s="3"/>
      <c r="L48" s="3" t="s">
        <v>69</v>
      </c>
      <c r="M48" s="3"/>
      <c r="N48" s="3">
        <f>SUM(N40:N47)</f>
        <v>1922.0997852196949</v>
      </c>
      <c r="O48" s="3">
        <f>SUM(O40:O47)</f>
        <v>2.2354936221498121</v>
      </c>
      <c r="P48" s="3"/>
      <c r="Q48" s="3" t="s">
        <v>69</v>
      </c>
      <c r="R48" s="3"/>
      <c r="S48" s="3">
        <f>SUM(S40:S47)</f>
        <v>1429.3874052310857</v>
      </c>
      <c r="T48" s="3">
        <f>SUM(T40:T47)</f>
        <v>1.6142047443218579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C52">
        <v>1</v>
      </c>
      <c r="D52">
        <f>IF(B52=0,0,(B52-$J$5)/$I$5)*C52</f>
        <v>0</v>
      </c>
      <c r="E52">
        <f>1.07*D52/1000</f>
        <v>0</v>
      </c>
      <c r="F52" s="3" t="s">
        <v>56</v>
      </c>
      <c r="H52">
        <v>1</v>
      </c>
      <c r="I52">
        <f>IF(G52=0,0,(G52-$J$5)/$I$5)*H52</f>
        <v>0</v>
      </c>
      <c r="J52">
        <f>1.07*I52/1000</f>
        <v>0</v>
      </c>
    </row>
    <row r="53" spans="1:13" x14ac:dyDescent="0.25">
      <c r="A53" s="3" t="s">
        <v>57</v>
      </c>
      <c r="C53">
        <v>1</v>
      </c>
      <c r="D53">
        <f>IF(B53=0,0,(B53-$J$6)/$I$6)*C53</f>
        <v>0</v>
      </c>
      <c r="E53">
        <f>1.51*D53/1000</f>
        <v>0</v>
      </c>
      <c r="F53" s="3" t="s">
        <v>57</v>
      </c>
      <c r="H53">
        <v>1</v>
      </c>
      <c r="I53">
        <f>IF(G53=0,0,(G53-$J$6)/$I$6)*H53</f>
        <v>0</v>
      </c>
      <c r="J53">
        <f>1.51*I53/1000</f>
        <v>0</v>
      </c>
    </row>
    <row r="54" spans="1:13" x14ac:dyDescent="0.25">
      <c r="A54" s="3" t="s">
        <v>58</v>
      </c>
      <c r="C54">
        <v>1</v>
      </c>
      <c r="D54">
        <f>IF(B54=0,0,(B54-$J$7)/$I$7)*C54</f>
        <v>0</v>
      </c>
      <c r="E54">
        <f>1.82*D54/1000</f>
        <v>0</v>
      </c>
      <c r="F54" s="3" t="s">
        <v>58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59</v>
      </c>
      <c r="C55">
        <v>1</v>
      </c>
      <c r="D55">
        <f>IF(B55=0,0,(B55-$J$8)/$I$8)*C55</f>
        <v>0</v>
      </c>
      <c r="E55">
        <f>1.82*D55/1000</f>
        <v>0</v>
      </c>
      <c r="F55" s="3" t="s">
        <v>59</v>
      </c>
      <c r="H55">
        <v>1</v>
      </c>
      <c r="I55">
        <f>IF(G55=0,0,(G55-$J$8)/$I$8)*H55</f>
        <v>0</v>
      </c>
      <c r="J55">
        <f>1.82*I55/1000</f>
        <v>0</v>
      </c>
    </row>
    <row r="56" spans="1:13" x14ac:dyDescent="0.25">
      <c r="A56" s="3" t="s">
        <v>60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C58">
        <v>1</v>
      </c>
      <c r="D58">
        <f>IF(B58=0,0,(B58-$J$11)/$I$11)*1</f>
        <v>0</v>
      </c>
      <c r="E58">
        <f>2.21*D58/1000</f>
        <v>0</v>
      </c>
      <c r="F58" s="3" t="s">
        <v>62</v>
      </c>
      <c r="H58">
        <v>1</v>
      </c>
      <c r="I58">
        <f>IF(G58=0,0,(G58-$J$11)/$I$11)*1</f>
        <v>0</v>
      </c>
      <c r="J58">
        <f>2.21*I58/1000</f>
        <v>0</v>
      </c>
    </row>
    <row r="59" spans="1:13" x14ac:dyDescent="0.25">
      <c r="A59" s="3" t="s">
        <v>63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0</v>
      </c>
      <c r="E60" s="3">
        <f>SUM(E52:E59)</f>
        <v>0</v>
      </c>
      <c r="G60" s="3" t="s">
        <v>69</v>
      </c>
      <c r="H60" s="3"/>
      <c r="I60" s="3">
        <f>SUM(I52:I59)</f>
        <v>0</v>
      </c>
      <c r="J60" s="3">
        <f>SUM(J52:J59)</f>
        <v>0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60"/>
  <sheetViews>
    <sheetView workbookViewId="0">
      <selection activeCell="V33" sqref="V33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5.7249999999999996</v>
      </c>
      <c r="C5" s="15">
        <v>1683</v>
      </c>
      <c r="D5" s="15">
        <v>9564</v>
      </c>
      <c r="E5" s="15">
        <v>21449</v>
      </c>
      <c r="F5" s="16">
        <v>53</v>
      </c>
      <c r="G5" s="16">
        <v>263</v>
      </c>
      <c r="H5" s="16">
        <v>525</v>
      </c>
      <c r="I5">
        <f>LINEST(C5:E5, F5:H5)</f>
        <v>42.018645239741545</v>
      </c>
      <c r="J5">
        <f>INTERCEPT(C5:E5, F5:H5)</f>
        <v>-880.56021554087965</v>
      </c>
      <c r="K5">
        <f>RSQ(C5:E5,F5:H5)</f>
        <v>0.99720375963573604</v>
      </c>
    </row>
    <row r="6" spans="1:20" ht="15.75" x14ac:dyDescent="0.25">
      <c r="A6" s="3" t="s">
        <v>57</v>
      </c>
      <c r="B6" s="15">
        <v>6.6840000000000002</v>
      </c>
      <c r="C6" s="15">
        <v>2604</v>
      </c>
      <c r="D6" s="15">
        <v>14604</v>
      </c>
      <c r="E6" s="15">
        <v>32298</v>
      </c>
      <c r="F6" s="16">
        <v>49</v>
      </c>
      <c r="G6" s="16">
        <v>247</v>
      </c>
      <c r="H6" s="16">
        <v>495</v>
      </c>
      <c r="I6">
        <f t="shared" ref="I6:I12" si="0">LINEST(C6:E6, F6:H6)</f>
        <v>66.775812351480525</v>
      </c>
      <c r="J6">
        <f>INTERCEPT(C6:E6, F6:H6)</f>
        <v>-1104.5558566736981</v>
      </c>
      <c r="K6">
        <f t="shared" ref="K6:K12" si="1">RSQ(C6:E6,F6:H6)</f>
        <v>0.99791970315344503</v>
      </c>
    </row>
    <row r="7" spans="1:20" ht="15.75" x14ac:dyDescent="0.25">
      <c r="A7" s="3" t="s">
        <v>58</v>
      </c>
      <c r="B7" s="15">
        <v>7.0270000000000001</v>
      </c>
      <c r="C7" s="15">
        <v>2898</v>
      </c>
      <c r="D7" s="15">
        <v>16623</v>
      </c>
      <c r="E7" s="15">
        <v>37273</v>
      </c>
      <c r="F7" s="16">
        <v>47</v>
      </c>
      <c r="G7" s="16">
        <v>235</v>
      </c>
      <c r="H7" s="16">
        <v>469</v>
      </c>
      <c r="I7">
        <f t="shared" si="0"/>
        <v>81.729894400859138</v>
      </c>
      <c r="J7">
        <f t="shared" ref="J7:J12" si="2">INTERCEPT(C7:E7, F7:H7)</f>
        <v>-1528.383565015065</v>
      </c>
      <c r="K7">
        <f t="shared" si="1"/>
        <v>0.99720012714565986</v>
      </c>
    </row>
    <row r="8" spans="1:20" ht="15.75" x14ac:dyDescent="0.25">
      <c r="A8" s="3" t="s">
        <v>59</v>
      </c>
      <c r="B8" s="15">
        <v>7.7510000000000003</v>
      </c>
      <c r="C8" s="15">
        <v>3008</v>
      </c>
      <c r="D8" s="15">
        <v>17683</v>
      </c>
      <c r="E8" s="15">
        <v>40230</v>
      </c>
      <c r="F8" s="16">
        <v>45</v>
      </c>
      <c r="G8" s="16">
        <v>227</v>
      </c>
      <c r="H8" s="16">
        <v>453</v>
      </c>
      <c r="I8">
        <f t="shared" si="0"/>
        <v>91.56898477643378</v>
      </c>
      <c r="J8">
        <f t="shared" si="2"/>
        <v>-1822.1713209715017</v>
      </c>
      <c r="K8">
        <f>RSQ(C8:E8,F8:H8)</f>
        <v>0.99648548515999769</v>
      </c>
    </row>
    <row r="9" spans="1:20" ht="15.75" x14ac:dyDescent="0.25">
      <c r="A9" s="3" t="s">
        <v>60</v>
      </c>
      <c r="B9" s="15">
        <v>8.2159999999999993</v>
      </c>
      <c r="C9" s="15">
        <v>3300</v>
      </c>
      <c r="D9" s="15">
        <v>19015</v>
      </c>
      <c r="E9" s="15">
        <v>43579</v>
      </c>
      <c r="F9" s="16">
        <v>46</v>
      </c>
      <c r="G9" s="16">
        <v>228</v>
      </c>
      <c r="H9" s="16">
        <v>455</v>
      </c>
      <c r="I9">
        <f t="shared" si="0"/>
        <v>98.876169949272409</v>
      </c>
      <c r="J9">
        <f t="shared" si="2"/>
        <v>-2062.2426310065312</v>
      </c>
      <c r="K9">
        <f t="shared" si="1"/>
        <v>0.99607029656576729</v>
      </c>
    </row>
    <row r="10" spans="1:20" ht="15.75" x14ac:dyDescent="0.25">
      <c r="A10" s="3" t="s">
        <v>61</v>
      </c>
      <c r="B10" s="15">
        <v>8.9890000000000008</v>
      </c>
      <c r="C10" s="15">
        <v>3349</v>
      </c>
      <c r="D10" s="15">
        <v>19712</v>
      </c>
      <c r="E10" s="15">
        <v>45101</v>
      </c>
      <c r="F10" s="16">
        <v>44</v>
      </c>
      <c r="G10" s="16">
        <v>221</v>
      </c>
      <c r="H10" s="16">
        <v>443</v>
      </c>
      <c r="I10">
        <f t="shared" si="0"/>
        <v>105.04664865270583</v>
      </c>
      <c r="J10">
        <f t="shared" si="2"/>
        <v>-2070.3424153719097</v>
      </c>
      <c r="K10">
        <f t="shared" si="1"/>
        <v>0.9965056759523182</v>
      </c>
    </row>
    <row r="11" spans="1:20" ht="15.75" x14ac:dyDescent="0.25">
      <c r="A11" s="3" t="s">
        <v>62</v>
      </c>
      <c r="B11" s="15">
        <v>10.157999999999999</v>
      </c>
      <c r="C11" s="15">
        <v>3588</v>
      </c>
      <c r="D11" s="15">
        <v>20751</v>
      </c>
      <c r="E11" s="15">
        <v>47686</v>
      </c>
      <c r="F11" s="16">
        <v>44</v>
      </c>
      <c r="G11" s="16">
        <v>222</v>
      </c>
      <c r="H11" s="16">
        <v>444</v>
      </c>
      <c r="I11">
        <f t="shared" si="0"/>
        <v>110.69429965804589</v>
      </c>
      <c r="J11">
        <f t="shared" si="2"/>
        <v>-2189.3175857375245</v>
      </c>
      <c r="K11">
        <f t="shared" si="1"/>
        <v>0.99593194132858032</v>
      </c>
    </row>
    <row r="12" spans="1:20" ht="15.75" x14ac:dyDescent="0.25">
      <c r="A12" s="3" t="s">
        <v>63</v>
      </c>
      <c r="B12" s="15">
        <v>11.273</v>
      </c>
      <c r="C12" s="15">
        <v>4007</v>
      </c>
      <c r="D12" s="15">
        <v>23232</v>
      </c>
      <c r="E12" s="15">
        <v>53448</v>
      </c>
      <c r="F12" s="16">
        <v>47</v>
      </c>
      <c r="G12" s="16">
        <v>234</v>
      </c>
      <c r="H12" s="16">
        <v>467</v>
      </c>
      <c r="I12">
        <f t="shared" si="0"/>
        <v>118.19942557724595</v>
      </c>
      <c r="J12">
        <f t="shared" si="2"/>
        <v>-2575.3901105933182</v>
      </c>
      <c r="K12">
        <f t="shared" si="1"/>
        <v>0.99584543103575229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6977</v>
      </c>
      <c r="C16">
        <v>10</v>
      </c>
      <c r="D16">
        <f>IF(B16=0,0,(B16-$J$5)/$I$5)*C16</f>
        <v>1870.0175054928095</v>
      </c>
      <c r="E16">
        <f>1.07*D16/1000</f>
        <v>2.0009187308773062</v>
      </c>
      <c r="F16" s="3" t="s">
        <v>56</v>
      </c>
      <c r="G16">
        <v>7110</v>
      </c>
      <c r="H16">
        <v>10</v>
      </c>
      <c r="I16">
        <f>IF(G16=0,0,(G16-$J$5)/$I$5)*H16</f>
        <v>1901.6701204786464</v>
      </c>
      <c r="J16">
        <f>1.07*I16/1000</f>
        <v>2.0347870289121519</v>
      </c>
      <c r="K16" s="3" t="s">
        <v>56</v>
      </c>
      <c r="L16">
        <v>5348</v>
      </c>
      <c r="M16">
        <v>10</v>
      </c>
      <c r="N16">
        <f>IF(L16=0,0,(L16-$J$5)/$I$5)*M16</f>
        <v>1482.3324693128995</v>
      </c>
      <c r="O16">
        <f>1.07*N16/1000</f>
        <v>1.5860957421648028</v>
      </c>
      <c r="P16" s="3" t="s">
        <v>56</v>
      </c>
      <c r="Q16">
        <v>7128</v>
      </c>
      <c r="R16">
        <v>10</v>
      </c>
      <c r="S16">
        <f>IF(Q16=0,0,(Q16-$J$5)/$I$5)*R16</f>
        <v>1905.9539330331202</v>
      </c>
      <c r="T16">
        <f>1.07*S16/1000</f>
        <v>2.0393707083454387</v>
      </c>
    </row>
    <row r="17" spans="1:20" x14ac:dyDescent="0.25">
      <c r="A17" s="3" t="s">
        <v>57</v>
      </c>
      <c r="B17">
        <v>406</v>
      </c>
      <c r="C17">
        <v>10</v>
      </c>
      <c r="D17">
        <f>IF(B17=0,0,(B17-$J$6)/$I$6)*C17</f>
        <v>226.21302586672414</v>
      </c>
      <c r="E17">
        <f>1.51*D17/1000</f>
        <v>0.34158166905875342</v>
      </c>
      <c r="F17" s="3" t="s">
        <v>57</v>
      </c>
      <c r="G17">
        <v>331</v>
      </c>
      <c r="H17">
        <v>10</v>
      </c>
      <c r="I17">
        <f>IF(G17=0,0,(G17-$J$6)/$I$6)*H17</f>
        <v>214.98141409609818</v>
      </c>
      <c r="J17">
        <f>1.51*I17/1000</f>
        <v>0.32462193528510824</v>
      </c>
      <c r="K17" s="3" t="s">
        <v>57</v>
      </c>
      <c r="L17">
        <v>350</v>
      </c>
      <c r="M17">
        <v>10</v>
      </c>
      <c r="N17">
        <f>IF(L17=0,0,(L17-$J$6)/$I$6)*M17</f>
        <v>217.82675574465674</v>
      </c>
      <c r="O17">
        <f>1.51*N17/1000</f>
        <v>0.32891840117443166</v>
      </c>
      <c r="P17" s="3" t="s">
        <v>57</v>
      </c>
      <c r="Q17">
        <v>332</v>
      </c>
      <c r="R17">
        <v>10</v>
      </c>
      <c r="S17">
        <f>IF(Q17=0,0,(Q17-$J$6)/$I$6)*R17</f>
        <v>215.13116891970651</v>
      </c>
      <c r="T17">
        <f>1.51*S17/1000</f>
        <v>0.32484806506875685</v>
      </c>
    </row>
    <row r="18" spans="1:20" x14ac:dyDescent="0.25">
      <c r="A18" s="3" t="s">
        <v>58</v>
      </c>
      <c r="B18">
        <v>0</v>
      </c>
      <c r="C18">
        <v>10</v>
      </c>
      <c r="D18">
        <f>IF(B18=0,0,(B18-$J$7)/$I$7)*C18</f>
        <v>0</v>
      </c>
      <c r="E18">
        <f>1.82*D18/1000</f>
        <v>0</v>
      </c>
      <c r="F18" s="3" t="s">
        <v>58</v>
      </c>
      <c r="G18">
        <v>0</v>
      </c>
      <c r="H18">
        <v>10</v>
      </c>
      <c r="I18">
        <f>IF(G18=0,0,(G18-$J$7)/$I$7)*H18</f>
        <v>0</v>
      </c>
      <c r="J18">
        <f>1.82*I18/1000</f>
        <v>0</v>
      </c>
      <c r="K18" s="3" t="s">
        <v>58</v>
      </c>
      <c r="L18">
        <v>0</v>
      </c>
      <c r="M18">
        <v>10</v>
      </c>
      <c r="N18">
        <f>IF(L18=0,0,(L18-$J$7)/$I$7)*M18</f>
        <v>0</v>
      </c>
      <c r="O18">
        <f>1.82*N18/1000</f>
        <v>0</v>
      </c>
      <c r="P18" s="3" t="s">
        <v>58</v>
      </c>
      <c r="Q18">
        <v>0</v>
      </c>
      <c r="R18">
        <v>10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59</v>
      </c>
      <c r="B19">
        <v>110</v>
      </c>
      <c r="C19">
        <v>10</v>
      </c>
      <c r="D19">
        <f>IF(B19=0,0,(B19-$J$8)/$I$8)*C19</f>
        <v>211.00717952578697</v>
      </c>
      <c r="E19">
        <f>1.82*D19/1000</f>
        <v>0.38403306673693233</v>
      </c>
      <c r="F19" s="3" t="s">
        <v>59</v>
      </c>
      <c r="G19">
        <v>106</v>
      </c>
      <c r="H19">
        <v>10</v>
      </c>
      <c r="I19">
        <f>IF(G19=0,0,(G19-$J$8)/$I$8)*H19</f>
        <v>210.57035039529413</v>
      </c>
      <c r="J19">
        <f>1.82*I19/1000</f>
        <v>0.38323803771943532</v>
      </c>
      <c r="K19" s="3" t="s">
        <v>59</v>
      </c>
      <c r="L19">
        <v>86</v>
      </c>
      <c r="M19">
        <v>10</v>
      </c>
      <c r="N19">
        <f>IF(L19=0,0,(L19-$J$8)/$I$8)*M19</f>
        <v>208.38620474283005</v>
      </c>
      <c r="O19">
        <f>1.82*N19/1000</f>
        <v>0.37926289263195073</v>
      </c>
      <c r="P19" s="3" t="s">
        <v>59</v>
      </c>
      <c r="Q19">
        <v>122</v>
      </c>
      <c r="R19">
        <v>10</v>
      </c>
      <c r="S19">
        <f>IF(Q19=0,0,(Q19-$J$8)/$I$8)*R19</f>
        <v>212.31766691726546</v>
      </c>
      <c r="T19">
        <f>1.82*S19/1000</f>
        <v>0.38641815378942312</v>
      </c>
    </row>
    <row r="20" spans="1:20" x14ac:dyDescent="0.25">
      <c r="A20" s="3" t="s">
        <v>60</v>
      </c>
      <c r="B20">
        <v>0</v>
      </c>
      <c r="C20">
        <v>10</v>
      </c>
      <c r="D20">
        <f>IF(B20=0,0,(B20-$J$9)/$I$9)*C20</f>
        <v>0</v>
      </c>
      <c r="E20">
        <f>2.04*D20/1000</f>
        <v>0</v>
      </c>
      <c r="F20" s="3" t="s">
        <v>60</v>
      </c>
      <c r="G20">
        <v>0</v>
      </c>
      <c r="H20">
        <v>10</v>
      </c>
      <c r="I20">
        <f>IF(G20=0,0,(G20-$J$9)/$I$9)*H20</f>
        <v>0</v>
      </c>
      <c r="J20">
        <f>2.04*I20/1000</f>
        <v>0</v>
      </c>
      <c r="K20" s="3" t="s">
        <v>60</v>
      </c>
      <c r="L20">
        <v>0</v>
      </c>
      <c r="M20">
        <v>10</v>
      </c>
      <c r="N20">
        <f>IF(L20=0,0,(L20-$J$9)/$I$9)*M20</f>
        <v>0</v>
      </c>
      <c r="O20">
        <f>2.04*N20/1000</f>
        <v>0</v>
      </c>
      <c r="P20" s="3" t="s">
        <v>60</v>
      </c>
      <c r="Q20">
        <v>0</v>
      </c>
      <c r="R20">
        <v>10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61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 s="3" t="s">
        <v>61</v>
      </c>
      <c r="G21">
        <v>0</v>
      </c>
      <c r="H21">
        <v>10</v>
      </c>
      <c r="I21">
        <f>IF(G21=0,0,(G21-$J$10)/$I$10)*H21</f>
        <v>0</v>
      </c>
      <c r="J21">
        <f>2.04*I21/1000</f>
        <v>0</v>
      </c>
      <c r="K21" s="3" t="s">
        <v>61</v>
      </c>
      <c r="L21">
        <v>0</v>
      </c>
      <c r="M21">
        <v>10</v>
      </c>
      <c r="N21">
        <f>IF(L21=0,0,(L21-$J$10)/$I$10)*M21</f>
        <v>0</v>
      </c>
      <c r="O21">
        <f>2.04*N21/1000</f>
        <v>0</v>
      </c>
      <c r="P21" s="3" t="s">
        <v>61</v>
      </c>
      <c r="Q21">
        <v>0</v>
      </c>
      <c r="R21">
        <v>10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62</v>
      </c>
      <c r="B22">
        <v>0</v>
      </c>
      <c r="C22">
        <v>10</v>
      </c>
      <c r="D22">
        <f>IF(B22=0,0,(B22-$J$11)/$I$11)*1</f>
        <v>0</v>
      </c>
      <c r="E22">
        <f>2.21*D22/1000</f>
        <v>0</v>
      </c>
      <c r="F22" s="3" t="s">
        <v>62</v>
      </c>
      <c r="G22">
        <v>0</v>
      </c>
      <c r="H22">
        <v>10</v>
      </c>
      <c r="I22">
        <f>IF(G22=0,0,(G22-$J$11)/$I$11)*1</f>
        <v>0</v>
      </c>
      <c r="J22">
        <f>2.21*I22/1000</f>
        <v>0</v>
      </c>
      <c r="K22" s="3" t="s">
        <v>62</v>
      </c>
      <c r="L22">
        <v>0</v>
      </c>
      <c r="M22">
        <v>10</v>
      </c>
      <c r="N22">
        <f>IF(L22=0,0,(L22-$J$11)/$I$11)*1</f>
        <v>0</v>
      </c>
      <c r="O22">
        <f>2.21*N22/1000</f>
        <v>0</v>
      </c>
      <c r="P22" s="3" t="s">
        <v>62</v>
      </c>
      <c r="Q22">
        <v>0</v>
      </c>
      <c r="R22">
        <v>10</v>
      </c>
      <c r="S22">
        <f>IF(Q22=0,0,(Q22-$J$11)/$I$11)*1</f>
        <v>0</v>
      </c>
      <c r="T22">
        <f>2.21*S22/1000</f>
        <v>0</v>
      </c>
    </row>
    <row r="23" spans="1:20" x14ac:dyDescent="0.25">
      <c r="A23" s="3" t="s">
        <v>63</v>
      </c>
      <c r="B23">
        <v>0</v>
      </c>
      <c r="C23">
        <v>10</v>
      </c>
      <c r="D23">
        <f>IF(B23=0,0,(B23-$J$12)/$I$12)*1</f>
        <v>0</v>
      </c>
      <c r="E23">
        <f>2.34*D23/1000</f>
        <v>0</v>
      </c>
      <c r="F23" s="3" t="s">
        <v>63</v>
      </c>
      <c r="G23">
        <v>0</v>
      </c>
      <c r="H23">
        <v>10</v>
      </c>
      <c r="I23">
        <f>IF(G23=0,0,(G23-$J$12)/$I$12)*1</f>
        <v>0</v>
      </c>
      <c r="J23">
        <f>2.34*I23/1000</f>
        <v>0</v>
      </c>
      <c r="K23" s="3" t="s">
        <v>63</v>
      </c>
      <c r="L23">
        <v>0</v>
      </c>
      <c r="M23">
        <v>10</v>
      </c>
      <c r="N23">
        <f>IF(L23=0,0,(L23-$J$12)/$I$12)*1</f>
        <v>0</v>
      </c>
      <c r="O23">
        <f>2.34*N23/1000</f>
        <v>0</v>
      </c>
      <c r="P23" s="3" t="s">
        <v>63</v>
      </c>
      <c r="Q23">
        <v>0</v>
      </c>
      <c r="R23">
        <v>10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69</v>
      </c>
      <c r="C24" s="3"/>
      <c r="D24" s="3">
        <f>SUM(D16:D23)</f>
        <v>2307.2377108853202</v>
      </c>
      <c r="E24" s="3">
        <f>SUM(E16:E23)</f>
        <v>2.7265334666729921</v>
      </c>
      <c r="G24" s="3" t="s">
        <v>69</v>
      </c>
      <c r="H24" s="3"/>
      <c r="I24" s="3">
        <f>SUM(I16:I23)</f>
        <v>2327.2218849700384</v>
      </c>
      <c r="J24" s="3">
        <f>SUM(J16:J23)</f>
        <v>2.7426470019166951</v>
      </c>
      <c r="L24" s="3" t="s">
        <v>69</v>
      </c>
      <c r="M24" s="3"/>
      <c r="N24" s="3">
        <f>SUM(N16:N23)</f>
        <v>1908.5454298003865</v>
      </c>
      <c r="O24" s="3">
        <f>SUM(O16:O23)</f>
        <v>2.2942770359711853</v>
      </c>
      <c r="Q24" s="3" t="s">
        <v>69</v>
      </c>
      <c r="R24" s="3"/>
      <c r="S24" s="3">
        <f>SUM(S16:S23)</f>
        <v>2333.4027688700921</v>
      </c>
      <c r="T24" s="3">
        <f>SUM(T16:T23)</f>
        <v>2.7506369272036189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6324</v>
      </c>
      <c r="C28">
        <v>10</v>
      </c>
      <c r="D28">
        <f>IF(B28=0,0,(B28-$J$5)/$I$5)*C28</f>
        <v>1714.610305599942</v>
      </c>
      <c r="E28">
        <f>1.07*D28/1000</f>
        <v>1.8346330269919382</v>
      </c>
      <c r="F28" s="3" t="s">
        <v>56</v>
      </c>
      <c r="G28">
        <v>10209</v>
      </c>
      <c r="H28">
        <v>10</v>
      </c>
      <c r="I28">
        <f>IF(G28=0,0,(G28-$J$5)/$I$5)*H28</f>
        <v>2639.1998486072775</v>
      </c>
      <c r="J28">
        <f>1.07*I28/1000</f>
        <v>2.8239438380097872</v>
      </c>
      <c r="K28" s="3" t="s">
        <v>56</v>
      </c>
      <c r="L28">
        <v>6131</v>
      </c>
      <c r="M28">
        <v>10</v>
      </c>
      <c r="N28">
        <f>IF(L28=0,0,(L28-$J$5)/$I$5)*M28</f>
        <v>1668.6783154325246</v>
      </c>
      <c r="O28">
        <f>1.07*N28/1000</f>
        <v>1.7854857975128016</v>
      </c>
      <c r="P28" s="3" t="s">
        <v>56</v>
      </c>
      <c r="Q28">
        <v>8668</v>
      </c>
      <c r="R28">
        <v>10</v>
      </c>
      <c r="S28">
        <f>IF(Q28=0,0,(Q28-$J$5)/$I$5)*R28</f>
        <v>2272.4578960270192</v>
      </c>
      <c r="T28">
        <f>1.07*S28/1000</f>
        <v>2.4315299487489104</v>
      </c>
    </row>
    <row r="29" spans="1:20" x14ac:dyDescent="0.25">
      <c r="A29" s="3" t="s">
        <v>57</v>
      </c>
      <c r="B29">
        <v>8986</v>
      </c>
      <c r="C29">
        <v>10</v>
      </c>
      <c r="D29">
        <f>IF(B29=0,0,(B29-$J$6)/$I$6)*C29</f>
        <v>1511.1094124263357</v>
      </c>
      <c r="E29">
        <f>1.51*D29/1000</f>
        <v>2.2817752127637667</v>
      </c>
      <c r="F29" s="3" t="s">
        <v>57</v>
      </c>
      <c r="G29">
        <v>753</v>
      </c>
      <c r="H29">
        <v>10</v>
      </c>
      <c r="I29">
        <f>IF(G29=0,0,(G29-$J$6)/$I$6)*H29</f>
        <v>278.17794965882035</v>
      </c>
      <c r="J29">
        <f>1.51*I29/1000</f>
        <v>0.42004870398481875</v>
      </c>
      <c r="K29" s="3" t="s">
        <v>57</v>
      </c>
      <c r="L29">
        <v>452</v>
      </c>
      <c r="M29">
        <v>10</v>
      </c>
      <c r="N29">
        <f>IF(L29=0,0,(L29-$J$6)/$I$6)*M29</f>
        <v>233.10174775270806</v>
      </c>
      <c r="O29">
        <f>1.51*N29/1000</f>
        <v>0.3519836391065892</v>
      </c>
      <c r="P29" s="3" t="s">
        <v>57</v>
      </c>
      <c r="Q29">
        <v>462</v>
      </c>
      <c r="R29">
        <v>10</v>
      </c>
      <c r="S29">
        <f>IF(Q29=0,0,(Q29-$J$6)/$I$6)*R29</f>
        <v>234.59929598879154</v>
      </c>
      <c r="T29">
        <f>1.51*S29/1000</f>
        <v>0.35424493694307524</v>
      </c>
    </row>
    <row r="30" spans="1:20" x14ac:dyDescent="0.25">
      <c r="A30" s="3" t="s">
        <v>58</v>
      </c>
      <c r="B30">
        <v>0</v>
      </c>
      <c r="C30">
        <v>10</v>
      </c>
      <c r="D30">
        <f>IF(B30=0,0,(B30-$J$7)/$I$7)*C30</f>
        <v>0</v>
      </c>
      <c r="E30">
        <f>1.82*D30/1000</f>
        <v>0</v>
      </c>
      <c r="F30" s="3" t="s">
        <v>58</v>
      </c>
      <c r="G30">
        <v>0</v>
      </c>
      <c r="H30">
        <v>10</v>
      </c>
      <c r="I30">
        <f>IF(G30=0,0,(G30-$J$7)/$I$7)*H30</f>
        <v>0</v>
      </c>
      <c r="J30">
        <f>1.82*I30/1000</f>
        <v>0</v>
      </c>
      <c r="K30" s="3" t="s">
        <v>58</v>
      </c>
      <c r="L30">
        <v>0</v>
      </c>
      <c r="M30">
        <v>10</v>
      </c>
      <c r="N30">
        <f>IF(L30=0,0,(L30-$J$7)/$I$7)*M30</f>
        <v>0</v>
      </c>
      <c r="O30">
        <f>1.82*N30/1000</f>
        <v>0</v>
      </c>
      <c r="P30" s="3" t="s">
        <v>58</v>
      </c>
      <c r="Q30">
        <v>0</v>
      </c>
      <c r="R30">
        <v>10</v>
      </c>
      <c r="S30">
        <f>IF(Q30=0,0,(Q30-$J$7)/$I$7)*R30</f>
        <v>0</v>
      </c>
      <c r="T30">
        <f>1.82*S30/1000</f>
        <v>0</v>
      </c>
    </row>
    <row r="31" spans="1:20" x14ac:dyDescent="0.25">
      <c r="A31" s="3" t="s">
        <v>59</v>
      </c>
      <c r="B31">
        <v>23336</v>
      </c>
      <c r="C31">
        <v>10</v>
      </c>
      <c r="D31">
        <f>IF(B31=0,0,(B31-$J$8)/$I$8)*C31</f>
        <v>2747.4555257323568</v>
      </c>
      <c r="E31">
        <f>1.82*D31/1000</f>
        <v>5.0003690568328896</v>
      </c>
      <c r="F31" s="3" t="s">
        <v>59</v>
      </c>
      <c r="G31">
        <v>326</v>
      </c>
      <c r="H31">
        <v>10</v>
      </c>
      <c r="I31">
        <f>IF(G31=0,0,(G31-$J$8)/$I$8)*H31</f>
        <v>234.59595257239937</v>
      </c>
      <c r="J31">
        <f>1.82*I31/1000</f>
        <v>0.4269646336817669</v>
      </c>
      <c r="K31" s="3" t="s">
        <v>59</v>
      </c>
      <c r="L31">
        <v>2346</v>
      </c>
      <c r="M31">
        <v>10</v>
      </c>
      <c r="N31">
        <f>IF(L31=0,0,(L31-$J$8)/$I$8)*M31</f>
        <v>455.19466347127434</v>
      </c>
      <c r="O31">
        <f>1.82*N31/1000</f>
        <v>0.82845428751771932</v>
      </c>
      <c r="P31" s="3" t="s">
        <v>59</v>
      </c>
      <c r="Q31">
        <v>135</v>
      </c>
      <c r="R31">
        <v>10</v>
      </c>
      <c r="S31">
        <f>IF(Q31=0,0,(Q31-$J$8)/$I$8)*R31</f>
        <v>213.73736159136712</v>
      </c>
      <c r="T31">
        <f>1.82*S31/1000</f>
        <v>0.38900199809628816</v>
      </c>
    </row>
    <row r="32" spans="1:20" x14ac:dyDescent="0.25">
      <c r="A32" s="3" t="s">
        <v>60</v>
      </c>
      <c r="B32">
        <v>0</v>
      </c>
      <c r="C32">
        <v>10</v>
      </c>
      <c r="D32">
        <f>IF(B32=0,0,(B32-$J$9)/$I$9)*C32</f>
        <v>0</v>
      </c>
      <c r="E32">
        <f>2.04*D32/1000</f>
        <v>0</v>
      </c>
      <c r="F32" s="3" t="s">
        <v>60</v>
      </c>
      <c r="G32">
        <v>0</v>
      </c>
      <c r="H32">
        <v>10</v>
      </c>
      <c r="I32">
        <f>IF(G32=0,0,(G32-$J$9)/$I$9)*H32</f>
        <v>0</v>
      </c>
      <c r="J32">
        <f>2.04*I32/1000</f>
        <v>0</v>
      </c>
      <c r="K32" s="3" t="s">
        <v>60</v>
      </c>
      <c r="L32">
        <v>0</v>
      </c>
      <c r="M32">
        <v>10</v>
      </c>
      <c r="N32">
        <f>IF(L32=0,0,(L32-$J$9)/$I$9)*M32</f>
        <v>0</v>
      </c>
      <c r="O32">
        <f>2.04*N32/1000</f>
        <v>0</v>
      </c>
      <c r="P32" s="3" t="s">
        <v>60</v>
      </c>
      <c r="Q32">
        <v>0</v>
      </c>
      <c r="R32">
        <v>10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61</v>
      </c>
      <c r="B33">
        <v>74</v>
      </c>
      <c r="C33">
        <v>10</v>
      </c>
      <c r="D33">
        <f>IF(B33=0,0,(B33-$J$10)/$I$10)*C33</f>
        <v>204.13239668990383</v>
      </c>
      <c r="E33">
        <f>2.04*D33/1000</f>
        <v>0.41643008924740382</v>
      </c>
      <c r="F33" s="3" t="s">
        <v>61</v>
      </c>
      <c r="G33">
        <v>0</v>
      </c>
      <c r="H33">
        <v>10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10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10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0</v>
      </c>
      <c r="C34">
        <v>10</v>
      </c>
      <c r="D34">
        <f>IF(B34=0,0,(B34-$J$11)/$I$11)*1</f>
        <v>0</v>
      </c>
      <c r="E34">
        <f>2.21*D34/1000</f>
        <v>0</v>
      </c>
      <c r="F34" s="3" t="s">
        <v>62</v>
      </c>
      <c r="G34">
        <v>0</v>
      </c>
      <c r="H34">
        <v>10</v>
      </c>
      <c r="I34">
        <f>IF(G34=0,0,(G34-$J$11)/$I$11)*1</f>
        <v>0</v>
      </c>
      <c r="J34">
        <f>2.21*I34/1000</f>
        <v>0</v>
      </c>
      <c r="K34" s="3" t="s">
        <v>62</v>
      </c>
      <c r="L34">
        <v>0</v>
      </c>
      <c r="M34">
        <v>10</v>
      </c>
      <c r="N34">
        <f>IF(L34=0,0,(L34-$J$11)/$I$11)*1</f>
        <v>0</v>
      </c>
      <c r="O34">
        <f>2.21*N34/1000</f>
        <v>0</v>
      </c>
      <c r="P34" s="3" t="s">
        <v>62</v>
      </c>
      <c r="Q34">
        <v>0</v>
      </c>
      <c r="R34">
        <v>10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63</v>
      </c>
      <c r="B35">
        <v>0</v>
      </c>
      <c r="C35">
        <v>10</v>
      </c>
      <c r="D35">
        <f>IF(B35=0,0,(B35-$J$12)/$I$12)*1</f>
        <v>0</v>
      </c>
      <c r="E35">
        <f>2.34*D35/1000</f>
        <v>0</v>
      </c>
      <c r="F35" s="3" t="s">
        <v>63</v>
      </c>
      <c r="G35">
        <v>0</v>
      </c>
      <c r="H35">
        <v>10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10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10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6177.3076404485382</v>
      </c>
      <c r="E36" s="3">
        <f>SUM(E28:E35)</f>
        <v>9.5332073858359987</v>
      </c>
      <c r="G36" s="3" t="s">
        <v>69</v>
      </c>
      <c r="H36" s="3"/>
      <c r="I36" s="3">
        <f>SUM(I28:I35)</f>
        <v>3151.9737508384969</v>
      </c>
      <c r="J36" s="3">
        <f>SUM(J28:J35)</f>
        <v>3.670957175676373</v>
      </c>
      <c r="L36" s="3" t="s">
        <v>69</v>
      </c>
      <c r="M36" s="3"/>
      <c r="N36" s="3">
        <f>SUM(N28:N35)</f>
        <v>2356.9747266565068</v>
      </c>
      <c r="O36" s="3">
        <f>SUM(O28:O35)</f>
        <v>2.9659237241371099</v>
      </c>
      <c r="Q36" s="3" t="s">
        <v>69</v>
      </c>
      <c r="R36" s="3"/>
      <c r="S36" s="3">
        <f>SUM(S28:S35)</f>
        <v>2720.7945536071779</v>
      </c>
      <c r="T36" s="3">
        <f>SUM(T28:T35)</f>
        <v>3.1747768837882737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6811</v>
      </c>
      <c r="C40">
        <v>10</v>
      </c>
      <c r="D40">
        <f>IF(B40=0,0,(B40-$J$5)/$I$5)*C40</f>
        <v>1830.5112341571034</v>
      </c>
      <c r="E40">
        <f>1.07*D40/1000</f>
        <v>1.9586470205481008</v>
      </c>
      <c r="F40" s="3" t="s">
        <v>56</v>
      </c>
      <c r="G40">
        <v>7737</v>
      </c>
      <c r="H40">
        <v>10</v>
      </c>
      <c r="I40">
        <f>IF(G40=0,0,(G40-$J$5)/$I$5)*H40</f>
        <v>2050.889591126162</v>
      </c>
      <c r="J40">
        <f>1.07*I40/1000</f>
        <v>2.1944518625049936</v>
      </c>
      <c r="K40" s="3" t="s">
        <v>56</v>
      </c>
      <c r="L40">
        <v>6858</v>
      </c>
      <c r="M40">
        <v>10</v>
      </c>
      <c r="N40">
        <f>IF(L40=0,0,(L40-$J$5)/$I$5)*M40</f>
        <v>1841.6967447160082</v>
      </c>
      <c r="O40">
        <f>1.07*N40/1000</f>
        <v>1.970615516846129</v>
      </c>
      <c r="P40" s="3" t="s">
        <v>56</v>
      </c>
      <c r="Q40">
        <v>8930</v>
      </c>
      <c r="R40">
        <v>10</v>
      </c>
      <c r="S40">
        <f>IF(Q40=0,0,(Q40-$J$5)/$I$5)*R40</f>
        <v>2334.811167653254</v>
      </c>
      <c r="T40">
        <f>1.07*S40/1000</f>
        <v>2.4982479493889818</v>
      </c>
    </row>
    <row r="41" spans="1:20" x14ac:dyDescent="0.25">
      <c r="A41" s="3" t="s">
        <v>57</v>
      </c>
      <c r="B41">
        <v>3479</v>
      </c>
      <c r="C41">
        <v>10</v>
      </c>
      <c r="D41">
        <f>IF(B41=0,0,(B41-$J$6)/$I$6)*C41</f>
        <v>686.40959881517244</v>
      </c>
      <c r="E41">
        <f>1.51*D41/1000</f>
        <v>1.0364784942109104</v>
      </c>
      <c r="F41" s="3" t="s">
        <v>57</v>
      </c>
      <c r="G41">
        <v>442</v>
      </c>
      <c r="H41">
        <v>10</v>
      </c>
      <c r="I41">
        <f>IF(G41=0,0,(G41-$J$6)/$I$6)*H41</f>
        <v>231.60419951662462</v>
      </c>
      <c r="J41">
        <f>1.51*I41/1000</f>
        <v>0.34972234127010321</v>
      </c>
      <c r="K41" s="3" t="s">
        <v>57</v>
      </c>
      <c r="L41">
        <v>314</v>
      </c>
      <c r="M41">
        <v>10</v>
      </c>
      <c r="N41">
        <f>IF(L41=0,0,(L41-$J$6)/$I$6)*M41</f>
        <v>212.43558209475626</v>
      </c>
      <c r="O41">
        <f>1.51*N41/1000</f>
        <v>0.32077772896308193</v>
      </c>
      <c r="P41" s="3" t="s">
        <v>57</v>
      </c>
      <c r="Q41">
        <v>502</v>
      </c>
      <c r="R41">
        <v>10</v>
      </c>
      <c r="S41">
        <f>IF(Q41=0,0,(Q41-$J$6)/$I$6)*R41</f>
        <v>240.58948893312538</v>
      </c>
      <c r="T41">
        <f>1.51*S41/1000</f>
        <v>0.3632901282890193</v>
      </c>
    </row>
    <row r="42" spans="1:20" x14ac:dyDescent="0.25">
      <c r="A42" s="3" t="s">
        <v>58</v>
      </c>
      <c r="B42">
        <v>0</v>
      </c>
      <c r="C42">
        <v>10</v>
      </c>
      <c r="D42">
        <f>IF(B42=0,0,(B42-$J$7)/$I$7)*C42</f>
        <v>0</v>
      </c>
      <c r="E42">
        <f>1.82*D42/1000</f>
        <v>0</v>
      </c>
      <c r="F42" s="3" t="s">
        <v>58</v>
      </c>
      <c r="G42">
        <v>0</v>
      </c>
      <c r="H42">
        <v>10</v>
      </c>
      <c r="I42">
        <f>IF(G42=0,0,(G42-$J$7)/$I$7)*H42</f>
        <v>0</v>
      </c>
      <c r="J42">
        <f>1.82*I42/1000</f>
        <v>0</v>
      </c>
      <c r="K42" s="3" t="s">
        <v>58</v>
      </c>
      <c r="L42">
        <v>0</v>
      </c>
      <c r="M42">
        <v>10</v>
      </c>
      <c r="N42">
        <f>IF(L42=0,0,(L42-$J$7)/$I$7)*M42</f>
        <v>0</v>
      </c>
      <c r="O42">
        <f>1.82*N42/1000</f>
        <v>0</v>
      </c>
      <c r="P42" s="3" t="s">
        <v>58</v>
      </c>
      <c r="Q42">
        <v>0</v>
      </c>
      <c r="R42">
        <v>10</v>
      </c>
      <c r="S42">
        <f>IF(Q42=0,0,(Q42-$J$7)/$I$7)*R42</f>
        <v>0</v>
      </c>
      <c r="T42">
        <f>1.82*S42/1000</f>
        <v>0</v>
      </c>
    </row>
    <row r="43" spans="1:20" x14ac:dyDescent="0.25">
      <c r="A43" s="3" t="s">
        <v>59</v>
      </c>
      <c r="B43">
        <v>17472</v>
      </c>
      <c r="C43">
        <v>10</v>
      </c>
      <c r="D43">
        <f>IF(B43=0,0,(B43-$J$8)/$I$8)*C43</f>
        <v>2107.0640204298797</v>
      </c>
      <c r="E43">
        <f>1.82*D43/1000</f>
        <v>3.8348565171823812</v>
      </c>
      <c r="F43" s="3" t="s">
        <v>59</v>
      </c>
      <c r="G43">
        <v>336</v>
      </c>
      <c r="H43">
        <v>10</v>
      </c>
      <c r="I43">
        <f>IF(G43=0,0,(G43-$J$8)/$I$8)*H43</f>
        <v>235.6880253986314</v>
      </c>
      <c r="J43">
        <f>1.82*I43/1000</f>
        <v>0.42895220622550917</v>
      </c>
      <c r="K43" s="3" t="s">
        <v>59</v>
      </c>
      <c r="L43">
        <v>154</v>
      </c>
      <c r="M43">
        <v>10</v>
      </c>
      <c r="N43">
        <f>IF(L43=0,0,(L43-$J$8)/$I$8)*M43</f>
        <v>215.812299961208</v>
      </c>
      <c r="O43">
        <f>1.82*N43/1000</f>
        <v>0.39277838592939857</v>
      </c>
      <c r="P43" s="3" t="s">
        <v>59</v>
      </c>
      <c r="Q43">
        <v>168</v>
      </c>
      <c r="R43">
        <v>10</v>
      </c>
      <c r="S43">
        <f>IF(Q43=0,0,(Q43-$J$8)/$I$8)*R43</f>
        <v>217.34120191793289</v>
      </c>
      <c r="T43">
        <f>1.82*S43/1000</f>
        <v>0.39556098749063789</v>
      </c>
    </row>
    <row r="44" spans="1:20" x14ac:dyDescent="0.25">
      <c r="A44" s="3" t="s">
        <v>60</v>
      </c>
      <c r="B44">
        <v>0</v>
      </c>
      <c r="C44">
        <v>10</v>
      </c>
      <c r="D44">
        <f>IF(B44=0,0,(B44-$J$9)/$I$9)*C44</f>
        <v>0</v>
      </c>
      <c r="E44">
        <f>2.04*D44/1000</f>
        <v>0</v>
      </c>
      <c r="F44" s="3" t="s">
        <v>60</v>
      </c>
      <c r="G44">
        <v>0</v>
      </c>
      <c r="H44">
        <v>10</v>
      </c>
      <c r="I44">
        <f>IF(G44=0,0,(G44-$J$9)/$I$9)*H44</f>
        <v>0</v>
      </c>
      <c r="J44">
        <f>2.04*I44/1000</f>
        <v>0</v>
      </c>
      <c r="K44" s="3" t="s">
        <v>60</v>
      </c>
      <c r="L44">
        <v>0</v>
      </c>
      <c r="M44">
        <v>10</v>
      </c>
      <c r="N44">
        <f>IF(L44=0,0,(L44-$J$9)/$I$9)*M44</f>
        <v>0</v>
      </c>
      <c r="O44">
        <f>2.04*N44/1000</f>
        <v>0</v>
      </c>
      <c r="P44" s="3" t="s">
        <v>60</v>
      </c>
      <c r="Q44">
        <v>0</v>
      </c>
      <c r="R44">
        <v>10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61</v>
      </c>
      <c r="B45">
        <v>0</v>
      </c>
      <c r="C45">
        <v>10</v>
      </c>
      <c r="D45">
        <f>IF(B45=0,0,(B45-$J$10)/$I$10)*C45</f>
        <v>0</v>
      </c>
      <c r="E45">
        <f>2.04*D45/1000</f>
        <v>0</v>
      </c>
      <c r="F45" s="3" t="s">
        <v>61</v>
      </c>
      <c r="G45">
        <v>0</v>
      </c>
      <c r="H45">
        <v>10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10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10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0</v>
      </c>
      <c r="C46">
        <v>10</v>
      </c>
      <c r="D46">
        <f>IF(B46=0,0,(B46-$J$11)/$I$11)*1</f>
        <v>0</v>
      </c>
      <c r="E46">
        <f>2.21*D46/1000</f>
        <v>0</v>
      </c>
      <c r="F46" s="3" t="s">
        <v>62</v>
      </c>
      <c r="G46">
        <v>0</v>
      </c>
      <c r="H46">
        <v>10</v>
      </c>
      <c r="I46">
        <f>IF(G46=0,0,(G46-$J$11)/$I$11)*1</f>
        <v>0</v>
      </c>
      <c r="J46">
        <f>2.21*I46/1000</f>
        <v>0</v>
      </c>
      <c r="K46" s="3" t="s">
        <v>62</v>
      </c>
      <c r="L46">
        <v>0</v>
      </c>
      <c r="M46">
        <v>10</v>
      </c>
      <c r="N46">
        <f>IF(L46=0,0,(L46-$J$11)/$I$11)*1</f>
        <v>0</v>
      </c>
      <c r="O46">
        <f>2.21*N46/1000</f>
        <v>0</v>
      </c>
      <c r="P46" s="3" t="s">
        <v>62</v>
      </c>
      <c r="Q46">
        <v>0</v>
      </c>
      <c r="R46">
        <v>10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0</v>
      </c>
      <c r="C47">
        <v>10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10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10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10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4623.9848534021557</v>
      </c>
      <c r="E48" s="3">
        <f>SUM(E40:E47)</f>
        <v>6.8299820319413929</v>
      </c>
      <c r="F48" s="3"/>
      <c r="G48" s="3" t="s">
        <v>69</v>
      </c>
      <c r="H48" s="3"/>
      <c r="I48" s="3">
        <f>SUM(I40:I47)</f>
        <v>2518.1818160414182</v>
      </c>
      <c r="J48" s="3">
        <f>SUM(J40:J47)</f>
        <v>2.9731264100006061</v>
      </c>
      <c r="K48" s="3"/>
      <c r="L48" s="3" t="s">
        <v>69</v>
      </c>
      <c r="M48" s="3"/>
      <c r="N48" s="3">
        <f>SUM(N40:N47)</f>
        <v>2269.9446267719723</v>
      </c>
      <c r="O48" s="3">
        <f>SUM(O40:O47)</f>
        <v>2.6841716317386095</v>
      </c>
      <c r="P48" s="3"/>
      <c r="Q48" s="3" t="s">
        <v>69</v>
      </c>
      <c r="R48" s="3"/>
      <c r="S48" s="3">
        <f>SUM(S40:S47)</f>
        <v>2792.7418585043119</v>
      </c>
      <c r="T48" s="3">
        <f>SUM(T40:T47)</f>
        <v>3.2570990651686391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85513</v>
      </c>
      <c r="C52">
        <v>1</v>
      </c>
      <c r="D52">
        <f>IF(B52=0,0,(B52-$J$5)/$I$5)*C52</f>
        <v>2056.0767659836215</v>
      </c>
      <c r="E52">
        <f>1.07*D52/1000</f>
        <v>2.2000021396024749</v>
      </c>
      <c r="F52" s="3" t="s">
        <v>56</v>
      </c>
      <c r="G52">
        <v>66553</v>
      </c>
      <c r="H52">
        <v>1</v>
      </c>
      <c r="I52">
        <f>IF(G52=0,0,(G52-$J$5)/$I$5)*H52</f>
        <v>1604.8485102456784</v>
      </c>
      <c r="J52">
        <f>1.07*I52/1000</f>
        <v>1.7171879059628758</v>
      </c>
    </row>
    <row r="53" spans="1:13" x14ac:dyDescent="0.25">
      <c r="A53" s="3" t="s">
        <v>57</v>
      </c>
      <c r="B53">
        <v>3563</v>
      </c>
      <c r="C53">
        <v>1</v>
      </c>
      <c r="D53">
        <f>IF(B53=0,0,(B53-$J$6)/$I$6)*C53</f>
        <v>69.898900399827355</v>
      </c>
      <c r="E53">
        <f>1.51*D53/1000</f>
        <v>0.1055473396037393</v>
      </c>
      <c r="F53" s="3" t="s">
        <v>57</v>
      </c>
      <c r="G53">
        <v>3121</v>
      </c>
      <c r="H53">
        <v>1</v>
      </c>
      <c r="I53">
        <f>IF(G53=0,0,(G53-$J$6)/$I$6)*H53</f>
        <v>63.279737196338445</v>
      </c>
      <c r="J53">
        <f>1.51*I53/1000</f>
        <v>9.5552403166471053E-2</v>
      </c>
    </row>
    <row r="54" spans="1:13" x14ac:dyDescent="0.25">
      <c r="A54" s="3" t="s">
        <v>58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58</v>
      </c>
      <c r="G54">
        <v>117</v>
      </c>
      <c r="H54">
        <v>1</v>
      </c>
      <c r="I54">
        <f>IF(G54=0,0,(G54-$J$7)/$I$7)*H54</f>
        <v>20.131967342879239</v>
      </c>
      <c r="J54">
        <f>1.82*I54/1000</f>
        <v>3.6640180564040212E-2</v>
      </c>
    </row>
    <row r="55" spans="1:13" x14ac:dyDescent="0.25">
      <c r="A55" s="3" t="s">
        <v>59</v>
      </c>
      <c r="B55">
        <v>881</v>
      </c>
      <c r="C55">
        <v>1</v>
      </c>
      <c r="D55">
        <f>IF(B55=0,0,(B55-$J$8)/$I$8)*C55</f>
        <v>29.520599442827837</v>
      </c>
      <c r="E55">
        <f>1.82*D55/1000</f>
        <v>5.3727490985946667E-2</v>
      </c>
      <c r="F55" s="3" t="s">
        <v>59</v>
      </c>
      <c r="G55">
        <v>2535</v>
      </c>
      <c r="H55">
        <v>1</v>
      </c>
      <c r="I55">
        <f>IF(G55=0,0,(G55-$J$8)/$I$8)*H55</f>
        <v>47.583483988706014</v>
      </c>
      <c r="J55">
        <f>1.82*I55/1000</f>
        <v>8.6601940859444948E-2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4657</v>
      </c>
      <c r="H57">
        <v>1</v>
      </c>
      <c r="I57">
        <f>IF(G57=0,0,(G57-$J$10)/$I$10)*H57</f>
        <v>64.041475874334083</v>
      </c>
      <c r="J57">
        <f>2.04*I57/1000</f>
        <v>0.13064461078364153</v>
      </c>
    </row>
    <row r="58" spans="1:13" x14ac:dyDescent="0.25">
      <c r="A58" s="3" t="s">
        <v>62</v>
      </c>
      <c r="B58">
        <v>169</v>
      </c>
      <c r="C58">
        <v>1</v>
      </c>
      <c r="D58">
        <f>IF(B58=0,0,(B58-$J$11)/$I$11)*1</f>
        <v>21.304778954497035</v>
      </c>
      <c r="E58">
        <f>2.21*D58/1000</f>
        <v>4.7083561489438444E-2</v>
      </c>
      <c r="F58" s="3" t="s">
        <v>62</v>
      </c>
      <c r="G58">
        <v>234</v>
      </c>
      <c r="H58">
        <v>1</v>
      </c>
      <c r="I58">
        <f>IF(G58=0,0,(G58-$J$11)/$I$11)*1</f>
        <v>21.891981730076232</v>
      </c>
      <c r="J58">
        <f>2.21*I58/1000</f>
        <v>4.8381279623468471E-2</v>
      </c>
    </row>
    <row r="59" spans="1:13" x14ac:dyDescent="0.25">
      <c r="A59" s="3" t="s">
        <v>63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2176.8010447807737</v>
      </c>
      <c r="E60" s="3">
        <f>SUM(E52:E59)</f>
        <v>2.4063605316815995</v>
      </c>
      <c r="G60" s="3" t="s">
        <v>69</v>
      </c>
      <c r="H60" s="3"/>
      <c r="I60" s="3">
        <f>SUM(I52:I59)</f>
        <v>1821.7771563780125</v>
      </c>
      <c r="J60" s="3">
        <f>SUM(J52:J59)</f>
        <v>2.1150083209599417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T60"/>
  <sheetViews>
    <sheetView workbookViewId="0">
      <selection activeCell="D26" sqref="D26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5.7220000000000004</v>
      </c>
      <c r="C5" s="15">
        <v>1766</v>
      </c>
      <c r="D5" s="15">
        <v>8831</v>
      </c>
      <c r="E5" s="15">
        <v>14349</v>
      </c>
      <c r="F5" s="16">
        <v>53</v>
      </c>
      <c r="G5" s="16">
        <v>263</v>
      </c>
      <c r="H5" s="16">
        <v>525</v>
      </c>
      <c r="I5">
        <f>LINEST(C5:E5, F5:H5)</f>
        <v>26.431600343339451</v>
      </c>
      <c r="J5">
        <f>INTERCEPT(C5:E5, F5:H5)</f>
        <v>905.67470375050834</v>
      </c>
      <c r="K5">
        <f>RSQ(C5:E5,F5:H5)</f>
        <v>0.98204951793690431</v>
      </c>
    </row>
    <row r="6" spans="1:20" ht="15.75" x14ac:dyDescent="0.25">
      <c r="A6" s="3" t="s">
        <v>57</v>
      </c>
      <c r="B6" s="15">
        <v>6.68</v>
      </c>
      <c r="C6" s="15">
        <v>2509</v>
      </c>
      <c r="D6" s="15">
        <v>13369</v>
      </c>
      <c r="E6" s="15">
        <v>22555</v>
      </c>
      <c r="F6" s="16">
        <v>49</v>
      </c>
      <c r="G6" s="16">
        <v>247</v>
      </c>
      <c r="H6" s="16">
        <v>495</v>
      </c>
      <c r="I6">
        <f t="shared" ref="I6:I12" si="0">LINEST(C6:E6, F6:H6)</f>
        <v>44.619002483112169</v>
      </c>
      <c r="J6">
        <f>INTERCEPT(C6:E6, F6:H6)</f>
        <v>1046.456345286093</v>
      </c>
      <c r="K6">
        <f t="shared" ref="K6:K12" si="1">RSQ(C6:E6,F6:H6)</f>
        <v>0.98732752217336817</v>
      </c>
    </row>
    <row r="7" spans="1:20" ht="15.75" x14ac:dyDescent="0.25">
      <c r="A7" s="3" t="s">
        <v>58</v>
      </c>
      <c r="B7" s="15">
        <v>7.0250000000000004</v>
      </c>
      <c r="C7" s="15">
        <v>2831</v>
      </c>
      <c r="D7" s="15">
        <v>15347</v>
      </c>
      <c r="E7" s="15">
        <v>25538</v>
      </c>
      <c r="F7" s="16">
        <v>47</v>
      </c>
      <c r="G7" s="16">
        <v>235</v>
      </c>
      <c r="H7" s="16">
        <v>469</v>
      </c>
      <c r="I7">
        <f t="shared" si="0"/>
        <v>53.396384571786534</v>
      </c>
      <c r="J7">
        <f t="shared" ref="J7:J12" si="2">INTERCEPT(C7:E7, F7:H7)</f>
        <v>1205.1050621961022</v>
      </c>
      <c r="K7">
        <f t="shared" si="1"/>
        <v>0.98521433697873995</v>
      </c>
    </row>
    <row r="8" spans="1:20" ht="15.75" x14ac:dyDescent="0.25">
      <c r="A8" s="3" t="s">
        <v>59</v>
      </c>
      <c r="B8" s="15">
        <v>7.7480000000000002</v>
      </c>
      <c r="C8" s="15">
        <v>2875</v>
      </c>
      <c r="D8" s="15">
        <v>16322</v>
      </c>
      <c r="E8" s="15">
        <v>27324</v>
      </c>
      <c r="F8" s="16">
        <v>45</v>
      </c>
      <c r="G8" s="16">
        <v>227</v>
      </c>
      <c r="H8" s="16">
        <v>453</v>
      </c>
      <c r="I8">
        <f t="shared" si="0"/>
        <v>59.478018383174287</v>
      </c>
      <c r="J8">
        <f t="shared" si="2"/>
        <v>1133.1455573995463</v>
      </c>
      <c r="K8">
        <f>RSQ(C8:E8,F8:H8)</f>
        <v>0.98570311324863036</v>
      </c>
    </row>
    <row r="9" spans="1:20" ht="15.75" x14ac:dyDescent="0.25">
      <c r="A9" s="3" t="s">
        <v>60</v>
      </c>
      <c r="B9" s="15">
        <v>8.2140000000000004</v>
      </c>
      <c r="C9" s="15">
        <v>3142</v>
      </c>
      <c r="D9" s="15">
        <v>17582</v>
      </c>
      <c r="E9" s="15">
        <v>29012</v>
      </c>
      <c r="F9" s="16">
        <v>46</v>
      </c>
      <c r="G9" s="16">
        <v>228</v>
      </c>
      <c r="H9" s="16">
        <v>455</v>
      </c>
      <c r="I9">
        <f t="shared" si="0"/>
        <v>62.728809926409312</v>
      </c>
      <c r="J9">
        <f t="shared" si="2"/>
        <v>1335.5658545492079</v>
      </c>
      <c r="K9">
        <f t="shared" si="1"/>
        <v>0.98306313276077284</v>
      </c>
    </row>
    <row r="10" spans="1:20" ht="15.75" x14ac:dyDescent="0.25">
      <c r="A10" s="3" t="s">
        <v>61</v>
      </c>
      <c r="B10" s="15">
        <v>8.9879999999999995</v>
      </c>
      <c r="C10" s="15">
        <v>3301</v>
      </c>
      <c r="D10" s="15">
        <v>18543</v>
      </c>
      <c r="E10" s="15">
        <v>30930</v>
      </c>
      <c r="F10" s="16">
        <v>44</v>
      </c>
      <c r="G10" s="16">
        <v>221</v>
      </c>
      <c r="H10" s="16">
        <v>443</v>
      </c>
      <c r="I10">
        <f t="shared" si="0"/>
        <v>68.685393680102067</v>
      </c>
      <c r="J10">
        <f t="shared" si="2"/>
        <v>1381.5804248292407</v>
      </c>
      <c r="K10">
        <f t="shared" si="1"/>
        <v>0.98455209099620045</v>
      </c>
    </row>
    <row r="11" spans="1:20" ht="15.75" x14ac:dyDescent="0.25">
      <c r="A11" s="3" t="s">
        <v>62</v>
      </c>
      <c r="B11" s="15">
        <v>10.157</v>
      </c>
      <c r="C11" s="15">
        <v>3498</v>
      </c>
      <c r="D11" s="15">
        <v>19558</v>
      </c>
      <c r="E11" s="15">
        <v>33894</v>
      </c>
      <c r="F11" s="16">
        <v>44</v>
      </c>
      <c r="G11" s="16">
        <v>222</v>
      </c>
      <c r="H11" s="16">
        <v>444</v>
      </c>
      <c r="I11">
        <f t="shared" si="0"/>
        <v>75.527339729756648</v>
      </c>
      <c r="J11">
        <f t="shared" si="2"/>
        <v>1108.5295972909262</v>
      </c>
      <c r="K11">
        <f t="shared" si="1"/>
        <v>0.99078214032981449</v>
      </c>
    </row>
    <row r="12" spans="1:20" ht="15.75" x14ac:dyDescent="0.25">
      <c r="A12" s="3" t="s">
        <v>63</v>
      </c>
      <c r="B12" s="15">
        <v>11.273</v>
      </c>
      <c r="C12" s="15">
        <v>3860</v>
      </c>
      <c r="D12" s="15">
        <v>21700</v>
      </c>
      <c r="E12" s="15">
        <v>39813</v>
      </c>
      <c r="F12" s="16">
        <v>47</v>
      </c>
      <c r="G12" s="16">
        <v>234</v>
      </c>
      <c r="H12" s="16">
        <v>467</v>
      </c>
      <c r="I12">
        <f t="shared" si="0"/>
        <v>85.285099639385962</v>
      </c>
      <c r="J12">
        <f t="shared" si="2"/>
        <v>526.58182324642621</v>
      </c>
      <c r="K12">
        <f t="shared" si="1"/>
        <v>0.99655057915224488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6075</v>
      </c>
      <c r="C16">
        <v>10</v>
      </c>
      <c r="D16">
        <f>IF(B16=0,0,(B16-$J$5)/$I$5)*C16</f>
        <v>1955.7367806342909</v>
      </c>
      <c r="E16">
        <f>1.07*D16/1000</f>
        <v>2.0926383552786914</v>
      </c>
      <c r="F16" s="3" t="s">
        <v>56</v>
      </c>
      <c r="G16">
        <v>6406</v>
      </c>
      <c r="H16">
        <v>10</v>
      </c>
      <c r="I16">
        <f>IF(G16=0,0,(G16-$J$5)/$I$5)*H16</f>
        <v>2080.9656716966547</v>
      </c>
      <c r="J16">
        <f>1.07*I16/1000</f>
        <v>2.2266332687154207</v>
      </c>
      <c r="K16" s="3" t="s">
        <v>56</v>
      </c>
      <c r="L16">
        <v>3853</v>
      </c>
      <c r="M16">
        <v>10</v>
      </c>
      <c r="N16">
        <f>IF(L16=0,0,(L16-$J$5)/$I$5)*M16</f>
        <v>1115.0763699376962</v>
      </c>
      <c r="O16">
        <f>1.07*N16/1000</f>
        <v>1.193131715833335</v>
      </c>
      <c r="P16" s="3" t="s">
        <v>56</v>
      </c>
      <c r="Q16">
        <v>5319</v>
      </c>
      <c r="R16">
        <v>10</v>
      </c>
      <c r="S16">
        <f>IF(Q16=0,0,(Q16-$J$5)/$I$5)*R16</f>
        <v>1669.7155067879248</v>
      </c>
      <c r="T16">
        <f>1.07*S16/1000</f>
        <v>1.7865955922630796</v>
      </c>
    </row>
    <row r="17" spans="1:20" x14ac:dyDescent="0.25">
      <c r="A17" s="3" t="s">
        <v>57</v>
      </c>
      <c r="B17">
        <v>887</v>
      </c>
      <c r="C17">
        <v>10</v>
      </c>
      <c r="D17">
        <v>0</v>
      </c>
      <c r="E17">
        <v>0</v>
      </c>
      <c r="F17" s="3" t="s">
        <v>57</v>
      </c>
      <c r="G17">
        <v>389</v>
      </c>
      <c r="H17">
        <v>10</v>
      </c>
      <c r="I17">
        <v>0</v>
      </c>
      <c r="J17">
        <f>1.51*I17/1000</f>
        <v>0</v>
      </c>
      <c r="K17" s="3" t="s">
        <v>57</v>
      </c>
      <c r="L17">
        <v>235</v>
      </c>
      <c r="M17">
        <v>10</v>
      </c>
      <c r="N17">
        <v>0</v>
      </c>
      <c r="O17">
        <v>0</v>
      </c>
      <c r="P17" s="3" t="s">
        <v>57</v>
      </c>
      <c r="Q17">
        <v>250</v>
      </c>
      <c r="R17">
        <v>10</v>
      </c>
      <c r="S17">
        <v>0</v>
      </c>
      <c r="T17">
        <v>0</v>
      </c>
    </row>
    <row r="18" spans="1:20" x14ac:dyDescent="0.25">
      <c r="A18" s="3" t="s">
        <v>58</v>
      </c>
      <c r="B18">
        <v>127</v>
      </c>
      <c r="C18">
        <v>10</v>
      </c>
      <c r="D18">
        <v>0</v>
      </c>
      <c r="E18">
        <v>0</v>
      </c>
      <c r="F18" s="3" t="s">
        <v>58</v>
      </c>
      <c r="G18">
        <v>0</v>
      </c>
      <c r="H18">
        <v>10</v>
      </c>
      <c r="I18">
        <f>IF(G18=0,0,(G18-$J$7)/$I$7)*H18</f>
        <v>0</v>
      </c>
      <c r="J18">
        <f>1.82*I18/1000</f>
        <v>0</v>
      </c>
      <c r="K18" s="3" t="s">
        <v>58</v>
      </c>
      <c r="L18">
        <v>0</v>
      </c>
      <c r="M18">
        <v>10</v>
      </c>
      <c r="N18">
        <f>IF(L18=0,0,(L18-$J$7)/$I$7)*M18</f>
        <v>0</v>
      </c>
      <c r="O18">
        <f>1.82*N18/1000</f>
        <v>0</v>
      </c>
      <c r="P18" s="3" t="s">
        <v>58</v>
      </c>
      <c r="Q18">
        <v>0</v>
      </c>
      <c r="R18">
        <v>10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59</v>
      </c>
      <c r="B19">
        <v>513</v>
      </c>
      <c r="C19">
        <v>10</v>
      </c>
      <c r="D19">
        <v>0</v>
      </c>
      <c r="E19">
        <v>0</v>
      </c>
      <c r="F19" s="3" t="s">
        <v>59</v>
      </c>
      <c r="G19">
        <v>327</v>
      </c>
      <c r="H19">
        <v>10</v>
      </c>
      <c r="I19">
        <v>0</v>
      </c>
      <c r="J19">
        <f>1.82*I19/1000</f>
        <v>0</v>
      </c>
      <c r="K19" s="3" t="s">
        <v>59</v>
      </c>
      <c r="L19">
        <v>0</v>
      </c>
      <c r="M19">
        <v>10</v>
      </c>
      <c r="N19">
        <f>IF(L19=0,0,(L19-$J$8)/$I$8)*M19</f>
        <v>0</v>
      </c>
      <c r="O19">
        <f>1.82*N19/1000</f>
        <v>0</v>
      </c>
      <c r="P19" s="3" t="s">
        <v>59</v>
      </c>
      <c r="Q19">
        <v>188</v>
      </c>
      <c r="R19">
        <v>10</v>
      </c>
      <c r="S19">
        <v>0</v>
      </c>
      <c r="T19">
        <v>0</v>
      </c>
    </row>
    <row r="20" spans="1:20" x14ac:dyDescent="0.25">
      <c r="A20" s="3" t="s">
        <v>60</v>
      </c>
      <c r="B20">
        <v>167</v>
      </c>
      <c r="C20">
        <v>10</v>
      </c>
      <c r="D20">
        <v>0</v>
      </c>
      <c r="E20">
        <v>0</v>
      </c>
      <c r="F20" s="3" t="s">
        <v>60</v>
      </c>
      <c r="G20">
        <v>0</v>
      </c>
      <c r="H20">
        <v>10</v>
      </c>
      <c r="I20">
        <f>IF(G20=0,0,(G20-$J$9)/$I$9)*H20</f>
        <v>0</v>
      </c>
      <c r="J20">
        <f>2.04*I20/1000</f>
        <v>0</v>
      </c>
      <c r="K20" s="3" t="s">
        <v>60</v>
      </c>
      <c r="L20">
        <v>0</v>
      </c>
      <c r="M20">
        <v>10</v>
      </c>
      <c r="N20">
        <f>IF(L20=0,0,(L20-$J$9)/$I$9)*M20</f>
        <v>0</v>
      </c>
      <c r="O20">
        <f>2.04*N20/1000</f>
        <v>0</v>
      </c>
      <c r="P20" s="3" t="s">
        <v>60</v>
      </c>
      <c r="Q20">
        <v>0</v>
      </c>
      <c r="R20">
        <v>10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61</v>
      </c>
      <c r="B21">
        <v>744</v>
      </c>
      <c r="C21">
        <v>10</v>
      </c>
      <c r="D21">
        <v>0</v>
      </c>
      <c r="E21">
        <v>0</v>
      </c>
      <c r="F21" s="3" t="s">
        <v>61</v>
      </c>
      <c r="G21">
        <v>0</v>
      </c>
      <c r="H21">
        <v>10</v>
      </c>
      <c r="I21">
        <f>IF(G21=0,0,(G21-$J$10)/$I$10)*H21</f>
        <v>0</v>
      </c>
      <c r="J21">
        <f>2.04*I21/1000</f>
        <v>0</v>
      </c>
      <c r="K21" s="3" t="s">
        <v>61</v>
      </c>
      <c r="L21">
        <v>0</v>
      </c>
      <c r="M21">
        <v>10</v>
      </c>
      <c r="N21">
        <f>IF(L21=0,0,(L21-$J$10)/$I$10)*M21</f>
        <v>0</v>
      </c>
      <c r="O21">
        <f>2.04*N21/1000</f>
        <v>0</v>
      </c>
      <c r="P21" s="3" t="s">
        <v>61</v>
      </c>
      <c r="Q21">
        <v>0</v>
      </c>
      <c r="R21">
        <v>10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62</v>
      </c>
      <c r="B22">
        <v>466</v>
      </c>
      <c r="C22">
        <v>10</v>
      </c>
      <c r="D22">
        <v>0</v>
      </c>
      <c r="E22">
        <v>0</v>
      </c>
      <c r="F22" s="3" t="s">
        <v>62</v>
      </c>
      <c r="G22">
        <v>260</v>
      </c>
      <c r="H22">
        <v>10</v>
      </c>
      <c r="I22">
        <v>0</v>
      </c>
      <c r="J22">
        <f>2.21*I22/1000</f>
        <v>0</v>
      </c>
      <c r="K22" s="3" t="s">
        <v>62</v>
      </c>
      <c r="L22">
        <v>0</v>
      </c>
      <c r="M22">
        <v>10</v>
      </c>
      <c r="N22">
        <f>IF(L22=0,0,(L22-$J$11)/$I$11)*1</f>
        <v>0</v>
      </c>
      <c r="O22">
        <f>2.21*N22/1000</f>
        <v>0</v>
      </c>
      <c r="P22" s="3" t="s">
        <v>62</v>
      </c>
      <c r="Q22">
        <v>0</v>
      </c>
      <c r="R22">
        <v>10</v>
      </c>
      <c r="S22">
        <f>IF(Q22=0,0,(Q22-$J$11)/$I$11)*1</f>
        <v>0</v>
      </c>
      <c r="T22">
        <f>2.21*S22/1000</f>
        <v>0</v>
      </c>
    </row>
    <row r="23" spans="1:20" x14ac:dyDescent="0.25">
      <c r="A23" s="3" t="s">
        <v>63</v>
      </c>
      <c r="B23">
        <v>655</v>
      </c>
      <c r="C23">
        <v>10</v>
      </c>
      <c r="D23">
        <f>IF(B23=0,0,(B23-$J$12)/$I$12)*1</f>
        <v>1.5057516177687422</v>
      </c>
      <c r="E23">
        <f>2.34*D23/1000</f>
        <v>3.5234587855788565E-3</v>
      </c>
      <c r="F23" s="3" t="s">
        <v>63</v>
      </c>
      <c r="G23">
        <v>0</v>
      </c>
      <c r="H23">
        <v>10</v>
      </c>
      <c r="I23">
        <f>IF(G23=0,0,(G23-$J$12)/$I$12)*1</f>
        <v>0</v>
      </c>
      <c r="J23">
        <f>2.34*I23/1000</f>
        <v>0</v>
      </c>
      <c r="K23" s="3" t="s">
        <v>63</v>
      </c>
      <c r="L23">
        <v>0</v>
      </c>
      <c r="M23">
        <v>10</v>
      </c>
      <c r="N23">
        <f>IF(L23=0,0,(L23-$J$12)/$I$12)*1</f>
        <v>0</v>
      </c>
      <c r="O23">
        <f>2.34*N23/1000</f>
        <v>0</v>
      </c>
      <c r="P23" s="3" t="s">
        <v>63</v>
      </c>
      <c r="Q23">
        <v>0</v>
      </c>
      <c r="R23">
        <v>10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69</v>
      </c>
      <c r="C24" s="3"/>
      <c r="D24" s="3">
        <f>SUM(D16:D23)</f>
        <v>1957.2425322520596</v>
      </c>
      <c r="E24" s="3">
        <f>SUM(E16:E23)</f>
        <v>2.0961618140642702</v>
      </c>
      <c r="G24" s="3" t="s">
        <v>69</v>
      </c>
      <c r="H24" s="3"/>
      <c r="I24" s="3">
        <f>SUM(I16:I23)</f>
        <v>2080.9656716966547</v>
      </c>
      <c r="J24" s="3">
        <f>SUM(J16:J23)</f>
        <v>2.2266332687154207</v>
      </c>
      <c r="L24" s="3" t="s">
        <v>69</v>
      </c>
      <c r="M24" s="3"/>
      <c r="N24" s="3">
        <f>SUM(N16:N23)</f>
        <v>1115.0763699376962</v>
      </c>
      <c r="O24" s="3">
        <f>SUM(O16:O23)</f>
        <v>1.193131715833335</v>
      </c>
      <c r="Q24" s="3" t="s">
        <v>69</v>
      </c>
      <c r="R24" s="3"/>
      <c r="S24" s="3">
        <f>SUM(S16:S23)</f>
        <v>1669.7155067879248</v>
      </c>
      <c r="T24" s="3">
        <f>SUM(T16:T23)</f>
        <v>1.7865955922630796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4635</v>
      </c>
      <c r="C28">
        <v>10</v>
      </c>
      <c r="D28">
        <f>IF(B28=0,0,(B28-$J$5)/$I$5)*C28</f>
        <v>1410.9343542602601</v>
      </c>
      <c r="E28">
        <f>1.07*D28/1000</f>
        <v>1.5096997590584784</v>
      </c>
      <c r="F28" s="3" t="s">
        <v>56</v>
      </c>
      <c r="G28">
        <v>7145</v>
      </c>
      <c r="H28">
        <v>10</v>
      </c>
      <c r="I28">
        <f>IF(G28=0,0,(G28-$J$5)/$I$5)*H28</f>
        <v>2360.5552502316609</v>
      </c>
      <c r="J28">
        <f>1.07*I28/1000</f>
        <v>2.5257941177478775</v>
      </c>
      <c r="K28" s="3" t="s">
        <v>56</v>
      </c>
      <c r="L28">
        <v>5158</v>
      </c>
      <c r="M28">
        <v>10</v>
      </c>
      <c r="N28">
        <f>IF(L28=0,0,(L28-$J$5)/$I$5)*M28</f>
        <v>1608.8035688391617</v>
      </c>
      <c r="O28">
        <f>1.07*N28/1000</f>
        <v>1.7214198186579031</v>
      </c>
      <c r="P28" s="3" t="s">
        <v>56</v>
      </c>
      <c r="Q28">
        <v>5030</v>
      </c>
      <c r="R28">
        <v>10</v>
      </c>
      <c r="S28">
        <f>IF(Q28=0,0,(Q28-$J$5)/$I$5)*R28</f>
        <v>1560.3766864948034</v>
      </c>
      <c r="T28">
        <f>1.07*S28/1000</f>
        <v>1.6696030545494398</v>
      </c>
    </row>
    <row r="29" spans="1:20" x14ac:dyDescent="0.25">
      <c r="A29" s="3" t="s">
        <v>57</v>
      </c>
      <c r="B29">
        <v>5109</v>
      </c>
      <c r="C29">
        <v>10</v>
      </c>
      <c r="D29">
        <f>IF(B29=0,0,(B29-$J$6)/$I$6)*C29</f>
        <v>910.49629723379348</v>
      </c>
      <c r="E29">
        <f>1.51*D29/1000</f>
        <v>1.3748494088230281</v>
      </c>
      <c r="F29" s="3" t="s">
        <v>57</v>
      </c>
      <c r="G29">
        <v>816</v>
      </c>
      <c r="H29">
        <v>10</v>
      </c>
      <c r="I29">
        <v>0</v>
      </c>
      <c r="J29">
        <v>0</v>
      </c>
      <c r="K29" s="3" t="s">
        <v>57</v>
      </c>
      <c r="L29">
        <v>1759</v>
      </c>
      <c r="M29">
        <v>10</v>
      </c>
      <c r="N29">
        <f>IF(L29=0,0,(L29-$J$6)/$I$6)*M29</f>
        <v>159.69511084063285</v>
      </c>
      <c r="O29">
        <f>1.51*N29/1000</f>
        <v>0.24113961736935563</v>
      </c>
      <c r="P29" s="3" t="s">
        <v>57</v>
      </c>
      <c r="Q29">
        <v>520</v>
      </c>
      <c r="R29">
        <v>10</v>
      </c>
      <c r="S29">
        <v>0</v>
      </c>
      <c r="T29">
        <v>0</v>
      </c>
    </row>
    <row r="30" spans="1:20" x14ac:dyDescent="0.25">
      <c r="A30" s="3" t="s">
        <v>58</v>
      </c>
      <c r="B30">
        <v>0</v>
      </c>
      <c r="C30">
        <v>10</v>
      </c>
      <c r="D30">
        <f>IF(B30=0,0,(B30-$J$7)/$I$7)*C30</f>
        <v>0</v>
      </c>
      <c r="E30">
        <f>1.82*D30/1000</f>
        <v>0</v>
      </c>
      <c r="F30" s="3" t="s">
        <v>58</v>
      </c>
      <c r="G30">
        <v>0</v>
      </c>
      <c r="H30">
        <v>10</v>
      </c>
      <c r="I30">
        <f>IF(G30=0,0,(G30-$J$7)/$I$7)*H30</f>
        <v>0</v>
      </c>
      <c r="J30">
        <f>1.82*I30/1000</f>
        <v>0</v>
      </c>
      <c r="K30" s="3" t="s">
        <v>58</v>
      </c>
      <c r="L30">
        <v>0</v>
      </c>
      <c r="M30">
        <v>10</v>
      </c>
      <c r="N30">
        <f>IF(L30=0,0,(L30-$J$7)/$I$7)*M30</f>
        <v>0</v>
      </c>
      <c r="O30">
        <f>1.82*N30/1000</f>
        <v>0</v>
      </c>
      <c r="P30" s="3" t="s">
        <v>58</v>
      </c>
      <c r="Q30">
        <v>0</v>
      </c>
      <c r="R30">
        <v>10</v>
      </c>
      <c r="S30">
        <f>IF(Q30=0,0,(Q30-$J$7)/$I$7)*R30</f>
        <v>0</v>
      </c>
      <c r="T30">
        <f>1.82*S30/1000</f>
        <v>0</v>
      </c>
    </row>
    <row r="31" spans="1:20" x14ac:dyDescent="0.25">
      <c r="A31" s="3" t="s">
        <v>59</v>
      </c>
      <c r="B31">
        <v>11891</v>
      </c>
      <c r="C31">
        <v>10</v>
      </c>
      <c r="D31">
        <f>IF(B31=0,0,(B31-$J$8)/$I$8)*C31</f>
        <v>1808.7109717232509</v>
      </c>
      <c r="E31">
        <f>1.82*D31/1000</f>
        <v>3.2918539685363166</v>
      </c>
      <c r="F31" s="3" t="s">
        <v>59</v>
      </c>
      <c r="G31">
        <v>1250</v>
      </c>
      <c r="H31">
        <v>10</v>
      </c>
      <c r="I31">
        <f>IF(G31=0,0,(G31-$J$8)/$I$8)*H31</f>
        <v>19.646660359066466</v>
      </c>
      <c r="J31">
        <f>1.82*I31/1000</f>
        <v>3.5756921853500968E-2</v>
      </c>
      <c r="K31" s="3" t="s">
        <v>59</v>
      </c>
      <c r="L31">
        <v>29045</v>
      </c>
      <c r="M31">
        <v>10</v>
      </c>
      <c r="N31">
        <f>IF(L31=0,0,(L31-$J$8)/$I$8)*M31</f>
        <v>4692.8016772153296</v>
      </c>
      <c r="O31">
        <f>1.82*N31/1000</f>
        <v>8.5408990525319002</v>
      </c>
      <c r="P31" s="3" t="s">
        <v>59</v>
      </c>
      <c r="Q31">
        <v>930</v>
      </c>
      <c r="R31">
        <v>10</v>
      </c>
      <c r="S31">
        <v>0</v>
      </c>
      <c r="T31">
        <v>0</v>
      </c>
    </row>
    <row r="32" spans="1:20" x14ac:dyDescent="0.25">
      <c r="A32" s="3" t="s">
        <v>60</v>
      </c>
      <c r="B32">
        <v>0</v>
      </c>
      <c r="C32">
        <v>10</v>
      </c>
      <c r="D32">
        <f>IF(B32=0,0,(B32-$J$9)/$I$9)*C32</f>
        <v>0</v>
      </c>
      <c r="E32">
        <f>2.04*D32/1000</f>
        <v>0</v>
      </c>
      <c r="F32" s="3" t="s">
        <v>60</v>
      </c>
      <c r="G32">
        <v>0</v>
      </c>
      <c r="H32">
        <v>10</v>
      </c>
      <c r="I32">
        <f>IF(G32=0,0,(G32-$J$9)/$I$9)*H32</f>
        <v>0</v>
      </c>
      <c r="J32">
        <f>2.04*I32/1000</f>
        <v>0</v>
      </c>
      <c r="K32" s="3" t="s">
        <v>60</v>
      </c>
      <c r="L32">
        <v>0</v>
      </c>
      <c r="M32">
        <v>10</v>
      </c>
      <c r="N32">
        <f>IF(L32=0,0,(L32-$J$9)/$I$9)*M32</f>
        <v>0</v>
      </c>
      <c r="O32">
        <f>2.04*N32/1000</f>
        <v>0</v>
      </c>
      <c r="P32" s="3" t="s">
        <v>60</v>
      </c>
      <c r="Q32">
        <v>0</v>
      </c>
      <c r="R32">
        <v>10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61</v>
      </c>
      <c r="B33">
        <v>0</v>
      </c>
      <c r="C33">
        <v>10</v>
      </c>
      <c r="D33">
        <f>IF(B33=0,0,(B33-$J$10)/$I$10)*C33</f>
        <v>0</v>
      </c>
      <c r="E33">
        <f>2.04*D33/1000</f>
        <v>0</v>
      </c>
      <c r="F33" s="3" t="s">
        <v>61</v>
      </c>
      <c r="G33">
        <v>0</v>
      </c>
      <c r="H33">
        <v>10</v>
      </c>
      <c r="I33">
        <f>IF(G33=0,0,(G33-$J$10)/$I$10)*H33</f>
        <v>0</v>
      </c>
      <c r="J33">
        <f>2.04*I33/1000</f>
        <v>0</v>
      </c>
      <c r="K33" s="3" t="s">
        <v>61</v>
      </c>
      <c r="L33">
        <v>0</v>
      </c>
      <c r="M33">
        <v>10</v>
      </c>
      <c r="N33">
        <f>IF(L33=0,0,(L33-$J$10)/$I$10)*M33</f>
        <v>0</v>
      </c>
      <c r="O33">
        <f>2.04*N33/1000</f>
        <v>0</v>
      </c>
      <c r="P33" s="3" t="s">
        <v>61</v>
      </c>
      <c r="Q33">
        <v>0</v>
      </c>
      <c r="R33">
        <v>10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62</v>
      </c>
      <c r="B34">
        <v>0</v>
      </c>
      <c r="C34">
        <v>10</v>
      </c>
      <c r="D34">
        <f>IF(B34=0,0,(B34-$J$11)/$I$11)*1</f>
        <v>0</v>
      </c>
      <c r="E34">
        <f>2.21*D34/1000</f>
        <v>0</v>
      </c>
      <c r="F34" s="3" t="s">
        <v>62</v>
      </c>
      <c r="G34">
        <v>0</v>
      </c>
      <c r="H34">
        <v>10</v>
      </c>
      <c r="I34">
        <f>IF(G34=0,0,(G34-$J$11)/$I$11)*1</f>
        <v>0</v>
      </c>
      <c r="J34">
        <f>2.21*I34/1000</f>
        <v>0</v>
      </c>
      <c r="K34" s="3" t="s">
        <v>62</v>
      </c>
      <c r="L34">
        <v>0</v>
      </c>
      <c r="M34">
        <v>10</v>
      </c>
      <c r="N34">
        <f>IF(L34=0,0,(L34-$J$11)/$I$11)*1</f>
        <v>0</v>
      </c>
      <c r="O34">
        <f>2.21*N34/1000</f>
        <v>0</v>
      </c>
      <c r="P34" s="3" t="s">
        <v>62</v>
      </c>
      <c r="Q34">
        <v>0</v>
      </c>
      <c r="R34">
        <v>10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63</v>
      </c>
      <c r="B35">
        <v>0</v>
      </c>
      <c r="C35">
        <v>10</v>
      </c>
      <c r="D35">
        <f>IF(B35=0,0,(B35-$J$12)/$I$12)*1</f>
        <v>0</v>
      </c>
      <c r="E35">
        <f>2.34*D35/1000</f>
        <v>0</v>
      </c>
      <c r="F35" s="3" t="s">
        <v>63</v>
      </c>
      <c r="G35">
        <v>0</v>
      </c>
      <c r="H35">
        <v>10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10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10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4130.1416232173042</v>
      </c>
      <c r="E36" s="3">
        <f>SUM(E28:E35)</f>
        <v>6.1764031364178233</v>
      </c>
      <c r="G36" s="3" t="s">
        <v>69</v>
      </c>
      <c r="H36" s="3"/>
      <c r="I36" s="3">
        <f>SUM(I28:I35)</f>
        <v>2380.2019105907275</v>
      </c>
      <c r="J36" s="3">
        <f>SUM(J28:J35)</f>
        <v>2.5615510396013783</v>
      </c>
      <c r="L36" s="3" t="s">
        <v>69</v>
      </c>
      <c r="M36" s="3"/>
      <c r="N36" s="3">
        <f>SUM(N28:N35)</f>
        <v>6461.3003568951244</v>
      </c>
      <c r="O36" s="3">
        <f>SUM(O28:O35)</f>
        <v>10.50345848855916</v>
      </c>
      <c r="Q36" s="3" t="s">
        <v>69</v>
      </c>
      <c r="R36" s="3"/>
      <c r="S36" s="3">
        <f>SUM(S28:S35)</f>
        <v>1560.3766864948034</v>
      </c>
      <c r="T36" s="3">
        <f>SUM(T28:T35)</f>
        <v>1.6696030545494398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9141</v>
      </c>
      <c r="C40">
        <v>10</v>
      </c>
      <c r="D40">
        <f>IF(B40=0,0,(B40-$J$5)/$I$5)*C40</f>
        <v>3115.7119467889979</v>
      </c>
      <c r="E40">
        <f>1.07*D40/1000</f>
        <v>3.333811783064228</v>
      </c>
      <c r="F40" s="3" t="s">
        <v>56</v>
      </c>
      <c r="G40">
        <v>8185</v>
      </c>
      <c r="H40">
        <v>10</v>
      </c>
      <c r="I40">
        <f>IF(G40=0,0,(G40-$J$5)/$I$5)*H40</f>
        <v>2754.0236692795725</v>
      </c>
      <c r="J40">
        <f>1.07*I40/1000</f>
        <v>2.9468053261291427</v>
      </c>
      <c r="K40" s="3" t="s">
        <v>56</v>
      </c>
      <c r="L40">
        <v>7008</v>
      </c>
      <c r="M40">
        <v>10</v>
      </c>
      <c r="N40">
        <f>IF(L40=0,0,(L40-$J$5)/$I$5)*M40</f>
        <v>2308.7233527224653</v>
      </c>
      <c r="O40">
        <f>1.07*N40/1000</f>
        <v>2.4703339874130381</v>
      </c>
      <c r="P40" s="3" t="s">
        <v>56</v>
      </c>
      <c r="Q40">
        <v>8286</v>
      </c>
      <c r="R40">
        <v>10</v>
      </c>
      <c r="S40">
        <f>IF(Q40=0,0,(Q40-$J$5)/$I$5)*R40</f>
        <v>2792.2355061294179</v>
      </c>
      <c r="T40">
        <f>1.07*S40/1000</f>
        <v>2.987691991558477</v>
      </c>
    </row>
    <row r="41" spans="1:20" x14ac:dyDescent="0.25">
      <c r="A41" s="3" t="s">
        <v>57</v>
      </c>
      <c r="B41">
        <v>4588</v>
      </c>
      <c r="C41">
        <v>10</v>
      </c>
      <c r="D41">
        <f>IF(B41=0,0,(B41-$J$6)/$I$6)*C41</f>
        <v>793.7299037678722</v>
      </c>
      <c r="E41">
        <f>1.51*D41/1000</f>
        <v>1.1985321546894869</v>
      </c>
      <c r="F41" s="3" t="s">
        <v>57</v>
      </c>
      <c r="G41">
        <v>633</v>
      </c>
      <c r="H41">
        <v>10</v>
      </c>
      <c r="I41">
        <f>IF(G41=0,0,(G41-$J$6)/$I$6)*H41</f>
        <v>-92.663735690322056</v>
      </c>
      <c r="J41">
        <v>0</v>
      </c>
      <c r="K41" s="3" t="s">
        <v>57</v>
      </c>
      <c r="L41">
        <v>1778</v>
      </c>
      <c r="M41">
        <v>10</v>
      </c>
      <c r="N41">
        <f>IF(L41=0,0,(L41-$J$6)/$I$6)*M41</f>
        <v>163.95338622614631</v>
      </c>
      <c r="O41">
        <f>1.51*N41/1000</f>
        <v>0.24756961320148094</v>
      </c>
      <c r="P41" s="3" t="s">
        <v>57</v>
      </c>
      <c r="Q41">
        <v>1651</v>
      </c>
      <c r="R41">
        <v>10</v>
      </c>
      <c r="S41">
        <f>IF(Q41=0,0,(Q41-$J$6)/$I$6)*R41</f>
        <v>135.49017707034588</v>
      </c>
      <c r="T41">
        <f>1.51*S41/1000</f>
        <v>0.20459016737622227</v>
      </c>
    </row>
    <row r="42" spans="1:20" x14ac:dyDescent="0.25">
      <c r="A42" s="3" t="s">
        <v>58</v>
      </c>
      <c r="B42">
        <v>227</v>
      </c>
      <c r="C42">
        <v>10</v>
      </c>
      <c r="D42">
        <v>0</v>
      </c>
      <c r="E42">
        <v>0</v>
      </c>
      <c r="F42" s="3" t="s">
        <v>58</v>
      </c>
      <c r="G42">
        <v>0</v>
      </c>
      <c r="H42">
        <v>10</v>
      </c>
      <c r="I42">
        <f>IF(G42=0,0,(G42-$J$7)/$I$7)*H42</f>
        <v>0</v>
      </c>
      <c r="J42">
        <f>1.82*I42/1000</f>
        <v>0</v>
      </c>
      <c r="K42" s="3" t="s">
        <v>58</v>
      </c>
      <c r="L42">
        <v>0</v>
      </c>
      <c r="M42">
        <v>10</v>
      </c>
      <c r="N42">
        <f>IF(L42=0,0,(L42-$J$7)/$I$7)*M42</f>
        <v>0</v>
      </c>
      <c r="O42">
        <f>1.82*N42/1000</f>
        <v>0</v>
      </c>
      <c r="P42" s="3" t="s">
        <v>58</v>
      </c>
      <c r="Q42">
        <v>0</v>
      </c>
      <c r="R42">
        <v>10</v>
      </c>
      <c r="S42">
        <f>IF(Q42=0,0,(Q42-$J$7)/$I$7)*R42</f>
        <v>0</v>
      </c>
      <c r="T42">
        <f>1.82*S42/1000</f>
        <v>0</v>
      </c>
    </row>
    <row r="43" spans="1:20" x14ac:dyDescent="0.25">
      <c r="A43" s="3" t="s">
        <v>59</v>
      </c>
      <c r="B43">
        <v>18103</v>
      </c>
      <c r="C43">
        <v>10</v>
      </c>
      <c r="D43">
        <f>IF(B43=0,0,(B43-$J$8)/$I$8)*C43</f>
        <v>2853.1304343859993</v>
      </c>
      <c r="E43">
        <f>1.82*D43/1000</f>
        <v>5.1926973905825191</v>
      </c>
      <c r="F43" s="3" t="s">
        <v>59</v>
      </c>
      <c r="G43">
        <v>1184</v>
      </c>
      <c r="H43">
        <v>10</v>
      </c>
      <c r="I43">
        <f>IF(G43=0,0,(G43-$J$8)/$I$8)*H43</f>
        <v>8.5501238916258</v>
      </c>
      <c r="J43">
        <f>1.82*I43/1000</f>
        <v>1.5561225482758958E-2</v>
      </c>
      <c r="K43" s="3" t="s">
        <v>59</v>
      </c>
      <c r="L43">
        <v>1976</v>
      </c>
      <c r="M43">
        <v>10</v>
      </c>
      <c r="N43">
        <f>IF(L43=0,0,(L43-$J$8)/$I$8)*M43</f>
        <v>141.70856150091385</v>
      </c>
      <c r="O43">
        <f>1.82*N43/1000</f>
        <v>0.25790958193166319</v>
      </c>
      <c r="P43" s="3" t="s">
        <v>59</v>
      </c>
      <c r="Q43">
        <v>2505</v>
      </c>
      <c r="R43">
        <v>10</v>
      </c>
      <c r="S43">
        <f>IF(Q43=0,0,(Q43-$J$8)/$I$8)*R43</f>
        <v>230.64898258085495</v>
      </c>
      <c r="T43">
        <f>1.82*S43/1000</f>
        <v>0.41978114829715601</v>
      </c>
    </row>
    <row r="44" spans="1:20" x14ac:dyDescent="0.25">
      <c r="A44" s="3" t="s">
        <v>60</v>
      </c>
      <c r="B44">
        <v>294</v>
      </c>
      <c r="C44">
        <v>10</v>
      </c>
      <c r="D44">
        <v>0</v>
      </c>
      <c r="E44">
        <v>0</v>
      </c>
      <c r="F44" s="3" t="s">
        <v>60</v>
      </c>
      <c r="G44">
        <v>0</v>
      </c>
      <c r="H44">
        <v>10</v>
      </c>
      <c r="I44">
        <f>IF(G44=0,0,(G44-$J$9)/$I$9)*H44</f>
        <v>0</v>
      </c>
      <c r="J44">
        <f>2.04*I44/1000</f>
        <v>0</v>
      </c>
      <c r="K44" s="3" t="s">
        <v>60</v>
      </c>
      <c r="L44">
        <v>0</v>
      </c>
      <c r="M44">
        <v>10</v>
      </c>
      <c r="N44">
        <f>IF(L44=0,0,(L44-$J$9)/$I$9)*M44</f>
        <v>0</v>
      </c>
      <c r="O44">
        <f>2.04*N44/1000</f>
        <v>0</v>
      </c>
      <c r="P44" s="3" t="s">
        <v>60</v>
      </c>
      <c r="Q44">
        <v>144</v>
      </c>
      <c r="R44">
        <v>10</v>
      </c>
      <c r="S44">
        <v>0</v>
      </c>
      <c r="T44">
        <v>0</v>
      </c>
    </row>
    <row r="45" spans="1:20" x14ac:dyDescent="0.25">
      <c r="A45" s="3" t="s">
        <v>61</v>
      </c>
      <c r="B45">
        <v>325</v>
      </c>
      <c r="C45">
        <v>10</v>
      </c>
      <c r="D45">
        <v>0</v>
      </c>
      <c r="E45">
        <v>0</v>
      </c>
      <c r="F45" s="3" t="s">
        <v>61</v>
      </c>
      <c r="G45">
        <v>0</v>
      </c>
      <c r="H45">
        <v>10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10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10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0</v>
      </c>
      <c r="C46">
        <v>10</v>
      </c>
      <c r="D46">
        <f>IF(B46=0,0,(B46-$J$11)/$I$11)*1</f>
        <v>0</v>
      </c>
      <c r="E46">
        <f>2.21*D46/1000</f>
        <v>0</v>
      </c>
      <c r="F46" s="3" t="s">
        <v>62</v>
      </c>
      <c r="G46">
        <v>0</v>
      </c>
      <c r="H46">
        <v>10</v>
      </c>
      <c r="I46">
        <f>IF(G46=0,0,(G46-$J$11)/$I$11)*1</f>
        <v>0</v>
      </c>
      <c r="J46">
        <f>2.21*I46/1000</f>
        <v>0</v>
      </c>
      <c r="K46" s="3" t="s">
        <v>62</v>
      </c>
      <c r="L46">
        <v>0</v>
      </c>
      <c r="M46">
        <v>10</v>
      </c>
      <c r="N46">
        <f>IF(L46=0,0,(L46-$J$11)/$I$11)*1</f>
        <v>0</v>
      </c>
      <c r="O46">
        <f>2.21*N46/1000</f>
        <v>0</v>
      </c>
      <c r="P46" s="3" t="s">
        <v>62</v>
      </c>
      <c r="Q46">
        <v>0</v>
      </c>
      <c r="R46">
        <v>10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0</v>
      </c>
      <c r="C47">
        <v>10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10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10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10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6762.5722849428694</v>
      </c>
      <c r="E48" s="3">
        <f>SUM(E40:E47)</f>
        <v>9.7250413283362338</v>
      </c>
      <c r="F48" s="3"/>
      <c r="G48" s="3" t="s">
        <v>69</v>
      </c>
      <c r="H48" s="3"/>
      <c r="I48" s="3">
        <f>SUM(I40:I47)</f>
        <v>2669.9100574808763</v>
      </c>
      <c r="J48" s="3">
        <f>SUM(J40:J47)</f>
        <v>2.9623665516119018</v>
      </c>
      <c r="K48" s="3"/>
      <c r="L48" s="3" t="s">
        <v>69</v>
      </c>
      <c r="M48" s="3"/>
      <c r="N48" s="3">
        <f>SUM(N40:N47)</f>
        <v>2614.3853004495254</v>
      </c>
      <c r="O48" s="3">
        <f>SUM(O40:O47)</f>
        <v>2.9758131825461822</v>
      </c>
      <c r="P48" s="3"/>
      <c r="Q48" s="3" t="s">
        <v>69</v>
      </c>
      <c r="R48" s="3"/>
      <c r="S48" s="3">
        <f>SUM(S40:S47)</f>
        <v>3158.3746657806187</v>
      </c>
      <c r="T48" s="3">
        <f>SUM(T40:T47)</f>
        <v>3.6120633072318551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101872</v>
      </c>
      <c r="C52">
        <v>1</v>
      </c>
      <c r="D52">
        <f>IF(B52=0,0,(B52-$J$5)/$I$5)*C52</f>
        <v>3819.9096530185006</v>
      </c>
      <c r="E52">
        <f>1.07*D52/1000</f>
        <v>4.0873033287297957</v>
      </c>
      <c r="F52" s="3" t="s">
        <v>56</v>
      </c>
      <c r="G52">
        <v>88326</v>
      </c>
      <c r="H52">
        <v>1</v>
      </c>
      <c r="I52">
        <f>IF(G52=0,0,(G52-$J$5)/$I$5)*H52</f>
        <v>3307.4170372085964</v>
      </c>
      <c r="J52">
        <f>1.07*I52/1000</f>
        <v>3.5389362298131983</v>
      </c>
    </row>
    <row r="53" spans="1:13" x14ac:dyDescent="0.25">
      <c r="A53" s="3" t="s">
        <v>57</v>
      </c>
      <c r="B53">
        <v>3586</v>
      </c>
      <c r="C53">
        <v>1</v>
      </c>
      <c r="D53">
        <f>IF(B53=0,0,(B53-$J$6)/$I$6)*C53</f>
        <v>56.916190712132078</v>
      </c>
      <c r="E53">
        <f>1.51*D53/1000</f>
        <v>8.5943447975319442E-2</v>
      </c>
      <c r="F53" s="3" t="s">
        <v>57</v>
      </c>
      <c r="G53">
        <v>3108</v>
      </c>
      <c r="H53">
        <v>1</v>
      </c>
      <c r="I53">
        <f>IF(G53=0,0,(G53-$J$6)/$I$6)*H53</f>
        <v>46.203266321208773</v>
      </c>
      <c r="J53">
        <f>1.51*I53/1000</f>
        <v>6.9766932145025246E-2</v>
      </c>
    </row>
    <row r="54" spans="1:13" x14ac:dyDescent="0.25">
      <c r="A54" s="3" t="s">
        <v>58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58</v>
      </c>
      <c r="G54">
        <v>0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59</v>
      </c>
      <c r="B55">
        <v>1219</v>
      </c>
      <c r="C55">
        <v>1</v>
      </c>
      <c r="D55">
        <f>IF(B55=0,0,(B55-$J$8)/$I$8)*C55</f>
        <v>1.4434650806177669</v>
      </c>
      <c r="E55">
        <f>1.82*D55/1000</f>
        <v>2.6271064467243356E-3</v>
      </c>
      <c r="F55" s="3" t="s">
        <v>59</v>
      </c>
      <c r="G55">
        <v>3730</v>
      </c>
      <c r="H55">
        <v>1</v>
      </c>
      <c r="I55">
        <f>IF(G55=0,0,(G55-$J$8)/$I$8)*H55</f>
        <v>43.660742459017044</v>
      </c>
      <c r="J55">
        <f>1.82*I55/1000</f>
        <v>7.946255127541102E-2</v>
      </c>
    </row>
    <row r="56" spans="1:13" x14ac:dyDescent="0.25">
      <c r="A56" s="3" t="s">
        <v>60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187</v>
      </c>
      <c r="C58">
        <v>1</v>
      </c>
      <c r="D58">
        <f>IF(B58=0,0,(B58-$J$11)/$I$11)*1</f>
        <v>-12.201271759183347</v>
      </c>
      <c r="E58">
        <v>0</v>
      </c>
      <c r="F58" s="3" t="s">
        <v>62</v>
      </c>
      <c r="G58">
        <v>143</v>
      </c>
      <c r="H58">
        <v>1</v>
      </c>
      <c r="I58">
        <f>IF(G58=0,0,(G58-$J$11)/$I$11)*1</f>
        <v>-12.783842258256078</v>
      </c>
      <c r="J58">
        <v>0</v>
      </c>
    </row>
    <row r="59" spans="1:13" x14ac:dyDescent="0.25">
      <c r="A59" s="3" t="s">
        <v>63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3866.0680370520672</v>
      </c>
      <c r="E60" s="3">
        <f>SUM(E52:E59)</f>
        <v>4.1758738831518398</v>
      </c>
      <c r="G60" s="3" t="s">
        <v>69</v>
      </c>
      <c r="H60" s="3"/>
      <c r="I60" s="3">
        <f>SUM(I52:I59)</f>
        <v>3384.4972037305661</v>
      </c>
      <c r="J60" s="3">
        <f>SUM(J52:J59)</f>
        <v>3.6881657132336345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T60"/>
  <sheetViews>
    <sheetView workbookViewId="0">
      <selection activeCell="P18" sqref="P18"/>
    </sheetView>
  </sheetViews>
  <sheetFormatPr defaultRowHeight="15" x14ac:dyDescent="0.25"/>
  <cols>
    <col min="1" max="1" width="10.71093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47</v>
      </c>
    </row>
    <row r="3" spans="1:20" x14ac:dyDescent="0.25">
      <c r="B3" s="3"/>
      <c r="C3" s="3" t="s">
        <v>48</v>
      </c>
      <c r="D3" s="3" t="s">
        <v>49</v>
      </c>
      <c r="E3" s="3" t="s">
        <v>50</v>
      </c>
      <c r="F3" s="3" t="s">
        <v>48</v>
      </c>
      <c r="G3" s="3" t="s">
        <v>49</v>
      </c>
      <c r="H3" s="3" t="s">
        <v>50</v>
      </c>
      <c r="I3" s="3"/>
      <c r="J3" s="3"/>
    </row>
    <row r="4" spans="1:20" x14ac:dyDescent="0.25">
      <c r="A4" s="3" t="s">
        <v>51</v>
      </c>
      <c r="B4" s="3" t="s">
        <v>52</v>
      </c>
      <c r="C4" s="3" t="s">
        <v>53</v>
      </c>
      <c r="D4" s="3" t="s">
        <v>53</v>
      </c>
      <c r="E4" s="3" t="s">
        <v>53</v>
      </c>
      <c r="F4" s="3" t="s">
        <v>54</v>
      </c>
      <c r="G4" s="3" t="s">
        <v>54</v>
      </c>
      <c r="H4" s="3" t="s">
        <v>54</v>
      </c>
      <c r="I4" s="3" t="s">
        <v>15</v>
      </c>
      <c r="J4" s="3" t="s">
        <v>16</v>
      </c>
      <c r="K4" s="3" t="s">
        <v>55</v>
      </c>
    </row>
    <row r="5" spans="1:20" ht="15.75" x14ac:dyDescent="0.25">
      <c r="A5" s="3" t="s">
        <v>56</v>
      </c>
      <c r="B5" s="15">
        <v>5.72</v>
      </c>
      <c r="C5" s="15">
        <v>2062</v>
      </c>
      <c r="D5" s="15">
        <v>8829</v>
      </c>
      <c r="E5" s="15">
        <v>13692</v>
      </c>
      <c r="F5" s="16">
        <v>53</v>
      </c>
      <c r="G5" s="16">
        <v>263</v>
      </c>
      <c r="H5" s="16">
        <v>525</v>
      </c>
      <c r="I5">
        <f>LINEST(C5:E5, F5:H5)</f>
        <v>24.393004458644292</v>
      </c>
      <c r="J5">
        <f>INTERCEPT(C5:E5, F5:H5)</f>
        <v>1356.1610834267185</v>
      </c>
      <c r="K5">
        <f>RSQ(C5:E5,F5:H5)</f>
        <v>0.97531712133608472</v>
      </c>
    </row>
    <row r="6" spans="1:20" ht="15.75" x14ac:dyDescent="0.25">
      <c r="A6" s="3" t="s">
        <v>57</v>
      </c>
      <c r="B6" s="15">
        <v>6.673</v>
      </c>
      <c r="C6" s="15">
        <v>2659</v>
      </c>
      <c r="D6" s="15">
        <v>13198</v>
      </c>
      <c r="E6" s="15">
        <v>20729</v>
      </c>
      <c r="F6" s="16">
        <v>49</v>
      </c>
      <c r="G6" s="16">
        <v>247</v>
      </c>
      <c r="H6" s="16">
        <v>495</v>
      </c>
      <c r="I6">
        <f t="shared" ref="I6:I12" si="0">LINEST(C6:E6, F6:H6)</f>
        <v>40.095686593864322</v>
      </c>
      <c r="J6">
        <f>INTERCEPT(C6:E6, F6:H6)</f>
        <v>1623.4373014177781</v>
      </c>
      <c r="K6">
        <f t="shared" ref="K6:K12" si="1">RSQ(C6:E6,F6:H6)</f>
        <v>0.97447633389644661</v>
      </c>
    </row>
    <row r="7" spans="1:20" ht="15.75" x14ac:dyDescent="0.25">
      <c r="A7" s="3" t="s">
        <v>58</v>
      </c>
      <c r="B7" s="15">
        <v>7.0190000000000001</v>
      </c>
      <c r="C7" s="15">
        <v>2958</v>
      </c>
      <c r="D7" s="15">
        <v>15098</v>
      </c>
      <c r="E7" s="15">
        <v>23961</v>
      </c>
      <c r="F7" s="16">
        <v>47</v>
      </c>
      <c r="G7" s="16">
        <v>235</v>
      </c>
      <c r="H7" s="16">
        <v>469</v>
      </c>
      <c r="I7">
        <f t="shared" si="0"/>
        <v>49.292754228440188</v>
      </c>
      <c r="J7">
        <f t="shared" ref="J7:J12" si="2">INTERCEPT(C7:E7, F7:H7)</f>
        <v>1666.0471914804712</v>
      </c>
      <c r="K7">
        <f t="shared" si="1"/>
        <v>0.97686644259489941</v>
      </c>
    </row>
    <row r="8" spans="1:20" ht="15.75" x14ac:dyDescent="0.25">
      <c r="A8" s="3" t="s">
        <v>59</v>
      </c>
      <c r="B8" s="15">
        <v>7.7480000000000002</v>
      </c>
      <c r="C8" s="15">
        <v>3050</v>
      </c>
      <c r="D8" s="15">
        <v>16022</v>
      </c>
      <c r="E8" s="15">
        <v>25801</v>
      </c>
      <c r="F8" s="16">
        <v>45</v>
      </c>
      <c r="G8" s="16">
        <v>227</v>
      </c>
      <c r="H8" s="16">
        <v>453</v>
      </c>
      <c r="I8">
        <f t="shared" si="0"/>
        <v>55.266675709316061</v>
      </c>
      <c r="J8">
        <f t="shared" si="2"/>
        <v>1601.5533702486173</v>
      </c>
      <c r="K8">
        <f>RSQ(C8:E8,F8:H8)</f>
        <v>0.97968017377237682</v>
      </c>
    </row>
    <row r="9" spans="1:20" ht="15.75" x14ac:dyDescent="0.25">
      <c r="A9" s="3" t="s">
        <v>60</v>
      </c>
      <c r="B9" s="15">
        <v>8.2149999999999999</v>
      </c>
      <c r="C9" s="15">
        <v>3413</v>
      </c>
      <c r="D9" s="15">
        <v>17342</v>
      </c>
      <c r="E9" s="15">
        <v>27586</v>
      </c>
      <c r="F9" s="16">
        <v>46</v>
      </c>
      <c r="G9" s="16">
        <v>228</v>
      </c>
      <c r="H9" s="16">
        <v>455</v>
      </c>
      <c r="I9">
        <f t="shared" si="0"/>
        <v>58.536057062563998</v>
      </c>
      <c r="J9">
        <f t="shared" si="2"/>
        <v>1889.4048004636134</v>
      </c>
      <c r="K9">
        <f t="shared" si="1"/>
        <v>0.97730506688176311</v>
      </c>
    </row>
    <row r="10" spans="1:20" ht="15.75" x14ac:dyDescent="0.25">
      <c r="A10" s="3" t="s">
        <v>61</v>
      </c>
      <c r="B10" s="15">
        <v>8.9879999999999995</v>
      </c>
      <c r="C10" s="15">
        <v>3579</v>
      </c>
      <c r="D10" s="15">
        <v>18019</v>
      </c>
      <c r="E10" s="15">
        <v>28546</v>
      </c>
      <c r="F10" s="16">
        <v>44</v>
      </c>
      <c r="G10" s="16">
        <v>221</v>
      </c>
      <c r="H10" s="16">
        <v>443</v>
      </c>
      <c r="I10">
        <f t="shared" si="0"/>
        <v>61.942618028972454</v>
      </c>
      <c r="J10">
        <f t="shared" si="2"/>
        <v>2096.2088118291686</v>
      </c>
      <c r="K10">
        <f t="shared" si="1"/>
        <v>0.97608635110165298</v>
      </c>
    </row>
    <row r="11" spans="1:20" ht="15.75" x14ac:dyDescent="0.25">
      <c r="A11" s="3" t="s">
        <v>62</v>
      </c>
      <c r="B11" s="15">
        <v>10.157</v>
      </c>
      <c r="C11" s="15">
        <v>3728</v>
      </c>
      <c r="D11" s="15">
        <v>18942</v>
      </c>
      <c r="E11" s="15">
        <v>30361</v>
      </c>
      <c r="F11" s="16">
        <v>44</v>
      </c>
      <c r="G11" s="16">
        <v>222</v>
      </c>
      <c r="H11" s="16">
        <v>444</v>
      </c>
      <c r="I11">
        <f t="shared" si="0"/>
        <v>65.968551840908347</v>
      </c>
      <c r="J11">
        <f t="shared" si="2"/>
        <v>2064.4427309850253</v>
      </c>
      <c r="K11">
        <f t="shared" si="1"/>
        <v>0.97897684907168803</v>
      </c>
    </row>
    <row r="12" spans="1:20" ht="15.75" x14ac:dyDescent="0.25">
      <c r="A12" s="3" t="s">
        <v>63</v>
      </c>
      <c r="B12" s="15">
        <v>11.272</v>
      </c>
      <c r="C12" s="15">
        <v>4196</v>
      </c>
      <c r="D12" s="15">
        <v>20912</v>
      </c>
      <c r="E12" s="15">
        <v>33916</v>
      </c>
      <c r="F12" s="16">
        <v>47</v>
      </c>
      <c r="G12" s="16">
        <v>234</v>
      </c>
      <c r="H12" s="16">
        <v>467</v>
      </c>
      <c r="I12">
        <f t="shared" si="0"/>
        <v>70.158715340776482</v>
      </c>
      <c r="J12">
        <f t="shared" si="2"/>
        <v>2181.7603083663926</v>
      </c>
      <c r="K12">
        <f t="shared" si="1"/>
        <v>0.98184930803072701</v>
      </c>
    </row>
    <row r="14" spans="1:20" x14ac:dyDescent="0.25">
      <c r="A14" s="17" t="s">
        <v>64</v>
      </c>
      <c r="B14" s="3" t="s">
        <v>30</v>
      </c>
      <c r="C14" s="3"/>
      <c r="F14" s="17" t="s">
        <v>64</v>
      </c>
      <c r="G14" s="3" t="s">
        <v>31</v>
      </c>
      <c r="H14" s="3"/>
      <c r="K14" s="17" t="s">
        <v>64</v>
      </c>
      <c r="L14" s="3" t="s">
        <v>32</v>
      </c>
      <c r="M14" s="3"/>
      <c r="P14" s="17" t="s">
        <v>64</v>
      </c>
      <c r="Q14" s="3" t="s">
        <v>33</v>
      </c>
    </row>
    <row r="15" spans="1:20" x14ac:dyDescent="0.25">
      <c r="A15" s="17" t="s">
        <v>51</v>
      </c>
      <c r="B15" s="3" t="s">
        <v>65</v>
      </c>
      <c r="C15" s="3" t="s">
        <v>66</v>
      </c>
      <c r="D15" s="3" t="s">
        <v>67</v>
      </c>
      <c r="E15" s="3" t="s">
        <v>68</v>
      </c>
      <c r="F15" s="17" t="s">
        <v>51</v>
      </c>
      <c r="G15" s="3" t="s">
        <v>65</v>
      </c>
      <c r="H15" s="3" t="s">
        <v>66</v>
      </c>
      <c r="I15" s="3" t="s">
        <v>67</v>
      </c>
      <c r="J15" s="3" t="s">
        <v>68</v>
      </c>
      <c r="K15" s="17" t="s">
        <v>51</v>
      </c>
      <c r="L15" s="3" t="s">
        <v>65</v>
      </c>
      <c r="M15" s="3" t="s">
        <v>66</v>
      </c>
      <c r="N15" s="3" t="s">
        <v>67</v>
      </c>
      <c r="O15" s="3" t="s">
        <v>68</v>
      </c>
      <c r="P15" s="17" t="s">
        <v>51</v>
      </c>
      <c r="Q15" s="3" t="s">
        <v>65</v>
      </c>
      <c r="R15" s="3" t="s">
        <v>66</v>
      </c>
      <c r="S15" s="3" t="s">
        <v>67</v>
      </c>
      <c r="T15" s="3" t="s">
        <v>68</v>
      </c>
    </row>
    <row r="16" spans="1:20" x14ac:dyDescent="0.25">
      <c r="A16" s="3" t="s">
        <v>56</v>
      </c>
      <c r="B16">
        <v>8471</v>
      </c>
      <c r="C16">
        <v>10</v>
      </c>
      <c r="D16">
        <f>IF(B16=0,0,(B16-$J$5)/$I$5)*C16</f>
        <v>2916.7538294168412</v>
      </c>
      <c r="E16">
        <f>1.07*D16/1000</f>
        <v>3.1209265974760201</v>
      </c>
      <c r="F16" s="3" t="s">
        <v>56</v>
      </c>
      <c r="G16">
        <v>7813</v>
      </c>
      <c r="H16">
        <v>10</v>
      </c>
      <c r="I16">
        <f>IF(G16=0,0,(G16-$J$5)/$I$5)*H16</f>
        <v>2647.004360418232</v>
      </c>
      <c r="J16">
        <f>1.07*I16/1000</f>
        <v>2.8322946656475083</v>
      </c>
      <c r="K16" s="3" t="s">
        <v>56</v>
      </c>
      <c r="L16">
        <v>8058</v>
      </c>
      <c r="M16">
        <v>10</v>
      </c>
      <c r="N16">
        <f>IF(L16=0,0,(L16-$J$5)/$I$5)*M16</f>
        <v>2747.4429924921824</v>
      </c>
      <c r="O16">
        <f>1.07*N16/1000</f>
        <v>2.9397640019666356</v>
      </c>
      <c r="P16" s="3" t="s">
        <v>56</v>
      </c>
      <c r="Q16">
        <v>8512</v>
      </c>
      <c r="R16">
        <v>10</v>
      </c>
      <c r="S16">
        <f>IF(Q16=0,0,(Q16-$J$5)/$I$5)*R16</f>
        <v>2933.5619270292163</v>
      </c>
      <c r="T16">
        <f>1.07*S16/1000</f>
        <v>3.1389112619212614</v>
      </c>
    </row>
    <row r="17" spans="1:20" x14ac:dyDescent="0.25">
      <c r="A17" s="3" t="s">
        <v>57</v>
      </c>
      <c r="B17">
        <v>547</v>
      </c>
      <c r="C17">
        <v>10</v>
      </c>
      <c r="D17">
        <v>0</v>
      </c>
      <c r="E17">
        <v>0</v>
      </c>
      <c r="F17" s="3" t="s">
        <v>57</v>
      </c>
      <c r="G17">
        <v>436</v>
      </c>
      <c r="H17">
        <v>10</v>
      </c>
      <c r="I17">
        <v>0</v>
      </c>
      <c r="J17">
        <f>1.51*I17/1000</f>
        <v>0</v>
      </c>
      <c r="K17" s="3" t="s">
        <v>57</v>
      </c>
      <c r="L17">
        <v>333</v>
      </c>
      <c r="M17">
        <v>10</v>
      </c>
      <c r="N17">
        <v>0</v>
      </c>
      <c r="O17">
        <f>1.51*N17/1000</f>
        <v>0</v>
      </c>
      <c r="P17" s="3" t="s">
        <v>57</v>
      </c>
      <c r="Q17">
        <v>400</v>
      </c>
      <c r="R17">
        <v>10</v>
      </c>
      <c r="S17">
        <v>0</v>
      </c>
      <c r="T17">
        <f>1.51*S17/1000</f>
        <v>0</v>
      </c>
    </row>
    <row r="18" spans="1:20" x14ac:dyDescent="0.25">
      <c r="A18" s="3" t="s">
        <v>58</v>
      </c>
      <c r="B18">
        <v>0</v>
      </c>
      <c r="C18">
        <v>10</v>
      </c>
      <c r="D18">
        <f>IF(B18=0,0,(B18-$J$7)/$I$7)*C18</f>
        <v>0</v>
      </c>
      <c r="E18">
        <f>1.82*D18/1000</f>
        <v>0</v>
      </c>
      <c r="F18" s="3" t="s">
        <v>58</v>
      </c>
      <c r="G18">
        <v>0</v>
      </c>
      <c r="H18">
        <v>10</v>
      </c>
      <c r="I18">
        <f>IF(G18=0,0,(G18-$J$7)/$I$7)*H18</f>
        <v>0</v>
      </c>
      <c r="J18">
        <f>1.82*I18/1000</f>
        <v>0</v>
      </c>
      <c r="K18" s="3" t="s">
        <v>58</v>
      </c>
      <c r="L18">
        <v>0</v>
      </c>
      <c r="M18">
        <v>10</v>
      </c>
      <c r="N18">
        <f>IF(L18=0,0,(L18-$J$7)/$I$7)*M18</f>
        <v>0</v>
      </c>
      <c r="O18">
        <f>1.82*N18/1000</f>
        <v>0</v>
      </c>
      <c r="P18" s="3" t="s">
        <v>58</v>
      </c>
      <c r="Q18">
        <v>0</v>
      </c>
      <c r="R18">
        <v>10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59</v>
      </c>
      <c r="B19">
        <v>400</v>
      </c>
      <c r="C19">
        <v>10</v>
      </c>
      <c r="D19">
        <v>0</v>
      </c>
      <c r="E19">
        <v>0</v>
      </c>
      <c r="F19" s="3" t="s">
        <v>59</v>
      </c>
      <c r="G19">
        <v>906</v>
      </c>
      <c r="H19">
        <v>10</v>
      </c>
      <c r="I19">
        <v>0</v>
      </c>
      <c r="J19">
        <f>1.82*I19/1000</f>
        <v>0</v>
      </c>
      <c r="K19" s="3" t="s">
        <v>59</v>
      </c>
      <c r="L19">
        <v>190</v>
      </c>
      <c r="M19">
        <v>10</v>
      </c>
      <c r="N19">
        <v>0</v>
      </c>
      <c r="O19">
        <f>1.82*N19/1000</f>
        <v>0</v>
      </c>
      <c r="P19" s="3" t="s">
        <v>59</v>
      </c>
      <c r="Q19">
        <v>141</v>
      </c>
      <c r="R19">
        <v>10</v>
      </c>
      <c r="S19">
        <v>0</v>
      </c>
      <c r="T19">
        <f>1.82*S19/1000</f>
        <v>0</v>
      </c>
    </row>
    <row r="20" spans="1:20" x14ac:dyDescent="0.25">
      <c r="A20" s="3" t="s">
        <v>60</v>
      </c>
      <c r="B20">
        <v>0</v>
      </c>
      <c r="C20">
        <v>10</v>
      </c>
      <c r="D20">
        <f>IF(B20=0,0,(B20-$J$9)/$I$9)*C20</f>
        <v>0</v>
      </c>
      <c r="E20">
        <f>2.04*D20/1000</f>
        <v>0</v>
      </c>
      <c r="F20" s="3" t="s">
        <v>60</v>
      </c>
      <c r="G20">
        <v>0</v>
      </c>
      <c r="H20">
        <v>10</v>
      </c>
      <c r="I20">
        <f>IF(G20=0,0,(G20-$J$9)/$I$9)*H20</f>
        <v>0</v>
      </c>
      <c r="J20">
        <f>2.04*I20/1000</f>
        <v>0</v>
      </c>
      <c r="K20" s="3" t="s">
        <v>60</v>
      </c>
      <c r="L20">
        <v>0</v>
      </c>
      <c r="M20">
        <v>10</v>
      </c>
      <c r="N20">
        <f>IF(L20=0,0,(L20-$J$9)/$I$9)*M20</f>
        <v>0</v>
      </c>
      <c r="O20">
        <f>2.04*N20/1000</f>
        <v>0</v>
      </c>
      <c r="P20" s="3" t="s">
        <v>60</v>
      </c>
      <c r="Q20">
        <v>0</v>
      </c>
      <c r="R20">
        <v>10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61</v>
      </c>
      <c r="B21">
        <v>0</v>
      </c>
      <c r="C21">
        <v>10</v>
      </c>
      <c r="D21">
        <f>IF(B21=0,0,(B21-$J$10)/$I$10)*C21</f>
        <v>0</v>
      </c>
      <c r="E21">
        <f>2.04*D21/1000</f>
        <v>0</v>
      </c>
      <c r="F21" s="3" t="s">
        <v>61</v>
      </c>
      <c r="G21">
        <v>60</v>
      </c>
      <c r="H21">
        <v>10</v>
      </c>
      <c r="I21">
        <v>0</v>
      </c>
      <c r="J21">
        <v>0</v>
      </c>
      <c r="K21" s="3" t="s">
        <v>61</v>
      </c>
      <c r="L21">
        <v>54</v>
      </c>
      <c r="M21">
        <v>10</v>
      </c>
      <c r="N21">
        <v>0</v>
      </c>
      <c r="O21">
        <f>2.04*N21/1000</f>
        <v>0</v>
      </c>
      <c r="P21" s="3" t="s">
        <v>61</v>
      </c>
      <c r="Q21">
        <v>0</v>
      </c>
      <c r="R21">
        <v>10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62</v>
      </c>
      <c r="B22">
        <v>0</v>
      </c>
      <c r="C22">
        <v>10</v>
      </c>
      <c r="D22">
        <f>IF(B22=0,0,(B22-$J$11)/$I$11)*1</f>
        <v>0</v>
      </c>
      <c r="E22">
        <f>2.21*D22/1000</f>
        <v>0</v>
      </c>
      <c r="F22" s="3" t="s">
        <v>62</v>
      </c>
      <c r="G22">
        <v>0</v>
      </c>
      <c r="H22">
        <v>10</v>
      </c>
      <c r="I22">
        <f>IF(G22=0,0,(G22-$J$11)/$I$11)*1</f>
        <v>0</v>
      </c>
      <c r="J22">
        <f>2.21*I22/1000</f>
        <v>0</v>
      </c>
      <c r="K22" s="3" t="s">
        <v>62</v>
      </c>
      <c r="L22">
        <v>0</v>
      </c>
      <c r="M22">
        <v>10</v>
      </c>
      <c r="N22">
        <f>IF(L22=0,0,(L22-$J$11)/$I$11)*1</f>
        <v>0</v>
      </c>
      <c r="O22">
        <f>2.21*N22/1000</f>
        <v>0</v>
      </c>
      <c r="P22" s="3" t="s">
        <v>62</v>
      </c>
      <c r="Q22">
        <v>0</v>
      </c>
      <c r="R22">
        <v>10</v>
      </c>
      <c r="S22">
        <f>IF(Q22=0,0,(Q22-$J$11)/$I$11)*1</f>
        <v>0</v>
      </c>
      <c r="T22">
        <f>2.21*S22/1000</f>
        <v>0</v>
      </c>
    </row>
    <row r="23" spans="1:20" x14ac:dyDescent="0.25">
      <c r="A23" s="3" t="s">
        <v>63</v>
      </c>
      <c r="B23">
        <v>0</v>
      </c>
      <c r="C23">
        <v>10</v>
      </c>
      <c r="D23">
        <f>IF(B23=0,0,(B23-$J$12)/$I$12)*1</f>
        <v>0</v>
      </c>
      <c r="E23">
        <f>2.34*D23/1000</f>
        <v>0</v>
      </c>
      <c r="F23" s="3" t="s">
        <v>63</v>
      </c>
      <c r="G23">
        <v>0</v>
      </c>
      <c r="H23">
        <v>10</v>
      </c>
      <c r="I23">
        <f>IF(G23=0,0,(G23-$J$12)/$I$12)*1</f>
        <v>0</v>
      </c>
      <c r="J23">
        <f>2.34*I23/1000</f>
        <v>0</v>
      </c>
      <c r="K23" s="3" t="s">
        <v>63</v>
      </c>
      <c r="L23">
        <v>0</v>
      </c>
      <c r="M23">
        <v>10</v>
      </c>
      <c r="N23">
        <f>IF(L23=0,0,(L23-$J$12)/$I$12)*1</f>
        <v>0</v>
      </c>
      <c r="O23">
        <f>2.34*N23/1000</f>
        <v>0</v>
      </c>
      <c r="P23" s="3" t="s">
        <v>63</v>
      </c>
      <c r="Q23">
        <v>0</v>
      </c>
      <c r="R23">
        <v>10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69</v>
      </c>
      <c r="C24" s="3"/>
      <c r="D24" s="3">
        <f>SUM(D16:D23)</f>
        <v>2916.7538294168412</v>
      </c>
      <c r="E24" s="3">
        <f>SUM(E16:E23)</f>
        <v>3.1209265974760201</v>
      </c>
      <c r="G24" s="3" t="s">
        <v>69</v>
      </c>
      <c r="H24" s="3"/>
      <c r="I24" s="3">
        <f>SUM(I16:I23)</f>
        <v>2647.004360418232</v>
      </c>
      <c r="J24" s="3">
        <f>SUM(J16:J23)</f>
        <v>2.8322946656475083</v>
      </c>
      <c r="L24" s="3" t="s">
        <v>69</v>
      </c>
      <c r="M24" s="3"/>
      <c r="N24" s="3">
        <f>SUM(N16:N23)</f>
        <v>2747.4429924921824</v>
      </c>
      <c r="O24" s="3">
        <f>SUM(O16:O23)</f>
        <v>2.9397640019666356</v>
      </c>
      <c r="Q24" s="3" t="s">
        <v>69</v>
      </c>
      <c r="R24" s="3"/>
      <c r="S24" s="3">
        <f>SUM(S16:S23)</f>
        <v>2933.5619270292163</v>
      </c>
      <c r="T24" s="3">
        <f>SUM(T16:T23)</f>
        <v>3.1389112619212614</v>
      </c>
    </row>
    <row r="26" spans="1:20" x14ac:dyDescent="0.25">
      <c r="A26" s="17" t="s">
        <v>64</v>
      </c>
      <c r="B26" s="3" t="s">
        <v>34</v>
      </c>
      <c r="C26" s="3"/>
      <c r="F26" s="17" t="s">
        <v>64</v>
      </c>
      <c r="G26" s="3" t="s">
        <v>35</v>
      </c>
      <c r="H26" s="3"/>
      <c r="K26" s="17" t="s">
        <v>64</v>
      </c>
      <c r="L26" s="3" t="s">
        <v>36</v>
      </c>
      <c r="M26" s="3"/>
      <c r="P26" s="17" t="s">
        <v>64</v>
      </c>
      <c r="Q26" s="3" t="s">
        <v>37</v>
      </c>
      <c r="R26" s="3"/>
    </row>
    <row r="27" spans="1:20" x14ac:dyDescent="0.25">
      <c r="A27" s="17" t="s">
        <v>51</v>
      </c>
      <c r="B27" s="3" t="s">
        <v>65</v>
      </c>
      <c r="C27" s="3" t="s">
        <v>66</v>
      </c>
      <c r="D27" s="3" t="s">
        <v>67</v>
      </c>
      <c r="E27" s="3" t="s">
        <v>68</v>
      </c>
      <c r="F27" s="17" t="s">
        <v>51</v>
      </c>
      <c r="G27" s="3" t="s">
        <v>65</v>
      </c>
      <c r="H27" s="3" t="s">
        <v>66</v>
      </c>
      <c r="I27" s="3" t="s">
        <v>67</v>
      </c>
      <c r="J27" s="3" t="s">
        <v>68</v>
      </c>
      <c r="K27" s="17" t="s">
        <v>51</v>
      </c>
      <c r="L27" s="3" t="s">
        <v>65</v>
      </c>
      <c r="M27" s="3" t="s">
        <v>66</v>
      </c>
      <c r="N27" s="3" t="s">
        <v>67</v>
      </c>
      <c r="O27" s="3" t="s">
        <v>68</v>
      </c>
      <c r="P27" s="17" t="s">
        <v>51</v>
      </c>
      <c r="Q27" s="3" t="s">
        <v>65</v>
      </c>
      <c r="R27" s="3" t="s">
        <v>66</v>
      </c>
      <c r="S27" s="3" t="s">
        <v>67</v>
      </c>
      <c r="T27" s="3" t="s">
        <v>68</v>
      </c>
    </row>
    <row r="28" spans="1:20" x14ac:dyDescent="0.25">
      <c r="A28" s="3" t="s">
        <v>56</v>
      </c>
      <c r="B28">
        <v>11257</v>
      </c>
      <c r="C28">
        <v>10</v>
      </c>
      <c r="D28">
        <f>IF(B28=0,0,(B28-$J$5)/$I$5)*C28</f>
        <v>4058.88455985776</v>
      </c>
      <c r="E28">
        <f>1.07*D28/1000</f>
        <v>4.343006479047804</v>
      </c>
      <c r="F28" s="3" t="s">
        <v>56</v>
      </c>
      <c r="G28">
        <v>11152</v>
      </c>
      <c r="H28">
        <v>10</v>
      </c>
      <c r="I28">
        <f>IF(G28=0,0,(G28-$J$5)/$I$5)*H28</f>
        <v>4015.8394318260666</v>
      </c>
      <c r="J28">
        <f>1.07*I28/1000</f>
        <v>4.2969481920538923</v>
      </c>
      <c r="K28" s="3" t="s">
        <v>56</v>
      </c>
      <c r="L28">
        <v>7282</v>
      </c>
      <c r="M28">
        <v>10</v>
      </c>
      <c r="N28">
        <f>IF(L28=0,0,(L28-$J$5)/$I$5)*M28</f>
        <v>2429.3189986579564</v>
      </c>
      <c r="O28">
        <f>1.07*N28/1000</f>
        <v>2.5993713285640134</v>
      </c>
      <c r="P28" s="3" t="s">
        <v>56</v>
      </c>
      <c r="Q28">
        <v>8492</v>
      </c>
      <c r="R28">
        <v>10</v>
      </c>
      <c r="S28">
        <f>IF(Q28=0,0,(Q28-$J$5)/$I$5)*R28</f>
        <v>2925.3628550231797</v>
      </c>
      <c r="T28">
        <f>1.07*S28/1000</f>
        <v>3.1301382548748022</v>
      </c>
    </row>
    <row r="29" spans="1:20" x14ac:dyDescent="0.25">
      <c r="A29" s="3" t="s">
        <v>57</v>
      </c>
      <c r="B29">
        <v>10110</v>
      </c>
      <c r="C29">
        <v>10</v>
      </c>
      <c r="D29">
        <f>IF(B29=0,0,(B29-$J$6)/$I$6)*C29</f>
        <v>2116.5774724209077</v>
      </c>
      <c r="E29">
        <f>1.51*D29/1000</f>
        <v>3.1960319833555708</v>
      </c>
      <c r="F29" s="3" t="s">
        <v>57</v>
      </c>
      <c r="G29">
        <v>2074</v>
      </c>
      <c r="H29">
        <v>10</v>
      </c>
      <c r="I29">
        <f>IF(G29=0,0,(G29-$J$6)/$I$6)*H29</f>
        <v>112.37186262603359</v>
      </c>
      <c r="J29">
        <f>1.51*I29/1000</f>
        <v>0.16968151256531072</v>
      </c>
      <c r="K29" s="3" t="s">
        <v>57</v>
      </c>
      <c r="L29">
        <v>4033</v>
      </c>
      <c r="M29">
        <v>10</v>
      </c>
      <c r="N29">
        <f>IF(L29=0,0,(L29-$J$6)/$I$6)*M29</f>
        <v>600.95309577538137</v>
      </c>
      <c r="O29">
        <f>1.51*N29/1000</f>
        <v>0.90743917462082579</v>
      </c>
      <c r="P29" s="3" t="s">
        <v>57</v>
      </c>
      <c r="Q29">
        <v>3266</v>
      </c>
      <c r="R29">
        <v>10</v>
      </c>
      <c r="S29">
        <f>IF(Q29=0,0,(Q29-$J$6)/$I$6)*R29</f>
        <v>409.66069872303336</v>
      </c>
      <c r="T29">
        <f>1.51*S29/1000</f>
        <v>0.61858765507178048</v>
      </c>
    </row>
    <row r="30" spans="1:20" x14ac:dyDescent="0.25">
      <c r="A30" s="3" t="s">
        <v>58</v>
      </c>
      <c r="B30">
        <v>126</v>
      </c>
      <c r="C30">
        <v>10</v>
      </c>
      <c r="D30">
        <v>0</v>
      </c>
      <c r="E30">
        <f>1.82*D30/1000</f>
        <v>0</v>
      </c>
      <c r="F30" s="3" t="s">
        <v>58</v>
      </c>
      <c r="G30">
        <v>0</v>
      </c>
      <c r="H30">
        <v>10</v>
      </c>
      <c r="I30">
        <f>IF(G30=0,0,(G30-$J$7)/$I$7)*H30</f>
        <v>0</v>
      </c>
      <c r="J30">
        <f>1.82*I30/1000</f>
        <v>0</v>
      </c>
      <c r="K30" s="3" t="s">
        <v>58</v>
      </c>
      <c r="L30">
        <v>116</v>
      </c>
      <c r="M30">
        <v>10</v>
      </c>
      <c r="N30">
        <v>0</v>
      </c>
      <c r="O30">
        <f>1.82*N30/1000</f>
        <v>0</v>
      </c>
      <c r="P30" s="3" t="s">
        <v>58</v>
      </c>
      <c r="Q30">
        <v>0</v>
      </c>
      <c r="R30">
        <v>10</v>
      </c>
      <c r="S30">
        <f>IF(Q30=0,0,(Q30-$J$7)/$I$7)*R30</f>
        <v>0</v>
      </c>
      <c r="T30">
        <f>1.82*S30/1000</f>
        <v>0</v>
      </c>
    </row>
    <row r="31" spans="1:20" x14ac:dyDescent="0.25">
      <c r="A31" s="3" t="s">
        <v>59</v>
      </c>
      <c r="B31">
        <v>23846</v>
      </c>
      <c r="C31">
        <v>10</v>
      </c>
      <c r="D31">
        <f>IF(B31=0,0,(B31-$J$8)/$I$8)*C31</f>
        <v>4024.929370955766</v>
      </c>
      <c r="E31">
        <f>1.82*D31/1000</f>
        <v>7.3253714551394946</v>
      </c>
      <c r="F31" s="3" t="s">
        <v>59</v>
      </c>
      <c r="G31">
        <v>7648</v>
      </c>
      <c r="H31">
        <v>10</v>
      </c>
      <c r="I31">
        <f>IF(G31=0,0,(G31-$J$8)/$I$8)*H31</f>
        <v>1094.0492714911311</v>
      </c>
      <c r="J31">
        <f>1.82*I31/1000</f>
        <v>1.9911696741138587</v>
      </c>
      <c r="K31" s="3" t="s">
        <v>59</v>
      </c>
      <c r="L31">
        <v>39116</v>
      </c>
      <c r="M31">
        <v>10</v>
      </c>
      <c r="N31">
        <f>IF(L31=0,0,(L31-$J$8)/$I$8)*M31</f>
        <v>6787.8963495225635</v>
      </c>
      <c r="O31">
        <f>1.82*N31/1000</f>
        <v>12.353971356131066</v>
      </c>
      <c r="P31" s="3" t="s">
        <v>59</v>
      </c>
      <c r="Q31">
        <v>16643</v>
      </c>
      <c r="R31">
        <v>10</v>
      </c>
      <c r="S31">
        <f>IF(Q31=0,0,(Q31-$J$8)/$I$8)*R31</f>
        <v>2721.6123345041201</v>
      </c>
      <c r="T31">
        <f>1.82*S31/1000</f>
        <v>4.9533344487974995</v>
      </c>
    </row>
    <row r="32" spans="1:20" x14ac:dyDescent="0.25">
      <c r="A32" s="3" t="s">
        <v>60</v>
      </c>
      <c r="B32">
        <v>188</v>
      </c>
      <c r="C32">
        <v>10</v>
      </c>
      <c r="D32">
        <v>0</v>
      </c>
      <c r="E32">
        <f>2.04*D32/1000</f>
        <v>0</v>
      </c>
      <c r="F32" s="3" t="s">
        <v>60</v>
      </c>
      <c r="G32">
        <v>0</v>
      </c>
      <c r="H32">
        <v>10</v>
      </c>
      <c r="I32">
        <f>IF(G32=0,0,(G32-$J$9)/$I$9)*H32</f>
        <v>0</v>
      </c>
      <c r="J32">
        <f>2.04*I32/1000</f>
        <v>0</v>
      </c>
      <c r="K32" s="3" t="s">
        <v>60</v>
      </c>
      <c r="L32">
        <v>252</v>
      </c>
      <c r="M32">
        <v>10</v>
      </c>
      <c r="N32">
        <v>0</v>
      </c>
      <c r="O32">
        <f>2.04*N32/1000</f>
        <v>0</v>
      </c>
      <c r="P32" s="3" t="s">
        <v>60</v>
      </c>
      <c r="Q32">
        <v>0</v>
      </c>
      <c r="R32">
        <v>10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61</v>
      </c>
      <c r="B33">
        <v>99</v>
      </c>
      <c r="C33">
        <v>10</v>
      </c>
      <c r="D33">
        <v>0</v>
      </c>
      <c r="E33">
        <f>2.04*D33/1000</f>
        <v>0</v>
      </c>
      <c r="F33" s="3" t="s">
        <v>61</v>
      </c>
      <c r="G33">
        <v>0</v>
      </c>
      <c r="H33">
        <v>10</v>
      </c>
      <c r="I33">
        <f>IF(G33=0,0,(G33-$J$10)/$I$10)*H33</f>
        <v>0</v>
      </c>
      <c r="J33">
        <f>2.04*I33/1000</f>
        <v>0</v>
      </c>
      <c r="K33" s="3" t="s">
        <v>61</v>
      </c>
      <c r="L33">
        <v>79</v>
      </c>
      <c r="M33">
        <v>10</v>
      </c>
      <c r="N33">
        <v>0</v>
      </c>
      <c r="O33">
        <f>2.04*N33/1000</f>
        <v>0</v>
      </c>
      <c r="P33" s="3" t="s">
        <v>61</v>
      </c>
      <c r="Q33">
        <v>52</v>
      </c>
      <c r="R33">
        <v>10</v>
      </c>
      <c r="S33">
        <v>0</v>
      </c>
      <c r="T33">
        <f>2.04*S33/1000</f>
        <v>0</v>
      </c>
    </row>
    <row r="34" spans="1:20" x14ac:dyDescent="0.25">
      <c r="A34" s="3" t="s">
        <v>62</v>
      </c>
      <c r="B34">
        <v>73</v>
      </c>
      <c r="C34">
        <v>10</v>
      </c>
      <c r="D34">
        <v>0</v>
      </c>
      <c r="E34">
        <f>2.21*D34/1000</f>
        <v>0</v>
      </c>
      <c r="F34" s="3" t="s">
        <v>62</v>
      </c>
      <c r="G34">
        <v>0</v>
      </c>
      <c r="H34">
        <v>10</v>
      </c>
      <c r="I34">
        <f>IF(G34=0,0,(G34-$J$11)/$I$11)*1</f>
        <v>0</v>
      </c>
      <c r="J34">
        <f>2.21*I34/1000</f>
        <v>0</v>
      </c>
      <c r="K34" s="3" t="s">
        <v>62</v>
      </c>
      <c r="L34">
        <v>119</v>
      </c>
      <c r="M34">
        <v>10</v>
      </c>
      <c r="N34">
        <v>0</v>
      </c>
      <c r="O34">
        <f>2.21*N34/1000</f>
        <v>0</v>
      </c>
      <c r="P34" s="3" t="s">
        <v>62</v>
      </c>
      <c r="Q34">
        <v>0</v>
      </c>
      <c r="R34">
        <v>10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63</v>
      </c>
      <c r="B35">
        <v>0</v>
      </c>
      <c r="C35">
        <v>10</v>
      </c>
      <c r="D35">
        <f>IF(B35=0,0,(B35-$J$12)/$I$12)*1</f>
        <v>0</v>
      </c>
      <c r="E35">
        <f>2.34*D35/1000</f>
        <v>0</v>
      </c>
      <c r="F35" s="3" t="s">
        <v>63</v>
      </c>
      <c r="G35">
        <v>0</v>
      </c>
      <c r="H35">
        <v>10</v>
      </c>
      <c r="I35">
        <f>IF(G35=0,0,(G35-$J$12)/$I$12)*1</f>
        <v>0</v>
      </c>
      <c r="J35">
        <f>2.34*I35/1000</f>
        <v>0</v>
      </c>
      <c r="K35" s="3" t="s">
        <v>63</v>
      </c>
      <c r="L35">
        <v>0</v>
      </c>
      <c r="M35">
        <v>10</v>
      </c>
      <c r="N35">
        <f>IF(L35=0,0,(L35-$J$12)/$I$12)*1</f>
        <v>0</v>
      </c>
      <c r="O35">
        <f>2.34*N35/1000</f>
        <v>0</v>
      </c>
      <c r="P35" s="3" t="s">
        <v>63</v>
      </c>
      <c r="Q35">
        <v>0</v>
      </c>
      <c r="R35">
        <v>10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69</v>
      </c>
      <c r="C36" s="3"/>
      <c r="D36" s="3">
        <f>SUM(D28:D35)</f>
        <v>10200.391403234433</v>
      </c>
      <c r="E36" s="3">
        <f>SUM(E28:E35)</f>
        <v>14.864409917542869</v>
      </c>
      <c r="G36" s="3" t="s">
        <v>69</v>
      </c>
      <c r="H36" s="3"/>
      <c r="I36" s="3">
        <f>SUM(I28:I35)</f>
        <v>5222.260565943232</v>
      </c>
      <c r="J36" s="3">
        <f>SUM(J28:J35)</f>
        <v>6.4577993787330623</v>
      </c>
      <c r="L36" s="3" t="s">
        <v>69</v>
      </c>
      <c r="M36" s="3"/>
      <c r="N36" s="3">
        <f>SUM(N28:N35)</f>
        <v>9818.1684439559012</v>
      </c>
      <c r="O36" s="3">
        <f>SUM(O28:O35)</f>
        <v>15.860781859315905</v>
      </c>
      <c r="Q36" s="3" t="s">
        <v>69</v>
      </c>
      <c r="R36" s="3"/>
      <c r="S36" s="3">
        <f>SUM(S28:S35)</f>
        <v>6056.6358882503337</v>
      </c>
      <c r="T36" s="3">
        <f>SUM(T28:T35)</f>
        <v>8.7020603587440828</v>
      </c>
    </row>
    <row r="38" spans="1:20" x14ac:dyDescent="0.25">
      <c r="A38" s="17" t="s">
        <v>64</v>
      </c>
      <c r="B38" s="3" t="s">
        <v>38</v>
      </c>
      <c r="C38" s="3"/>
      <c r="F38" s="17" t="s">
        <v>64</v>
      </c>
      <c r="G38" s="3" t="s">
        <v>39</v>
      </c>
      <c r="H38" s="3"/>
      <c r="K38" s="17" t="s">
        <v>64</v>
      </c>
      <c r="L38" s="3" t="s">
        <v>40</v>
      </c>
      <c r="M38" s="3"/>
      <c r="P38" s="17" t="s">
        <v>64</v>
      </c>
      <c r="Q38" s="3" t="s">
        <v>41</v>
      </c>
      <c r="R38" s="3"/>
    </row>
    <row r="39" spans="1:20" x14ac:dyDescent="0.25">
      <c r="A39" s="17" t="s">
        <v>51</v>
      </c>
      <c r="B39" s="3" t="s">
        <v>65</v>
      </c>
      <c r="C39" s="3" t="s">
        <v>66</v>
      </c>
      <c r="D39" s="3" t="s">
        <v>67</v>
      </c>
      <c r="E39" s="3" t="s">
        <v>68</v>
      </c>
      <c r="F39" s="17" t="s">
        <v>51</v>
      </c>
      <c r="G39" s="3" t="s">
        <v>65</v>
      </c>
      <c r="H39" s="3" t="s">
        <v>66</v>
      </c>
      <c r="I39" s="3" t="s">
        <v>67</v>
      </c>
      <c r="J39" s="3" t="s">
        <v>68</v>
      </c>
      <c r="K39" s="17" t="s">
        <v>51</v>
      </c>
      <c r="L39" s="3" t="s">
        <v>65</v>
      </c>
      <c r="M39" s="3" t="s">
        <v>66</v>
      </c>
      <c r="N39" s="3" t="s">
        <v>67</v>
      </c>
      <c r="O39" s="3" t="s">
        <v>68</v>
      </c>
      <c r="P39" s="17" t="s">
        <v>51</v>
      </c>
      <c r="Q39" s="3" t="s">
        <v>65</v>
      </c>
      <c r="R39" s="3" t="s">
        <v>66</v>
      </c>
      <c r="S39" s="3" t="s">
        <v>67</v>
      </c>
      <c r="T39" s="3" t="s">
        <v>68</v>
      </c>
    </row>
    <row r="40" spans="1:20" x14ac:dyDescent="0.25">
      <c r="A40" s="3" t="s">
        <v>56</v>
      </c>
      <c r="B40">
        <v>14941</v>
      </c>
      <c r="C40">
        <v>10</v>
      </c>
      <c r="D40">
        <f>IF(B40=0,0,(B40-$J$5)/$I$5)*C40</f>
        <v>5569.1536233697288</v>
      </c>
      <c r="E40">
        <f>1.07*D40/1000</f>
        <v>5.9589943770056104</v>
      </c>
      <c r="F40" s="3" t="s">
        <v>56</v>
      </c>
      <c r="G40">
        <v>5800</v>
      </c>
      <c r="H40">
        <v>10</v>
      </c>
      <c r="I40">
        <f>IF(G40=0,0,(G40-$J$5)/$I$5)*H40</f>
        <v>1821.7677630106332</v>
      </c>
      <c r="J40">
        <f>1.07*I40/1000</f>
        <v>1.9492915064213776</v>
      </c>
      <c r="K40" s="3" t="s">
        <v>56</v>
      </c>
      <c r="L40">
        <v>17687</v>
      </c>
      <c r="M40">
        <v>10</v>
      </c>
      <c r="N40">
        <f>IF(L40=0,0,(L40-$J$5)/$I$5)*M40</f>
        <v>6694.8862097985739</v>
      </c>
      <c r="O40">
        <f>1.07*N40/1000</f>
        <v>7.1635282444844739</v>
      </c>
      <c r="P40" s="3" t="s">
        <v>56</v>
      </c>
      <c r="Q40">
        <v>25287</v>
      </c>
      <c r="R40">
        <v>10</v>
      </c>
      <c r="S40">
        <f>IF(Q40=0,0,(Q40-$J$5)/$I$5)*R40</f>
        <v>9810.5335720925377</v>
      </c>
      <c r="T40">
        <f>1.07*S40/1000</f>
        <v>10.497270922139016</v>
      </c>
    </row>
    <row r="41" spans="1:20" x14ac:dyDescent="0.25">
      <c r="A41" s="3" t="s">
        <v>57</v>
      </c>
      <c r="B41">
        <v>6199</v>
      </c>
      <c r="C41">
        <v>10</v>
      </c>
      <c r="D41">
        <f>IF(B41=0,0,(B41-$J$6)/$I$6)*C41</f>
        <v>1141.160829824124</v>
      </c>
      <c r="E41">
        <f>1.51*D41/1000</f>
        <v>1.7231528530344271</v>
      </c>
      <c r="F41" s="3" t="s">
        <v>57</v>
      </c>
      <c r="G41">
        <v>834</v>
      </c>
      <c r="H41">
        <v>10</v>
      </c>
      <c r="I41">
        <v>0</v>
      </c>
      <c r="J41">
        <f>1.51*I41/1000</f>
        <v>0</v>
      </c>
      <c r="K41" s="3" t="s">
        <v>57</v>
      </c>
      <c r="L41">
        <v>14273</v>
      </c>
      <c r="M41">
        <v>10</v>
      </c>
      <c r="N41">
        <f>IF(L41=0,0,(L41-$J$6)/$I$6)*M41</f>
        <v>3154.8437682865197</v>
      </c>
      <c r="O41">
        <f>1.51*N41/1000</f>
        <v>4.7638140901126445</v>
      </c>
      <c r="P41" s="3" t="s">
        <v>57</v>
      </c>
      <c r="Q41">
        <v>19031</v>
      </c>
      <c r="R41">
        <v>10</v>
      </c>
      <c r="S41">
        <f>IF(Q41=0,0,(Q41-$J$6)/$I$6)*R41</f>
        <v>4341.5050788146455</v>
      </c>
      <c r="T41">
        <f>1.51*S41/1000</f>
        <v>6.5556726690101152</v>
      </c>
    </row>
    <row r="42" spans="1:20" x14ac:dyDescent="0.25">
      <c r="A42" s="3" t="s">
        <v>58</v>
      </c>
      <c r="B42">
        <v>435</v>
      </c>
      <c r="C42">
        <v>10</v>
      </c>
      <c r="D42">
        <v>0</v>
      </c>
      <c r="E42">
        <f>1.82*D42/1000</f>
        <v>0</v>
      </c>
      <c r="F42" s="3" t="s">
        <v>58</v>
      </c>
      <c r="G42">
        <v>0</v>
      </c>
      <c r="H42">
        <v>10</v>
      </c>
      <c r="I42">
        <f>IF(G42=0,0,(G42-$J$7)/$I$7)*H42</f>
        <v>0</v>
      </c>
      <c r="J42">
        <f>1.82*I42/1000</f>
        <v>0</v>
      </c>
      <c r="K42" s="3" t="s">
        <v>58</v>
      </c>
      <c r="L42">
        <v>160</v>
      </c>
      <c r="M42">
        <v>10</v>
      </c>
      <c r="N42">
        <v>0</v>
      </c>
      <c r="O42">
        <f>1.82*N42/1000</f>
        <v>0</v>
      </c>
      <c r="P42" s="3" t="s">
        <v>58</v>
      </c>
      <c r="Q42">
        <v>248</v>
      </c>
      <c r="R42">
        <v>10</v>
      </c>
      <c r="S42">
        <v>0</v>
      </c>
      <c r="T42">
        <f>1.82*S42/1000</f>
        <v>0</v>
      </c>
    </row>
    <row r="43" spans="1:20" x14ac:dyDescent="0.25">
      <c r="A43" s="3" t="s">
        <v>59</v>
      </c>
      <c r="B43">
        <v>24020</v>
      </c>
      <c r="C43">
        <v>10</v>
      </c>
      <c r="D43">
        <f>IF(B43=0,0,(B43-$J$8)/$I$8)*C43</f>
        <v>4056.4130811241107</v>
      </c>
      <c r="E43">
        <f>1.82*D43/1000</f>
        <v>7.3826718076458819</v>
      </c>
      <c r="F43" s="3" t="s">
        <v>59</v>
      </c>
      <c r="G43">
        <v>1570</v>
      </c>
      <c r="H43">
        <v>10</v>
      </c>
      <c r="I43">
        <v>0</v>
      </c>
      <c r="J43">
        <f>1.82*I43/1000</f>
        <v>0</v>
      </c>
      <c r="K43" s="3" t="s">
        <v>59</v>
      </c>
      <c r="L43">
        <v>2939</v>
      </c>
      <c r="M43">
        <v>10</v>
      </c>
      <c r="N43">
        <f>IF(L43=0,0,(L43-$J$8)/$I$8)*M43</f>
        <v>241.9987474524246</v>
      </c>
      <c r="O43">
        <f>1.82*N43/1000</f>
        <v>0.44043772036341278</v>
      </c>
      <c r="P43" s="3" t="s">
        <v>59</v>
      </c>
      <c r="Q43">
        <v>8431</v>
      </c>
      <c r="R43">
        <v>10</v>
      </c>
      <c r="S43">
        <f>IF(Q43=0,0,(Q43-$J$8)/$I$8)*R43</f>
        <v>1235.7259672486821</v>
      </c>
      <c r="T43">
        <f>1.82*S43/1000</f>
        <v>2.2490212603926016</v>
      </c>
    </row>
    <row r="44" spans="1:20" x14ac:dyDescent="0.25">
      <c r="A44" s="3" t="s">
        <v>60</v>
      </c>
      <c r="B44">
        <v>643</v>
      </c>
      <c r="C44">
        <v>10</v>
      </c>
      <c r="D44">
        <v>0</v>
      </c>
      <c r="E44">
        <f>2.04*D44/1000</f>
        <v>0</v>
      </c>
      <c r="F44" s="3" t="s">
        <v>60</v>
      </c>
      <c r="G44">
        <v>0</v>
      </c>
      <c r="H44">
        <v>10</v>
      </c>
      <c r="I44">
        <f>IF(G44=0,0,(G44-$J$9)/$I$9)*H44</f>
        <v>0</v>
      </c>
      <c r="J44">
        <f>2.04*I44/1000</f>
        <v>0</v>
      </c>
      <c r="K44" s="3" t="s">
        <v>60</v>
      </c>
      <c r="L44">
        <v>349</v>
      </c>
      <c r="M44">
        <v>10</v>
      </c>
      <c r="N44">
        <v>0</v>
      </c>
      <c r="O44">
        <f>2.04*N44/1000</f>
        <v>0</v>
      </c>
      <c r="P44" s="3" t="s">
        <v>60</v>
      </c>
      <c r="Q44">
        <v>548</v>
      </c>
      <c r="R44">
        <v>10</v>
      </c>
      <c r="S44">
        <v>0</v>
      </c>
      <c r="T44">
        <f>2.04*S44/1000</f>
        <v>0</v>
      </c>
    </row>
    <row r="45" spans="1:20" x14ac:dyDescent="0.25">
      <c r="A45" s="3" t="s">
        <v>61</v>
      </c>
      <c r="B45">
        <v>620</v>
      </c>
      <c r="C45">
        <v>10</v>
      </c>
      <c r="D45">
        <v>0</v>
      </c>
      <c r="E45">
        <f>2.04*D45/1000</f>
        <v>0</v>
      </c>
      <c r="F45" s="3" t="s">
        <v>61</v>
      </c>
      <c r="G45">
        <v>0</v>
      </c>
      <c r="H45">
        <v>10</v>
      </c>
      <c r="I45">
        <f>IF(G45=0,0,(G45-$J$10)/$I$10)*H45</f>
        <v>0</v>
      </c>
      <c r="J45">
        <f>2.04*I45/1000</f>
        <v>0</v>
      </c>
      <c r="K45" s="3" t="s">
        <v>61</v>
      </c>
      <c r="L45">
        <v>0</v>
      </c>
      <c r="M45">
        <v>10</v>
      </c>
      <c r="N45">
        <f>IF(L45=0,0,(L45-$J$10)/$I$10)*M45</f>
        <v>0</v>
      </c>
      <c r="O45">
        <f>2.04*N45/1000</f>
        <v>0</v>
      </c>
      <c r="P45" s="3" t="s">
        <v>61</v>
      </c>
      <c r="Q45">
        <v>0</v>
      </c>
      <c r="R45">
        <v>10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62</v>
      </c>
      <c r="B46">
        <v>108</v>
      </c>
      <c r="C46">
        <v>10</v>
      </c>
      <c r="D46">
        <v>0</v>
      </c>
      <c r="E46">
        <f>2.21*D46/1000</f>
        <v>0</v>
      </c>
      <c r="F46" s="3" t="s">
        <v>62</v>
      </c>
      <c r="G46">
        <v>0</v>
      </c>
      <c r="H46">
        <v>10</v>
      </c>
      <c r="I46">
        <f>IF(G46=0,0,(G46-$J$11)/$I$11)*1</f>
        <v>0</v>
      </c>
      <c r="J46">
        <f>2.21*I46/1000</f>
        <v>0</v>
      </c>
      <c r="K46" s="3" t="s">
        <v>62</v>
      </c>
      <c r="L46">
        <v>0</v>
      </c>
      <c r="M46">
        <v>10</v>
      </c>
      <c r="N46">
        <f>IF(L46=0,0,(L46-$J$11)/$I$11)*1</f>
        <v>0</v>
      </c>
      <c r="O46">
        <f>2.21*N46/1000</f>
        <v>0</v>
      </c>
      <c r="P46" s="3" t="s">
        <v>62</v>
      </c>
      <c r="Q46">
        <v>0</v>
      </c>
      <c r="R46">
        <v>10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63</v>
      </c>
      <c r="B47">
        <v>0</v>
      </c>
      <c r="C47">
        <v>10</v>
      </c>
      <c r="D47">
        <f>IF(B47=0,0,(B47-$J$12)/$I$12)*1</f>
        <v>0</v>
      </c>
      <c r="E47">
        <f>2.34*D47/1000</f>
        <v>0</v>
      </c>
      <c r="F47" s="3" t="s">
        <v>63</v>
      </c>
      <c r="G47">
        <v>0</v>
      </c>
      <c r="H47">
        <v>10</v>
      </c>
      <c r="I47">
        <f>IF(G47=0,0,(G47-$J$12)/$I$12)*1</f>
        <v>0</v>
      </c>
      <c r="J47">
        <f>2.34*I47/1000</f>
        <v>0</v>
      </c>
      <c r="K47" s="3" t="s">
        <v>63</v>
      </c>
      <c r="L47">
        <v>0</v>
      </c>
      <c r="M47">
        <v>10</v>
      </c>
      <c r="N47">
        <f>IF(L47=0,0,(L47-$J$12)/$I$12)*1</f>
        <v>0</v>
      </c>
      <c r="O47">
        <f>2.34*N47/1000</f>
        <v>0</v>
      </c>
      <c r="P47" s="3" t="s">
        <v>63</v>
      </c>
      <c r="Q47">
        <v>0</v>
      </c>
      <c r="R47">
        <v>10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69</v>
      </c>
      <c r="C48" s="3"/>
      <c r="D48" s="3">
        <f>SUM(D40:D47)</f>
        <v>10766.727534317963</v>
      </c>
      <c r="E48" s="3">
        <f>SUM(E40:E47)</f>
        <v>15.064819037685918</v>
      </c>
      <c r="F48" s="3"/>
      <c r="G48" s="3" t="s">
        <v>69</v>
      </c>
      <c r="H48" s="3"/>
      <c r="I48" s="3">
        <f>SUM(I40:I47)</f>
        <v>1821.7677630106332</v>
      </c>
      <c r="J48" s="3">
        <f>SUM(J40:J47)</f>
        <v>1.9492915064213776</v>
      </c>
      <c r="K48" s="3"/>
      <c r="L48" s="3" t="s">
        <v>69</v>
      </c>
      <c r="M48" s="3"/>
      <c r="N48" s="3">
        <f>SUM(N40:N47)</f>
        <v>10091.728725537518</v>
      </c>
      <c r="O48" s="3">
        <f>SUM(O40:O47)</f>
        <v>12.36778005496053</v>
      </c>
      <c r="P48" s="3"/>
      <c r="Q48" s="3" t="s">
        <v>69</v>
      </c>
      <c r="R48" s="3"/>
      <c r="S48" s="3">
        <f>SUM(S40:S47)</f>
        <v>15387.764618155865</v>
      </c>
      <c r="T48" s="3">
        <f>SUM(T40:T47)</f>
        <v>19.301964851541733</v>
      </c>
    </row>
    <row r="50" spans="1:13" x14ac:dyDescent="0.25">
      <c r="A50" s="17" t="s">
        <v>64</v>
      </c>
      <c r="B50" s="3" t="s">
        <v>42</v>
      </c>
      <c r="C50" s="3"/>
      <c r="F50" s="17" t="s">
        <v>64</v>
      </c>
      <c r="G50" s="3" t="s">
        <v>43</v>
      </c>
      <c r="H50" s="3"/>
      <c r="M50" s="3"/>
    </row>
    <row r="51" spans="1:13" x14ac:dyDescent="0.25">
      <c r="A51" s="17" t="s">
        <v>51</v>
      </c>
      <c r="B51" s="3" t="s">
        <v>65</v>
      </c>
      <c r="C51" s="3" t="s">
        <v>66</v>
      </c>
      <c r="D51" s="3" t="s">
        <v>67</v>
      </c>
      <c r="E51" s="3" t="s">
        <v>68</v>
      </c>
      <c r="F51" s="17" t="s">
        <v>51</v>
      </c>
      <c r="G51" s="3" t="s">
        <v>65</v>
      </c>
      <c r="H51" s="3" t="s">
        <v>66</v>
      </c>
      <c r="I51" s="3" t="s">
        <v>67</v>
      </c>
      <c r="J51" s="3" t="s">
        <v>68</v>
      </c>
      <c r="M51" s="3"/>
    </row>
    <row r="52" spans="1:13" x14ac:dyDescent="0.25">
      <c r="A52" s="3" t="s">
        <v>56</v>
      </c>
      <c r="B52">
        <v>3957</v>
      </c>
      <c r="C52">
        <v>10</v>
      </c>
      <c r="D52">
        <f>IF(B52=0,0,(B52-$J$5)/$I$5)*C52</f>
        <v>1066.2232776543469</v>
      </c>
      <c r="E52">
        <f>1.07*D52/1000</f>
        <v>1.1408589070901511</v>
      </c>
      <c r="F52" s="3" t="s">
        <v>56</v>
      </c>
      <c r="G52">
        <v>6812</v>
      </c>
      <c r="H52">
        <v>10</v>
      </c>
      <c r="I52">
        <f>IF(G52=0,0,(G52-$J$5)/$I$5)*H52</f>
        <v>2236.6408065160927</v>
      </c>
      <c r="J52">
        <f>1.07*I52/1000</f>
        <v>2.3932056629722194</v>
      </c>
    </row>
    <row r="53" spans="1:13" x14ac:dyDescent="0.25">
      <c r="A53" s="3" t="s">
        <v>57</v>
      </c>
      <c r="B53">
        <v>261</v>
      </c>
      <c r="C53">
        <v>10</v>
      </c>
      <c r="D53">
        <v>0</v>
      </c>
      <c r="E53">
        <f>1.51*D53/1000</f>
        <v>0</v>
      </c>
      <c r="F53" s="3" t="s">
        <v>57</v>
      </c>
      <c r="G53">
        <v>332</v>
      </c>
      <c r="H53">
        <v>10</v>
      </c>
      <c r="I53">
        <v>0</v>
      </c>
      <c r="J53">
        <f>1.51*I53/1000</f>
        <v>0</v>
      </c>
    </row>
    <row r="54" spans="1:13" x14ac:dyDescent="0.25">
      <c r="A54" s="3" t="s">
        <v>58</v>
      </c>
      <c r="B54">
        <v>0</v>
      </c>
      <c r="C54">
        <v>10</v>
      </c>
      <c r="D54">
        <f>IF(B54=0,0,(B54-$J$7)/$I$7)*C54</f>
        <v>0</v>
      </c>
      <c r="E54">
        <f>1.82*D54/1000</f>
        <v>0</v>
      </c>
      <c r="F54" s="3" t="s">
        <v>58</v>
      </c>
      <c r="G54">
        <v>0</v>
      </c>
      <c r="H54">
        <v>10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59</v>
      </c>
      <c r="B55">
        <v>0</v>
      </c>
      <c r="C55">
        <v>10</v>
      </c>
      <c r="D55">
        <f>IF(B55=0,0,(B55-$J$8)/$I$8)*C55</f>
        <v>0</v>
      </c>
      <c r="E55">
        <f>1.82*D55/1000</f>
        <v>0</v>
      </c>
      <c r="F55" s="3" t="s">
        <v>59</v>
      </c>
      <c r="G55">
        <v>1032</v>
      </c>
      <c r="H55">
        <v>10</v>
      </c>
      <c r="I55">
        <v>0</v>
      </c>
      <c r="J55">
        <f>1.82*I55/1000</f>
        <v>0</v>
      </c>
    </row>
    <row r="56" spans="1:13" x14ac:dyDescent="0.25">
      <c r="A56" s="3" t="s">
        <v>60</v>
      </c>
      <c r="B56">
        <v>0</v>
      </c>
      <c r="C56">
        <v>10</v>
      </c>
      <c r="D56">
        <f>IF(B56=0,0,(B56-$J$9)/$I$9)*C56</f>
        <v>0</v>
      </c>
      <c r="E56">
        <f>2.04*D56/1000</f>
        <v>0</v>
      </c>
      <c r="F56" s="3" t="s">
        <v>60</v>
      </c>
      <c r="G56">
        <v>0</v>
      </c>
      <c r="H56">
        <v>10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61</v>
      </c>
      <c r="B57">
        <v>0</v>
      </c>
      <c r="C57">
        <v>10</v>
      </c>
      <c r="D57">
        <f>IF(B57=0,0,(B57-$J$10)/$I$10)*C57</f>
        <v>0</v>
      </c>
      <c r="E57">
        <f>2.04*D57/1000</f>
        <v>0</v>
      </c>
      <c r="F57" s="3" t="s">
        <v>61</v>
      </c>
      <c r="G57">
        <v>0</v>
      </c>
      <c r="H57">
        <v>10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62</v>
      </c>
      <c r="B58">
        <v>104</v>
      </c>
      <c r="C58">
        <v>10</v>
      </c>
      <c r="D58">
        <v>0</v>
      </c>
      <c r="E58">
        <f>2.21*D58/1000</f>
        <v>0</v>
      </c>
      <c r="F58" s="3" t="s">
        <v>62</v>
      </c>
      <c r="G58">
        <v>0</v>
      </c>
      <c r="H58">
        <v>10</v>
      </c>
      <c r="I58">
        <f>IF(G58=0,0,(G58-$J$11)/$I$11)*1</f>
        <v>0</v>
      </c>
      <c r="J58">
        <f>2.21*I58/1000</f>
        <v>0</v>
      </c>
    </row>
    <row r="59" spans="1:13" x14ac:dyDescent="0.25">
      <c r="A59" s="3" t="s">
        <v>63</v>
      </c>
      <c r="B59">
        <v>0</v>
      </c>
      <c r="C59">
        <v>10</v>
      </c>
      <c r="D59">
        <f>IF(B59=0,0,(B59-$J$12)/$I$12)*1</f>
        <v>0</v>
      </c>
      <c r="E59">
        <f>2.34*D59/1000</f>
        <v>0</v>
      </c>
      <c r="F59" s="3" t="s">
        <v>63</v>
      </c>
      <c r="G59">
        <v>0</v>
      </c>
      <c r="H59">
        <v>10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69</v>
      </c>
      <c r="C60" s="3"/>
      <c r="D60" s="3">
        <f>SUM(D52:D59)</f>
        <v>1066.2232776543469</v>
      </c>
      <c r="E60" s="3">
        <f>SUM(E52:E59)</f>
        <v>1.1408589070901511</v>
      </c>
      <c r="G60" s="3" t="s">
        <v>69</v>
      </c>
      <c r="H60" s="3"/>
      <c r="I60" s="3">
        <f>SUM(I52:I59)</f>
        <v>2236.6408065160927</v>
      </c>
      <c r="J60" s="3">
        <f>SUM(J52:J59)</f>
        <v>2.3932056629722194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set up</vt:lpstr>
      <vt:lpstr>pH</vt:lpstr>
      <vt:lpstr>TAN</vt:lpstr>
      <vt:lpstr>VFA summary</vt:lpstr>
      <vt:lpstr>VFA day 1</vt:lpstr>
      <vt:lpstr>VFA day 2</vt:lpstr>
      <vt:lpstr>VFA day 3</vt:lpstr>
      <vt:lpstr>VFA day 4</vt:lpstr>
      <vt:lpstr>VFA day 5</vt:lpstr>
      <vt:lpstr>VFA day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2024-10-28T18:57:12Z</dcterms:modified>
</cp:coreProperties>
</file>