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ddl1r22_soton_ac_uk/Documents/"/>
    </mc:Choice>
  </mc:AlternateContent>
  <xr:revisionPtr revIDLastSave="47" documentId="8_{50175F30-A6E0-49DF-BF33-BC0C6CD65616}" xr6:coauthVersionLast="45" xr6:coauthVersionMax="45" xr10:uidLastSave="{BC464517-9B13-4A7B-8079-14801604EADF}"/>
  <bookViews>
    <workbookView xWindow="-110" yWindow="-110" windowWidth="19420" windowHeight="10420" firstSheet="2" activeTab="2" xr2:uid="{00000000-000D-0000-FFFF-FFFF00000000}"/>
  </bookViews>
  <sheets>
    <sheet name="TFNs IPA" sheetId="15" r:id="rId1"/>
    <sheet name="Entropy IPA" sheetId="17" r:id="rId2"/>
    <sheet name="IPA weights" sheetId="18" r:id="rId3"/>
    <sheet name="FAHP IPA" sheetId="16" r:id="rId4"/>
    <sheet name="Bioethanol (2)" sheetId="12" r:id="rId5"/>
    <sheet name="Bioeth M" sheetId="13" r:id="rId6"/>
    <sheet name="Bioethanol" sheetId="10" r:id="rId7"/>
    <sheet name="Bioeth PII" sheetId="11" r:id="rId8"/>
    <sheet name="Desal" sheetId="4" r:id="rId9"/>
    <sheet name="GNH3" sheetId="1" r:id="rId10"/>
    <sheet name="DESAL2" sheetId="5" r:id="rId11"/>
    <sheet name="FAHP" sheetId="3" r:id="rId12"/>
    <sheet name="VIKOR NH3" sheetId="6" r:id="rId13"/>
    <sheet name="PII" sheetId="8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18" l="1"/>
  <c r="D18" i="18"/>
  <c r="D17" i="18"/>
  <c r="J17" i="18" s="1"/>
  <c r="D16" i="18"/>
  <c r="J15" i="18"/>
  <c r="D15" i="18"/>
  <c r="W14" i="18"/>
  <c r="V14" i="18"/>
  <c r="U14" i="18"/>
  <c r="T14" i="18"/>
  <c r="S14" i="18"/>
  <c r="R14" i="18"/>
  <c r="J14" i="18"/>
  <c r="D14" i="18"/>
  <c r="D13" i="18"/>
  <c r="C3" i="18"/>
  <c r="Q14" i="18" s="1"/>
  <c r="C2" i="18"/>
  <c r="L14" i="18" s="1"/>
  <c r="F31" i="17"/>
  <c r="I31" i="17" s="1"/>
  <c r="E31" i="17"/>
  <c r="H31" i="17" s="1"/>
  <c r="D31" i="17"/>
  <c r="G31" i="17" s="1"/>
  <c r="J31" i="17" s="1"/>
  <c r="K31" i="17" s="1"/>
  <c r="L31" i="17" s="1"/>
  <c r="H30" i="17"/>
  <c r="F30" i="17"/>
  <c r="I30" i="17" s="1"/>
  <c r="E30" i="17"/>
  <c r="D30" i="17"/>
  <c r="G30" i="17" s="1"/>
  <c r="F29" i="17"/>
  <c r="I29" i="17" s="1"/>
  <c r="E29" i="17"/>
  <c r="H29" i="17" s="1"/>
  <c r="D29" i="17"/>
  <c r="G29" i="17" s="1"/>
  <c r="J29" i="17" s="1"/>
  <c r="H28" i="17"/>
  <c r="G28" i="17"/>
  <c r="F28" i="17"/>
  <c r="I28" i="17" s="1"/>
  <c r="E28" i="17"/>
  <c r="D28" i="17"/>
  <c r="I27" i="17"/>
  <c r="H27" i="17"/>
  <c r="F27" i="17"/>
  <c r="E27" i="17"/>
  <c r="D27" i="17"/>
  <c r="G27" i="17" s="1"/>
  <c r="J27" i="17" s="1"/>
  <c r="H26" i="17"/>
  <c r="F26" i="17"/>
  <c r="I26" i="17" s="1"/>
  <c r="E26" i="17"/>
  <c r="D26" i="17"/>
  <c r="G26" i="17" s="1"/>
  <c r="J26" i="17" s="1"/>
  <c r="F25" i="17"/>
  <c r="I25" i="17" s="1"/>
  <c r="E25" i="17"/>
  <c r="H25" i="17" s="1"/>
  <c r="D25" i="17"/>
  <c r="G25" i="17" s="1"/>
  <c r="J25" i="17" s="1"/>
  <c r="K25" i="17" s="1"/>
  <c r="L25" i="17" s="1"/>
  <c r="H24" i="17"/>
  <c r="G24" i="17"/>
  <c r="J24" i="17" s="1"/>
  <c r="F24" i="17"/>
  <c r="I24" i="17" s="1"/>
  <c r="E24" i="17"/>
  <c r="D24" i="17"/>
  <c r="I23" i="17"/>
  <c r="H23" i="17"/>
  <c r="F23" i="17"/>
  <c r="E23" i="17"/>
  <c r="D23" i="17"/>
  <c r="G23" i="17" s="1"/>
  <c r="J23" i="17" s="1"/>
  <c r="H22" i="17"/>
  <c r="F22" i="17"/>
  <c r="I22" i="17" s="1"/>
  <c r="E22" i="17"/>
  <c r="D22" i="17"/>
  <c r="G22" i="17" s="1"/>
  <c r="J22" i="17" s="1"/>
  <c r="F21" i="17"/>
  <c r="I21" i="17" s="1"/>
  <c r="E21" i="17"/>
  <c r="H21" i="17" s="1"/>
  <c r="D21" i="17"/>
  <c r="G21" i="17" s="1"/>
  <c r="H20" i="17"/>
  <c r="G20" i="17"/>
  <c r="J20" i="17" s="1"/>
  <c r="F20" i="17"/>
  <c r="I20" i="17" s="1"/>
  <c r="E20" i="17"/>
  <c r="D20" i="17"/>
  <c r="J17" i="17"/>
  <c r="K17" i="17" s="1"/>
  <c r="F14" i="17"/>
  <c r="E14" i="17"/>
  <c r="F13" i="17"/>
  <c r="H13" i="17" s="1"/>
  <c r="K13" i="17" s="1"/>
  <c r="E13" i="17"/>
  <c r="G13" i="17" s="1"/>
  <c r="F12" i="17"/>
  <c r="G12" i="17" s="1"/>
  <c r="E12" i="17"/>
  <c r="F11" i="17"/>
  <c r="E11" i="17"/>
  <c r="G11" i="17" s="1"/>
  <c r="F10" i="17"/>
  <c r="E10" i="17"/>
  <c r="G10" i="17" s="1"/>
  <c r="G9" i="17"/>
  <c r="I9" i="17" s="1"/>
  <c r="L9" i="17" s="1"/>
  <c r="F9" i="17"/>
  <c r="E9" i="17"/>
  <c r="J9" i="17" s="1"/>
  <c r="M9" i="17" s="1"/>
  <c r="F8" i="17"/>
  <c r="E8" i="17"/>
  <c r="F7" i="17"/>
  <c r="E7" i="17"/>
  <c r="G7" i="17" s="1"/>
  <c r="F6" i="17"/>
  <c r="G6" i="17" s="1"/>
  <c r="E6" i="17"/>
  <c r="I6" i="17" s="1"/>
  <c r="L6" i="17" s="1"/>
  <c r="F5" i="17"/>
  <c r="E5" i="17"/>
  <c r="G5" i="17" s="1"/>
  <c r="F4" i="17"/>
  <c r="G4" i="17" s="1"/>
  <c r="E4" i="17"/>
  <c r="F3" i="17"/>
  <c r="E3" i="17"/>
  <c r="G3" i="17" s="1"/>
  <c r="D9" i="18" l="1"/>
  <c r="D12" i="18"/>
  <c r="M14" i="18"/>
  <c r="J16" i="18"/>
  <c r="N14" i="18"/>
  <c r="O14" i="18"/>
  <c r="D11" i="18"/>
  <c r="J13" i="18"/>
  <c r="P14" i="18"/>
  <c r="D10" i="18"/>
  <c r="D8" i="18"/>
  <c r="D7" i="18"/>
  <c r="J14" i="17"/>
  <c r="M14" i="17" s="1"/>
  <c r="I11" i="17"/>
  <c r="L11" i="17" s="1"/>
  <c r="K26" i="17"/>
  <c r="L26" i="17" s="1"/>
  <c r="J5" i="17"/>
  <c r="M5" i="17" s="1"/>
  <c r="I5" i="17"/>
  <c r="L5" i="17" s="1"/>
  <c r="H5" i="17"/>
  <c r="K5" i="17" s="1"/>
  <c r="H12" i="17"/>
  <c r="K12" i="17" s="1"/>
  <c r="J12" i="17"/>
  <c r="M12" i="17" s="1"/>
  <c r="I12" i="17"/>
  <c r="L12" i="17" s="1"/>
  <c r="J30" i="17"/>
  <c r="K30" i="17" s="1"/>
  <c r="L30" i="17" s="1"/>
  <c r="H7" i="17"/>
  <c r="K7" i="17" s="1"/>
  <c r="J7" i="17"/>
  <c r="M7" i="17" s="1"/>
  <c r="I7" i="17"/>
  <c r="L7" i="17" s="1"/>
  <c r="I3" i="17"/>
  <c r="L3" i="17" s="1"/>
  <c r="K29" i="17"/>
  <c r="L29" i="17" s="1"/>
  <c r="K22" i="17"/>
  <c r="L22" i="17" s="1"/>
  <c r="J4" i="17"/>
  <c r="M4" i="17" s="1"/>
  <c r="H4" i="17"/>
  <c r="K4" i="17" s="1"/>
  <c r="I4" i="17"/>
  <c r="L4" i="17" s="1"/>
  <c r="J13" i="17"/>
  <c r="M13" i="17" s="1"/>
  <c r="I13" i="17"/>
  <c r="L13" i="17" s="1"/>
  <c r="K20" i="17"/>
  <c r="L20" i="17" s="1"/>
  <c r="K23" i="17"/>
  <c r="L23" i="17" s="1"/>
  <c r="K24" i="17"/>
  <c r="L24" i="17" s="1"/>
  <c r="H6" i="17"/>
  <c r="K6" i="17" s="1"/>
  <c r="J6" i="17"/>
  <c r="M6" i="17" s="1"/>
  <c r="I10" i="17"/>
  <c r="L10" i="17" s="1"/>
  <c r="H10" i="17"/>
  <c r="K10" i="17" s="1"/>
  <c r="J10" i="17"/>
  <c r="M10" i="17" s="1"/>
  <c r="J21" i="17"/>
  <c r="K21" i="17" s="1"/>
  <c r="L21" i="17" s="1"/>
  <c r="K27" i="17"/>
  <c r="L27" i="17" s="1"/>
  <c r="J28" i="17"/>
  <c r="K28" i="17" s="1"/>
  <c r="L28" i="17" s="1"/>
  <c r="H9" i="17"/>
  <c r="K9" i="17" s="1"/>
  <c r="H14" i="17"/>
  <c r="K14" i="17" s="1"/>
  <c r="H3" i="17"/>
  <c r="K3" i="17" s="1"/>
  <c r="G8" i="17"/>
  <c r="J8" i="17" s="1"/>
  <c r="M8" i="17" s="1"/>
  <c r="H11" i="17"/>
  <c r="K11" i="17" s="1"/>
  <c r="I14" i="17"/>
  <c r="L14" i="17" s="1"/>
  <c r="G14" i="17"/>
  <c r="H8" i="17"/>
  <c r="K8" i="17" s="1"/>
  <c r="J3" i="17"/>
  <c r="M3" i="17" s="1"/>
  <c r="I8" i="17"/>
  <c r="L8" i="17" s="1"/>
  <c r="J11" i="17"/>
  <c r="M11" i="17" s="1"/>
  <c r="J10" i="18" l="1"/>
  <c r="J7" i="18"/>
  <c r="J8" i="18"/>
  <c r="J9" i="18"/>
  <c r="J11" i="18"/>
  <c r="J12" i="18"/>
  <c r="N8" i="17"/>
  <c r="Q8" i="17" s="1"/>
  <c r="O8" i="17"/>
  <c r="M28" i="17"/>
  <c r="Q13" i="17"/>
  <c r="N5" i="17"/>
  <c r="O5" i="17" s="1"/>
  <c r="P4" i="17"/>
  <c r="Q7" i="17"/>
  <c r="P5" i="17"/>
  <c r="N4" i="17"/>
  <c r="O4" i="17" s="1"/>
  <c r="N11" i="17"/>
  <c r="P11" i="17" s="1"/>
  <c r="O11" i="17"/>
  <c r="M30" i="17"/>
  <c r="N10" i="17"/>
  <c r="Q10" i="17" s="1"/>
  <c r="O10" i="17"/>
  <c r="N6" i="17"/>
  <c r="P6" i="17" s="1"/>
  <c r="O6" i="17"/>
  <c r="M21" i="17"/>
  <c r="N13" i="17"/>
  <c r="O13" i="17" s="1"/>
  <c r="O7" i="17"/>
  <c r="N7" i="17"/>
  <c r="P7" i="17" s="1"/>
  <c r="Q11" i="17"/>
  <c r="O3" i="17"/>
  <c r="N3" i="17"/>
  <c r="Q3" i="17" s="1"/>
  <c r="P10" i="17"/>
  <c r="N9" i="17"/>
  <c r="O9" i="17"/>
  <c r="Q5" i="17"/>
  <c r="P8" i="17"/>
  <c r="N14" i="17"/>
  <c r="O14" i="17" s="1"/>
  <c r="L32" i="17"/>
  <c r="M24" i="17" s="1"/>
  <c r="O12" i="17"/>
  <c r="N12" i="17"/>
  <c r="P12" i="17" s="1"/>
  <c r="J19" i="18" l="1"/>
  <c r="M31" i="17"/>
  <c r="M25" i="17"/>
  <c r="P14" i="17"/>
  <c r="M23" i="17"/>
  <c r="M26" i="17"/>
  <c r="M27" i="17"/>
  <c r="M20" i="17"/>
  <c r="Q9" i="17"/>
  <c r="P9" i="17"/>
  <c r="Q4" i="17"/>
  <c r="Q14" i="17"/>
  <c r="Q6" i="17"/>
  <c r="Q12" i="17"/>
  <c r="P13" i="17"/>
  <c r="P3" i="17"/>
  <c r="M29" i="17"/>
  <c r="M22" i="17"/>
  <c r="H15" i="18" l="1"/>
  <c r="H14" i="18"/>
  <c r="H13" i="18"/>
  <c r="H16" i="18"/>
  <c r="H17" i="18"/>
  <c r="H18" i="18"/>
  <c r="H11" i="18"/>
  <c r="H12" i="18"/>
  <c r="H8" i="18"/>
  <c r="H10" i="18"/>
  <c r="H7" i="18"/>
  <c r="H9" i="18"/>
  <c r="M32" i="17"/>
  <c r="H19" i="18" l="1"/>
  <c r="P53" i="13" l="1"/>
  <c r="AH61" i="11" l="1"/>
  <c r="AE59" i="11"/>
  <c r="AP64" i="11" s="1"/>
  <c r="AH60" i="11"/>
  <c r="AA59" i="11"/>
  <c r="AL64" i="11" s="1"/>
  <c r="AH59" i="11"/>
  <c r="Y59" i="11" s="1"/>
  <c r="AJ64" i="11" s="1"/>
  <c r="P57" i="13"/>
  <c r="S52" i="13"/>
  <c r="R52" i="13"/>
  <c r="AD59" i="11"/>
  <c r="AO64" i="11" s="1"/>
  <c r="W64" i="11"/>
  <c r="AC59" i="11" l="1"/>
  <c r="AN64" i="11" s="1"/>
  <c r="Z59" i="11"/>
  <c r="AK64" i="11" s="1"/>
  <c r="AB59" i="11"/>
  <c r="AM64" i="11" s="1"/>
  <c r="W59" i="11"/>
  <c r="AH64" i="11" s="1"/>
  <c r="X59" i="11"/>
  <c r="AI64" i="11" s="1"/>
  <c r="P73" i="13"/>
  <c r="O73" i="13"/>
  <c r="N73" i="13"/>
  <c r="K73" i="13"/>
  <c r="L73" i="13"/>
  <c r="M73" i="13"/>
  <c r="I96" i="12"/>
  <c r="H96" i="12"/>
  <c r="AQ64" i="11" l="1"/>
  <c r="W58" i="11" s="1"/>
  <c r="W51" i="11" s="1"/>
  <c r="AH9" i="13"/>
  <c r="AH8" i="13"/>
  <c r="AH7" i="13"/>
  <c r="P54" i="13"/>
  <c r="P56" i="13" s="1"/>
  <c r="G35" i="3"/>
  <c r="H35" i="3"/>
  <c r="X58" i="11" l="1"/>
  <c r="X76" i="11" s="1"/>
  <c r="AA58" i="11"/>
  <c r="AA74" i="11" s="1"/>
  <c r="AB58" i="11"/>
  <c r="AB74" i="11" s="1"/>
  <c r="Z58" i="11"/>
  <c r="Z76" i="11" s="1"/>
  <c r="AC58" i="11"/>
  <c r="AD74" i="11" s="1"/>
  <c r="AD58" i="11"/>
  <c r="AE58" i="11"/>
  <c r="AE76" i="11" s="1"/>
  <c r="Y58" i="11"/>
  <c r="Y74" i="11" s="1"/>
  <c r="Q70" i="11"/>
  <c r="P70" i="11"/>
  <c r="S70" i="11" s="1"/>
  <c r="P69" i="11"/>
  <c r="P71" i="11" s="1"/>
  <c r="R69" i="11"/>
  <c r="R68" i="11"/>
  <c r="Q68" i="11"/>
  <c r="Q71" i="11" s="1"/>
  <c r="R71" i="11"/>
  <c r="AE69" i="11"/>
  <c r="AE65" i="11"/>
  <c r="AE66" i="11"/>
  <c r="AE67" i="11"/>
  <c r="AE68" i="11"/>
  <c r="AE64" i="11"/>
  <c r="AF68" i="11"/>
  <c r="AD65" i="11"/>
  <c r="AD66" i="11"/>
  <c r="AD67" i="11"/>
  <c r="AD68" i="11"/>
  <c r="AD69" i="11"/>
  <c r="AD64" i="11"/>
  <c r="AC65" i="11"/>
  <c r="AC66" i="11"/>
  <c r="AC67" i="11"/>
  <c r="AC68" i="11"/>
  <c r="AC69" i="11"/>
  <c r="AC64" i="11"/>
  <c r="AB65" i="11"/>
  <c r="AB66" i="11"/>
  <c r="AB67" i="11"/>
  <c r="AB68" i="11"/>
  <c r="AB69" i="11"/>
  <c r="AB64" i="11"/>
  <c r="AA65" i="11"/>
  <c r="AA66" i="11"/>
  <c r="AA67" i="11"/>
  <c r="AA68" i="11"/>
  <c r="AA69" i="11"/>
  <c r="AA64" i="11"/>
  <c r="Z64" i="11"/>
  <c r="Z65" i="11"/>
  <c r="Z66" i="11"/>
  <c r="Z67" i="11"/>
  <c r="Z68" i="11"/>
  <c r="Z69" i="11"/>
  <c r="Y65" i="11"/>
  <c r="Y66" i="11"/>
  <c r="Y67" i="11"/>
  <c r="Y68" i="11"/>
  <c r="Y69" i="11"/>
  <c r="Y64" i="11"/>
  <c r="X65" i="11"/>
  <c r="X66" i="11"/>
  <c r="X67" i="11"/>
  <c r="X68" i="11"/>
  <c r="X69" i="11"/>
  <c r="X64" i="11"/>
  <c r="W73" i="11"/>
  <c r="W74" i="11"/>
  <c r="W75" i="11"/>
  <c r="W76" i="11"/>
  <c r="W77" i="11"/>
  <c r="W72" i="11"/>
  <c r="W66" i="11"/>
  <c r="W67" i="11"/>
  <c r="W68" i="11"/>
  <c r="W69" i="11"/>
  <c r="W65" i="11"/>
  <c r="L48" i="11"/>
  <c r="W56" i="11"/>
  <c r="W53" i="11"/>
  <c r="W54" i="11"/>
  <c r="W55" i="11"/>
  <c r="W52" i="11"/>
  <c r="Q93" i="13"/>
  <c r="Q87" i="13"/>
  <c r="H72" i="13"/>
  <c r="K24" i="6"/>
  <c r="AC74" i="11" l="1"/>
  <c r="AB72" i="11"/>
  <c r="Z77" i="11"/>
  <c r="Z73" i="11"/>
  <c r="AC77" i="11"/>
  <c r="AD75" i="11"/>
  <c r="AC72" i="11"/>
  <c r="AB76" i="11"/>
  <c r="AB73" i="11"/>
  <c r="Y73" i="11"/>
  <c r="AB77" i="11"/>
  <c r="AC75" i="11"/>
  <c r="AB75" i="11"/>
  <c r="AC73" i="11"/>
  <c r="AD72" i="11"/>
  <c r="AC76" i="11"/>
  <c r="AD73" i="11"/>
  <c r="AA75" i="11"/>
  <c r="AE77" i="11"/>
  <c r="AA73" i="11"/>
  <c r="AE73" i="11"/>
  <c r="X73" i="11"/>
  <c r="X74" i="11"/>
  <c r="AE75" i="11"/>
  <c r="X75" i="11"/>
  <c r="AE74" i="11"/>
  <c r="X72" i="11"/>
  <c r="X77" i="11"/>
  <c r="Z75" i="11"/>
  <c r="Z74" i="11"/>
  <c r="AD77" i="11"/>
  <c r="AA72" i="11"/>
  <c r="AA77" i="11"/>
  <c r="Y72" i="11"/>
  <c r="AA76" i="11"/>
  <c r="Y77" i="11"/>
  <c r="Z72" i="11"/>
  <c r="Y76" i="11"/>
  <c r="AE72" i="11"/>
  <c r="AD76" i="11"/>
  <c r="Y75" i="11"/>
  <c r="R72" i="11"/>
  <c r="S68" i="11"/>
  <c r="P72" i="11" s="1"/>
  <c r="S69" i="11"/>
  <c r="Q72" i="11" s="1"/>
  <c r="AF66" i="11"/>
  <c r="AF69" i="11"/>
  <c r="AF67" i="11"/>
  <c r="AF65" i="11"/>
  <c r="AF64" i="11"/>
  <c r="AF74" i="11" l="1"/>
  <c r="P77" i="11" s="1"/>
  <c r="AF73" i="11"/>
  <c r="R76" i="11" s="1"/>
  <c r="AF77" i="11"/>
  <c r="Q78" i="11" s="1"/>
  <c r="AF72" i="11"/>
  <c r="Q76" i="11" s="1"/>
  <c r="AF75" i="11"/>
  <c r="R77" i="11" s="1"/>
  <c r="AF76" i="11"/>
  <c r="P78" i="11" s="1"/>
  <c r="C23" i="8"/>
  <c r="B23" i="8"/>
  <c r="R55" i="11"/>
  <c r="Q55" i="11"/>
  <c r="P55" i="11"/>
  <c r="AA52" i="11"/>
  <c r="O66" i="13"/>
  <c r="Q51" i="11"/>
  <c r="Z52" i="11"/>
  <c r="Z53" i="11"/>
  <c r="Z54" i="11"/>
  <c r="Z55" i="11"/>
  <c r="Z56" i="11"/>
  <c r="AA53" i="11"/>
  <c r="AA54" i="11"/>
  <c r="AA55" i="11"/>
  <c r="AA56" i="11"/>
  <c r="AB52" i="11"/>
  <c r="AB53" i="11"/>
  <c r="AB54" i="11"/>
  <c r="AB55" i="11"/>
  <c r="AB56" i="11"/>
  <c r="AC52" i="11"/>
  <c r="AC53" i="11"/>
  <c r="AC54" i="11"/>
  <c r="AC55" i="11"/>
  <c r="AC56" i="11"/>
  <c r="AD52" i="11"/>
  <c r="AD53" i="11"/>
  <c r="AD54" i="11"/>
  <c r="AD55" i="11"/>
  <c r="AD56" i="11"/>
  <c r="AE52" i="11"/>
  <c r="AE53" i="11"/>
  <c r="AE54" i="11"/>
  <c r="AE55" i="11"/>
  <c r="AE56" i="11"/>
  <c r="AE51" i="11"/>
  <c r="AD51" i="11"/>
  <c r="AC51" i="11"/>
  <c r="AB51" i="11"/>
  <c r="AA51" i="11"/>
  <c r="Z51" i="11"/>
  <c r="Y52" i="11"/>
  <c r="Y53" i="11"/>
  <c r="Y54" i="11"/>
  <c r="Y55" i="11"/>
  <c r="Y56" i="11"/>
  <c r="Y51" i="11"/>
  <c r="X52" i="11"/>
  <c r="X53" i="11"/>
  <c r="X54" i="11"/>
  <c r="X55" i="11"/>
  <c r="X56" i="11"/>
  <c r="X51" i="11"/>
  <c r="W6" i="11"/>
  <c r="X6" i="11"/>
  <c r="Y6" i="11"/>
  <c r="W5" i="11"/>
  <c r="X5" i="11"/>
  <c r="Y5" i="11"/>
  <c r="O74" i="13"/>
  <c r="O72" i="13"/>
  <c r="P74" i="13"/>
  <c r="P72" i="13"/>
  <c r="N74" i="13"/>
  <c r="N72" i="13"/>
  <c r="M74" i="13"/>
  <c r="M72" i="13"/>
  <c r="L72" i="13"/>
  <c r="L74" i="13"/>
  <c r="K72" i="13"/>
  <c r="K74" i="13"/>
  <c r="J72" i="13"/>
  <c r="J73" i="13"/>
  <c r="J74" i="13"/>
  <c r="I73" i="13"/>
  <c r="I74" i="13"/>
  <c r="Q74" i="13" s="1"/>
  <c r="I72" i="13"/>
  <c r="Q72" i="13" s="1"/>
  <c r="H74" i="13"/>
  <c r="H73" i="13"/>
  <c r="Q73" i="13" s="1"/>
  <c r="K27" i="6"/>
  <c r="S16" i="6"/>
  <c r="S19" i="6"/>
  <c r="S15" i="6"/>
  <c r="AA6" i="13"/>
  <c r="AB6" i="13"/>
  <c r="AC6" i="13"/>
  <c r="AB5" i="13"/>
  <c r="AC5" i="13"/>
  <c r="AA5" i="13"/>
  <c r="B108" i="12"/>
  <c r="B130" i="12"/>
  <c r="O23" i="13"/>
  <c r="R15" i="6"/>
  <c r="G38" i="12"/>
  <c r="W53" i="13"/>
  <c r="X53" i="13"/>
  <c r="V53" i="13"/>
  <c r="U53" i="13"/>
  <c r="T53" i="13"/>
  <c r="S53" i="13"/>
  <c r="D35" i="3"/>
  <c r="Q53" i="13"/>
  <c r="I82" i="13" s="1"/>
  <c r="R53" i="13"/>
  <c r="C47" i="3"/>
  <c r="Y55" i="13"/>
  <c r="L30" i="13"/>
  <c r="S24" i="13"/>
  <c r="T24" i="13"/>
  <c r="R24" i="13"/>
  <c r="S23" i="13"/>
  <c r="S25" i="13" s="1"/>
  <c r="T23" i="13"/>
  <c r="T25" i="13" s="1"/>
  <c r="R23" i="13"/>
  <c r="N17" i="13"/>
  <c r="C52" i="13"/>
  <c r="Y44" i="11"/>
  <c r="Y45" i="11"/>
  <c r="Y46" i="11"/>
  <c r="Y47" i="11"/>
  <c r="Y48" i="11"/>
  <c r="Y43" i="11"/>
  <c r="X44" i="11"/>
  <c r="X45" i="11"/>
  <c r="X46" i="11"/>
  <c r="X47" i="11"/>
  <c r="X48" i="11"/>
  <c r="X43" i="11"/>
  <c r="W44" i="11"/>
  <c r="W45" i="11"/>
  <c r="W46" i="11"/>
  <c r="W47" i="11"/>
  <c r="W48" i="11"/>
  <c r="W43" i="11"/>
  <c r="V44" i="11"/>
  <c r="V45" i="11"/>
  <c r="V46" i="11"/>
  <c r="V47" i="11"/>
  <c r="V48" i="11"/>
  <c r="U48" i="11"/>
  <c r="U44" i="11"/>
  <c r="U45" i="11"/>
  <c r="U46" i="11"/>
  <c r="U47" i="11"/>
  <c r="V43" i="11"/>
  <c r="U43" i="11"/>
  <c r="T44" i="11"/>
  <c r="Z44" i="11" s="1"/>
  <c r="R51" i="11" s="1"/>
  <c r="T45" i="11"/>
  <c r="Z45" i="11" s="1"/>
  <c r="P52" i="11" s="1"/>
  <c r="T46" i="11"/>
  <c r="Z46" i="11" s="1"/>
  <c r="R52" i="11" s="1"/>
  <c r="T47" i="11"/>
  <c r="Z47" i="11" s="1"/>
  <c r="P53" i="11" s="1"/>
  <c r="T48" i="11"/>
  <c r="Z48" i="11" s="1"/>
  <c r="Q53" i="11" s="1"/>
  <c r="T43" i="11"/>
  <c r="Z43" i="11" s="1"/>
  <c r="W35" i="11"/>
  <c r="M7" i="8"/>
  <c r="M6" i="8"/>
  <c r="M5" i="8"/>
  <c r="V6" i="11"/>
  <c r="U6" i="11"/>
  <c r="V5" i="11"/>
  <c r="X14" i="11" s="1"/>
  <c r="U5" i="11"/>
  <c r="T6" i="11"/>
  <c r="T5" i="11"/>
  <c r="S18" i="6"/>
  <c r="C17" i="6"/>
  <c r="C45" i="6"/>
  <c r="K46" i="6"/>
  <c r="J12" i="1"/>
  <c r="J11" i="1"/>
  <c r="P24" i="13"/>
  <c r="Q24" i="13"/>
  <c r="O24" i="13"/>
  <c r="O25" i="13" s="1"/>
  <c r="O27" i="13" s="1"/>
  <c r="P23" i="13"/>
  <c r="Q23" i="13"/>
  <c r="R16" i="13"/>
  <c r="V6" i="13"/>
  <c r="U6" i="13"/>
  <c r="T6" i="13"/>
  <c r="V5" i="13"/>
  <c r="U5" i="13"/>
  <c r="T5" i="13"/>
  <c r="Y37" i="11"/>
  <c r="Y38" i="11"/>
  <c r="Y39" i="11"/>
  <c r="Y40" i="11"/>
  <c r="X37" i="11"/>
  <c r="X38" i="11"/>
  <c r="X39" i="11"/>
  <c r="X40" i="11"/>
  <c r="Y36" i="11"/>
  <c r="X36" i="11"/>
  <c r="W36" i="11"/>
  <c r="Z36" i="11" s="1"/>
  <c r="W37" i="11"/>
  <c r="Z37" i="11" s="1"/>
  <c r="J49" i="11" s="1"/>
  <c r="W38" i="11"/>
  <c r="Z38" i="11" s="1"/>
  <c r="L49" i="11" s="1"/>
  <c r="W39" i="11"/>
  <c r="Z39" i="11" s="1"/>
  <c r="J50" i="11" s="1"/>
  <c r="W40" i="11"/>
  <c r="Z40" i="11" s="1"/>
  <c r="K50" i="11" s="1"/>
  <c r="R35" i="11"/>
  <c r="X35" i="11"/>
  <c r="Y35" i="11"/>
  <c r="Q6" i="11"/>
  <c r="R6" i="11"/>
  <c r="S6" i="11"/>
  <c r="Q5" i="11"/>
  <c r="R5" i="11"/>
  <c r="S5" i="11"/>
  <c r="H127" i="12"/>
  <c r="K126" i="12"/>
  <c r="H126" i="12"/>
  <c r="K123" i="12"/>
  <c r="H124" i="12"/>
  <c r="H122" i="12"/>
  <c r="K121" i="12"/>
  <c r="J115" i="12"/>
  <c r="J116" i="12"/>
  <c r="I115" i="12"/>
  <c r="I116" i="12"/>
  <c r="I114" i="12"/>
  <c r="J114" i="12"/>
  <c r="H114" i="12"/>
  <c r="H115" i="12"/>
  <c r="H116" i="12"/>
  <c r="H110" i="12"/>
  <c r="H105" i="12"/>
  <c r="J10" i="13"/>
  <c r="K10" i="13"/>
  <c r="I10" i="13"/>
  <c r="J9" i="13"/>
  <c r="K9" i="13"/>
  <c r="I9" i="13"/>
  <c r="H101" i="12"/>
  <c r="I6" i="13"/>
  <c r="J6" i="13"/>
  <c r="H6" i="13"/>
  <c r="I5" i="13"/>
  <c r="J5" i="13"/>
  <c r="H5" i="13"/>
  <c r="G79" i="12"/>
  <c r="R36" i="11"/>
  <c r="R37" i="11"/>
  <c r="R38" i="11"/>
  <c r="R39" i="11"/>
  <c r="R40" i="11"/>
  <c r="Q36" i="11"/>
  <c r="Q37" i="11"/>
  <c r="Q38" i="11"/>
  <c r="Q39" i="11"/>
  <c r="Q40" i="11"/>
  <c r="Q35" i="11"/>
  <c r="P36" i="11"/>
  <c r="S36" i="11" s="1"/>
  <c r="L40" i="11" s="1"/>
  <c r="P37" i="11"/>
  <c r="S37" i="11" s="1"/>
  <c r="J41" i="11" s="1"/>
  <c r="P38" i="11"/>
  <c r="S38" i="11" s="1"/>
  <c r="L41" i="11" s="1"/>
  <c r="P39" i="11"/>
  <c r="S39" i="11" s="1"/>
  <c r="J42" i="11" s="1"/>
  <c r="P40" i="11"/>
  <c r="S40" i="11" s="1"/>
  <c r="K42" i="11" s="1"/>
  <c r="P35" i="11"/>
  <c r="S35" i="11" s="1"/>
  <c r="K40" i="11" s="1"/>
  <c r="M40" i="11" s="1"/>
  <c r="B36" i="11"/>
  <c r="O6" i="11"/>
  <c r="P6" i="11"/>
  <c r="N6" i="11"/>
  <c r="O5" i="11"/>
  <c r="P5" i="11"/>
  <c r="Q14" i="11" s="1"/>
  <c r="N5" i="11"/>
  <c r="O14" i="11" s="1"/>
  <c r="K7" i="12"/>
  <c r="L7" i="12"/>
  <c r="J7" i="12"/>
  <c r="I7" i="12"/>
  <c r="I102" i="12"/>
  <c r="J102" i="12"/>
  <c r="I101" i="12"/>
  <c r="J101" i="12"/>
  <c r="H102" i="12"/>
  <c r="B5" i="10"/>
  <c r="I2" i="10"/>
  <c r="I7" i="10"/>
  <c r="J97" i="12"/>
  <c r="J98" i="12"/>
  <c r="J96" i="12"/>
  <c r="I97" i="12"/>
  <c r="I98" i="12"/>
  <c r="H38" i="12"/>
  <c r="H98" i="12"/>
  <c r="K98" i="12" s="1"/>
  <c r="H97" i="12"/>
  <c r="K97" i="12" s="1"/>
  <c r="K96" i="12"/>
  <c r="C103" i="12"/>
  <c r="J80" i="12"/>
  <c r="J79" i="12"/>
  <c r="H80" i="12"/>
  <c r="I80" i="12"/>
  <c r="G80" i="12"/>
  <c r="H79" i="12"/>
  <c r="I79" i="12"/>
  <c r="F80" i="12"/>
  <c r="E80" i="12"/>
  <c r="D80" i="12"/>
  <c r="C80" i="12"/>
  <c r="B80" i="12"/>
  <c r="F79" i="12"/>
  <c r="E79" i="12"/>
  <c r="D79" i="12"/>
  <c r="C79" i="12"/>
  <c r="B79" i="12"/>
  <c r="H63" i="12"/>
  <c r="I63" i="12" s="1"/>
  <c r="F47" i="12"/>
  <c r="E47" i="12"/>
  <c r="D47" i="12"/>
  <c r="C47" i="12"/>
  <c r="B47" i="12"/>
  <c r="F46" i="12"/>
  <c r="E46" i="12"/>
  <c r="E48" i="12" s="1"/>
  <c r="D46" i="12"/>
  <c r="D48" i="12" s="1"/>
  <c r="C46" i="12"/>
  <c r="C48" i="12" s="1"/>
  <c r="B46" i="12"/>
  <c r="B48" i="12" s="1"/>
  <c r="K40" i="12"/>
  <c r="J40" i="12"/>
  <c r="I40" i="12"/>
  <c r="H40" i="12"/>
  <c r="G40" i="12"/>
  <c r="L40" i="12" s="1"/>
  <c r="K39" i="12"/>
  <c r="J39" i="12"/>
  <c r="I39" i="12"/>
  <c r="H39" i="12"/>
  <c r="G39" i="12"/>
  <c r="L39" i="12" s="1"/>
  <c r="K38" i="12"/>
  <c r="J38" i="12"/>
  <c r="I38" i="12"/>
  <c r="C29" i="12"/>
  <c r="C24" i="12"/>
  <c r="R8" i="12"/>
  <c r="F6" i="12"/>
  <c r="E6" i="12"/>
  <c r="D6" i="12"/>
  <c r="C6" i="12"/>
  <c r="B6" i="12"/>
  <c r="F5" i="12"/>
  <c r="E5" i="12"/>
  <c r="D5" i="12"/>
  <c r="C5" i="12"/>
  <c r="B5" i="12"/>
  <c r="F45" i="11"/>
  <c r="F46" i="11"/>
  <c r="F47" i="11"/>
  <c r="F48" i="11"/>
  <c r="F49" i="11"/>
  <c r="E45" i="11"/>
  <c r="E46" i="11"/>
  <c r="E47" i="11"/>
  <c r="E48" i="11"/>
  <c r="E49" i="11"/>
  <c r="D45" i="11"/>
  <c r="D46" i="11"/>
  <c r="D47" i="11"/>
  <c r="D48" i="11"/>
  <c r="D49" i="11"/>
  <c r="D44" i="11"/>
  <c r="E44" i="11"/>
  <c r="F44" i="11"/>
  <c r="C45" i="11"/>
  <c r="C46" i="11"/>
  <c r="C47" i="11"/>
  <c r="C48" i="11"/>
  <c r="C49" i="11"/>
  <c r="C44" i="11"/>
  <c r="B45" i="11"/>
  <c r="G45" i="11" s="1"/>
  <c r="L32" i="11" s="1"/>
  <c r="B46" i="11"/>
  <c r="G46" i="11" s="1"/>
  <c r="J33" i="11" s="1"/>
  <c r="B47" i="11"/>
  <c r="G47" i="11" s="1"/>
  <c r="L33" i="11" s="1"/>
  <c r="B48" i="11"/>
  <c r="G48" i="11" s="1"/>
  <c r="J34" i="11" s="1"/>
  <c r="B49" i="11"/>
  <c r="G49" i="11" s="1"/>
  <c r="K34" i="11" s="1"/>
  <c r="B44" i="11"/>
  <c r="G44" i="11" s="1"/>
  <c r="K32" i="11" s="1"/>
  <c r="M32" i="11" s="1"/>
  <c r="F37" i="11"/>
  <c r="F38" i="11"/>
  <c r="F39" i="11"/>
  <c r="F40" i="11"/>
  <c r="F41" i="11"/>
  <c r="F36" i="11"/>
  <c r="E37" i="11"/>
  <c r="E38" i="11"/>
  <c r="E39" i="11"/>
  <c r="E40" i="11"/>
  <c r="E41" i="11"/>
  <c r="E36" i="11"/>
  <c r="D37" i="11"/>
  <c r="D38" i="11"/>
  <c r="D39" i="11"/>
  <c r="D40" i="11"/>
  <c r="D41" i="11"/>
  <c r="D36" i="11"/>
  <c r="C37" i="11"/>
  <c r="C38" i="11"/>
  <c r="C39" i="11"/>
  <c r="C40" i="11"/>
  <c r="C41" i="11"/>
  <c r="C36" i="11"/>
  <c r="B37" i="11"/>
  <c r="G37" i="11" s="1"/>
  <c r="L24" i="11" s="1"/>
  <c r="B38" i="11"/>
  <c r="G38" i="11" s="1"/>
  <c r="J25" i="11" s="1"/>
  <c r="B39" i="11"/>
  <c r="G39" i="11" s="1"/>
  <c r="L25" i="11" s="1"/>
  <c r="B40" i="11"/>
  <c r="G40" i="11" s="1"/>
  <c r="J26" i="11" s="1"/>
  <c r="B41" i="11"/>
  <c r="G41" i="11" s="1"/>
  <c r="K26" i="11" s="1"/>
  <c r="G36" i="11"/>
  <c r="G17" i="8"/>
  <c r="C17" i="8"/>
  <c r="F29" i="11"/>
  <c r="F30" i="11"/>
  <c r="F31" i="11"/>
  <c r="F32" i="11"/>
  <c r="F33" i="11"/>
  <c r="F28" i="11"/>
  <c r="E29" i="11"/>
  <c r="E30" i="11"/>
  <c r="E31" i="11"/>
  <c r="E32" i="11"/>
  <c r="E33" i="11"/>
  <c r="E28" i="11"/>
  <c r="D29" i="11"/>
  <c r="D30" i="11"/>
  <c r="D31" i="11"/>
  <c r="D32" i="11"/>
  <c r="D33" i="11"/>
  <c r="D28" i="11"/>
  <c r="C29" i="11"/>
  <c r="C30" i="11"/>
  <c r="C31" i="11"/>
  <c r="C32" i="11"/>
  <c r="C33" i="11"/>
  <c r="C28" i="11"/>
  <c r="B29" i="11"/>
  <c r="G29" i="11" s="1"/>
  <c r="L16" i="11" s="1"/>
  <c r="B30" i="11"/>
  <c r="G30" i="11" s="1"/>
  <c r="J17" i="11" s="1"/>
  <c r="B31" i="11"/>
  <c r="G31" i="11" s="1"/>
  <c r="L17" i="11" s="1"/>
  <c r="B32" i="11"/>
  <c r="G32" i="11" s="1"/>
  <c r="J18" i="11" s="1"/>
  <c r="B33" i="11"/>
  <c r="G33" i="11" s="1"/>
  <c r="K18" i="11" s="1"/>
  <c r="B28" i="11"/>
  <c r="L16" i="8"/>
  <c r="M4" i="8"/>
  <c r="M6" i="11"/>
  <c r="M5" i="11"/>
  <c r="F2" i="11" s="1"/>
  <c r="M2" i="8"/>
  <c r="L6" i="11"/>
  <c r="K6" i="11"/>
  <c r="J6" i="11"/>
  <c r="I6" i="11"/>
  <c r="L5" i="11"/>
  <c r="K5" i="11"/>
  <c r="J5" i="11"/>
  <c r="I5" i="11"/>
  <c r="R8" i="10"/>
  <c r="J7" i="10"/>
  <c r="J4" i="10"/>
  <c r="K4" i="10"/>
  <c r="L4" i="10"/>
  <c r="M4" i="10"/>
  <c r="I4" i="10"/>
  <c r="J3" i="10"/>
  <c r="I3" i="10"/>
  <c r="K3" i="10"/>
  <c r="L3" i="10"/>
  <c r="M3" i="10"/>
  <c r="J2" i="10"/>
  <c r="S20" i="6"/>
  <c r="F6" i="10"/>
  <c r="F5" i="10"/>
  <c r="C6" i="10"/>
  <c r="D6" i="10"/>
  <c r="E6" i="10"/>
  <c r="B6" i="10"/>
  <c r="C5" i="10"/>
  <c r="D5" i="10"/>
  <c r="E5" i="10"/>
  <c r="S24" i="1"/>
  <c r="P24" i="1"/>
  <c r="Q24" i="1"/>
  <c r="R24" i="1"/>
  <c r="H63" i="10"/>
  <c r="I63" i="10" s="1"/>
  <c r="A38" i="1"/>
  <c r="B38" i="1"/>
  <c r="U8" i="1"/>
  <c r="J14" i="1"/>
  <c r="J15" i="1"/>
  <c r="J13" i="1"/>
  <c r="X18" i="4"/>
  <c r="C47" i="10"/>
  <c r="D47" i="10"/>
  <c r="E47" i="10"/>
  <c r="F47" i="10"/>
  <c r="B47" i="10"/>
  <c r="C46" i="10"/>
  <c r="C48" i="10" s="1"/>
  <c r="D46" i="10"/>
  <c r="D48" i="10" s="1"/>
  <c r="E46" i="10"/>
  <c r="E48" i="10" s="1"/>
  <c r="F46" i="10"/>
  <c r="B46" i="10"/>
  <c r="B48" i="10" s="1"/>
  <c r="G15" i="1"/>
  <c r="I15" i="1"/>
  <c r="I14" i="1"/>
  <c r="I13" i="1"/>
  <c r="U18" i="4"/>
  <c r="W18" i="4"/>
  <c r="AA2" i="4"/>
  <c r="K39" i="10"/>
  <c r="K40" i="10"/>
  <c r="J39" i="10"/>
  <c r="J40" i="10"/>
  <c r="K38" i="10"/>
  <c r="J38" i="10"/>
  <c r="I39" i="10"/>
  <c r="I40" i="10"/>
  <c r="I38" i="10"/>
  <c r="H39" i="10"/>
  <c r="H40" i="10"/>
  <c r="H38" i="10"/>
  <c r="G39" i="10"/>
  <c r="L39" i="10" s="1"/>
  <c r="G40" i="10"/>
  <c r="L40" i="10" s="1"/>
  <c r="G38" i="10"/>
  <c r="L38" i="10" s="1"/>
  <c r="V2" i="4"/>
  <c r="C29" i="10"/>
  <c r="C24" i="10"/>
  <c r="L8" i="4"/>
  <c r="J19" i="6"/>
  <c r="T4" i="8"/>
  <c r="U2" i="8"/>
  <c r="T5" i="8"/>
  <c r="T2" i="8"/>
  <c r="T3" i="8"/>
  <c r="U3" i="8"/>
  <c r="U4" i="8"/>
  <c r="U5" i="8"/>
  <c r="U6" i="8"/>
  <c r="U7" i="8"/>
  <c r="U8" i="8"/>
  <c r="U9" i="8"/>
  <c r="U10" i="8"/>
  <c r="U11" i="8"/>
  <c r="U12" i="8"/>
  <c r="U13" i="8"/>
  <c r="J16" i="6"/>
  <c r="J18" i="6"/>
  <c r="J17" i="6"/>
  <c r="B55" i="6"/>
  <c r="H27" i="6" s="1"/>
  <c r="B56" i="6"/>
  <c r="H28" i="6" s="1"/>
  <c r="B54" i="6"/>
  <c r="H26" i="6" s="1"/>
  <c r="B52" i="6"/>
  <c r="H24" i="6" s="1"/>
  <c r="B53" i="6"/>
  <c r="H25" i="6" s="1"/>
  <c r="B51" i="6"/>
  <c r="H23" i="6" s="1"/>
  <c r="B49" i="6"/>
  <c r="H21" i="6" s="1"/>
  <c r="B50" i="6"/>
  <c r="H22" i="6" s="1"/>
  <c r="B48" i="6"/>
  <c r="H20" i="6" s="1"/>
  <c r="B46" i="6"/>
  <c r="H18" i="6" s="1"/>
  <c r="B47" i="6"/>
  <c r="H19" i="6" s="1"/>
  <c r="B45" i="6"/>
  <c r="H17" i="6" s="1"/>
  <c r="AE91" i="8"/>
  <c r="AE92" i="8"/>
  <c r="AE93" i="8"/>
  <c r="AE94" i="8"/>
  <c r="AE95" i="8"/>
  <c r="AE96" i="8"/>
  <c r="AE97" i="8"/>
  <c r="AE98" i="8"/>
  <c r="AE99" i="8"/>
  <c r="AE100" i="8"/>
  <c r="AE101" i="8"/>
  <c r="AD91" i="8"/>
  <c r="AD92" i="8"/>
  <c r="AD93" i="8"/>
  <c r="AD94" i="8"/>
  <c r="AD95" i="8"/>
  <c r="AD96" i="8"/>
  <c r="AD97" i="8"/>
  <c r="AD98" i="8"/>
  <c r="AD99" i="8"/>
  <c r="AD100" i="8"/>
  <c r="AD101" i="8"/>
  <c r="AC91" i="8"/>
  <c r="AC92" i="8"/>
  <c r="AC93" i="8"/>
  <c r="AC94" i="8"/>
  <c r="AC95" i="8"/>
  <c r="AC96" i="8"/>
  <c r="AC97" i="8"/>
  <c r="AC98" i="8"/>
  <c r="AC99" i="8"/>
  <c r="AC100" i="8"/>
  <c r="AC101" i="8"/>
  <c r="AE90" i="8"/>
  <c r="AE102" i="8" s="1"/>
  <c r="E68" i="8" s="1"/>
  <c r="AD90" i="8"/>
  <c r="AD102" i="8" s="1"/>
  <c r="D68" i="8" s="1"/>
  <c r="AC90" i="8"/>
  <c r="AC102" i="8" s="1"/>
  <c r="C68" i="8" s="1"/>
  <c r="AB91" i="8"/>
  <c r="AB92" i="8"/>
  <c r="AB93" i="8"/>
  <c r="AB94" i="8"/>
  <c r="AB95" i="8"/>
  <c r="AB96" i="8"/>
  <c r="AB97" i="8"/>
  <c r="AB98" i="8"/>
  <c r="AB99" i="8"/>
  <c r="AB100" i="8"/>
  <c r="AB101" i="8"/>
  <c r="AA91" i="8"/>
  <c r="AA92" i="8"/>
  <c r="AA93" i="8"/>
  <c r="AA94" i="8"/>
  <c r="AA95" i="8"/>
  <c r="AA96" i="8"/>
  <c r="AA97" i="8"/>
  <c r="AA98" i="8"/>
  <c r="AA99" i="8"/>
  <c r="AA100" i="8"/>
  <c r="AA101" i="8"/>
  <c r="Z91" i="8"/>
  <c r="Z92" i="8"/>
  <c r="Z93" i="8"/>
  <c r="Z94" i="8"/>
  <c r="Z95" i="8"/>
  <c r="Z96" i="8"/>
  <c r="Z97" i="8"/>
  <c r="Z98" i="8"/>
  <c r="Z99" i="8"/>
  <c r="Z100" i="8"/>
  <c r="Z101" i="8"/>
  <c r="Y91" i="8"/>
  <c r="Y92" i="8"/>
  <c r="Y93" i="8"/>
  <c r="Y94" i="8"/>
  <c r="Y95" i="8"/>
  <c r="Y96" i="8"/>
  <c r="Y97" i="8"/>
  <c r="Y98" i="8"/>
  <c r="Y99" i="8"/>
  <c r="Y100" i="8"/>
  <c r="Y101" i="8"/>
  <c r="AB90" i="8"/>
  <c r="AB102" i="8" s="1"/>
  <c r="B68" i="8" s="1"/>
  <c r="G68" i="8" s="1"/>
  <c r="AA90" i="8"/>
  <c r="AA102" i="8" s="1"/>
  <c r="F67" i="8" s="1"/>
  <c r="Z90" i="8"/>
  <c r="Z102" i="8" s="1"/>
  <c r="D67" i="8" s="1"/>
  <c r="Y90" i="8"/>
  <c r="Y102" i="8" s="1"/>
  <c r="C67" i="8" s="1"/>
  <c r="X91" i="8"/>
  <c r="X92" i="8"/>
  <c r="X93" i="8"/>
  <c r="X94" i="8"/>
  <c r="X95" i="8"/>
  <c r="X96" i="8"/>
  <c r="X97" i="8"/>
  <c r="X98" i="8"/>
  <c r="X99" i="8"/>
  <c r="X100" i="8"/>
  <c r="X101" i="8"/>
  <c r="W91" i="8"/>
  <c r="W92" i="8"/>
  <c r="W93" i="8"/>
  <c r="W94" i="8"/>
  <c r="W95" i="8"/>
  <c r="W96" i="8"/>
  <c r="W97" i="8"/>
  <c r="W98" i="8"/>
  <c r="W99" i="8"/>
  <c r="W100" i="8"/>
  <c r="W101" i="8"/>
  <c r="V91" i="8"/>
  <c r="V92" i="8"/>
  <c r="V93" i="8"/>
  <c r="V94" i="8"/>
  <c r="V95" i="8"/>
  <c r="V96" i="8"/>
  <c r="V97" i="8"/>
  <c r="V98" i="8"/>
  <c r="V99" i="8"/>
  <c r="V100" i="8"/>
  <c r="V101" i="8"/>
  <c r="U91" i="8"/>
  <c r="U92" i="8"/>
  <c r="U93" i="8"/>
  <c r="U94" i="8"/>
  <c r="U95" i="8"/>
  <c r="U96" i="8"/>
  <c r="U97" i="8"/>
  <c r="U98" i="8"/>
  <c r="U99" i="8"/>
  <c r="U100" i="8"/>
  <c r="U101" i="8"/>
  <c r="X90" i="8"/>
  <c r="X102" i="8" s="1"/>
  <c r="B67" i="8" s="1"/>
  <c r="G67" i="8" s="1"/>
  <c r="W90" i="8"/>
  <c r="W102" i="8" s="1"/>
  <c r="F66" i="8" s="1"/>
  <c r="V90" i="8"/>
  <c r="V102" i="8" s="1"/>
  <c r="E66" i="8" s="1"/>
  <c r="U90" i="8"/>
  <c r="U102" i="8" s="1"/>
  <c r="C66" i="8" s="1"/>
  <c r="T91" i="8"/>
  <c r="T92" i="8"/>
  <c r="T93" i="8"/>
  <c r="T94" i="8"/>
  <c r="T95" i="8"/>
  <c r="T96" i="8"/>
  <c r="T97" i="8"/>
  <c r="T98" i="8"/>
  <c r="T99" i="8"/>
  <c r="T100" i="8"/>
  <c r="T101" i="8"/>
  <c r="S91" i="8"/>
  <c r="S92" i="8"/>
  <c r="S93" i="8"/>
  <c r="S94" i="8"/>
  <c r="S95" i="8"/>
  <c r="S96" i="8"/>
  <c r="S97" i="8"/>
  <c r="S98" i="8"/>
  <c r="S99" i="8"/>
  <c r="S100" i="8"/>
  <c r="S101" i="8"/>
  <c r="R91" i="8"/>
  <c r="R92" i="8"/>
  <c r="R93" i="8"/>
  <c r="R94" i="8"/>
  <c r="R95" i="8"/>
  <c r="R96" i="8"/>
  <c r="R97" i="8"/>
  <c r="R98" i="8"/>
  <c r="R99" i="8"/>
  <c r="R100" i="8"/>
  <c r="R101" i="8"/>
  <c r="Q91" i="8"/>
  <c r="Q92" i="8"/>
  <c r="Q93" i="8"/>
  <c r="Q94" i="8"/>
  <c r="Q95" i="8"/>
  <c r="Q96" i="8"/>
  <c r="Q97" i="8"/>
  <c r="Q98" i="8"/>
  <c r="Q99" i="8"/>
  <c r="Q100" i="8"/>
  <c r="Q101" i="8"/>
  <c r="T90" i="8"/>
  <c r="T102" i="8" s="1"/>
  <c r="B66" i="8" s="1"/>
  <c r="G66" i="8" s="1"/>
  <c r="S90" i="8"/>
  <c r="S102" i="8" s="1"/>
  <c r="F65" i="8" s="1"/>
  <c r="R90" i="8"/>
  <c r="R102" i="8" s="1"/>
  <c r="E65" i="8" s="1"/>
  <c r="Q90" i="8"/>
  <c r="Q102" i="8" s="1"/>
  <c r="D65" i="8" s="1"/>
  <c r="P80" i="8"/>
  <c r="P91" i="8"/>
  <c r="P92" i="8"/>
  <c r="P93" i="8"/>
  <c r="P94" i="8"/>
  <c r="P95" i="8"/>
  <c r="P96" i="8"/>
  <c r="P97" i="8"/>
  <c r="P98" i="8"/>
  <c r="P99" i="8"/>
  <c r="P100" i="8"/>
  <c r="P101" i="8"/>
  <c r="O91" i="8"/>
  <c r="O92" i="8"/>
  <c r="O93" i="8"/>
  <c r="O94" i="8"/>
  <c r="O95" i="8"/>
  <c r="O96" i="8"/>
  <c r="O97" i="8"/>
  <c r="O98" i="8"/>
  <c r="O99" i="8"/>
  <c r="O100" i="8"/>
  <c r="O101" i="8"/>
  <c r="N91" i="8"/>
  <c r="N92" i="8"/>
  <c r="N93" i="8"/>
  <c r="N94" i="8"/>
  <c r="N95" i="8"/>
  <c r="N96" i="8"/>
  <c r="N97" i="8"/>
  <c r="N98" i="8"/>
  <c r="N99" i="8"/>
  <c r="N100" i="8"/>
  <c r="N101" i="8"/>
  <c r="M91" i="8"/>
  <c r="M92" i="8"/>
  <c r="M93" i="8"/>
  <c r="M94" i="8"/>
  <c r="M95" i="8"/>
  <c r="M96" i="8"/>
  <c r="M97" i="8"/>
  <c r="M98" i="8"/>
  <c r="M99" i="8"/>
  <c r="M100" i="8"/>
  <c r="M101" i="8"/>
  <c r="P90" i="8"/>
  <c r="P102" i="8" s="1"/>
  <c r="B65" i="8" s="1"/>
  <c r="O90" i="8"/>
  <c r="O102" i="8" s="1"/>
  <c r="F64" i="8" s="1"/>
  <c r="F69" i="8" s="1"/>
  <c r="N90" i="8"/>
  <c r="N102" i="8" s="1"/>
  <c r="E64" i="8" s="1"/>
  <c r="E69" i="8" s="1"/>
  <c r="M90" i="8"/>
  <c r="M102" i="8" s="1"/>
  <c r="D64" i="8" s="1"/>
  <c r="D69" i="8" s="1"/>
  <c r="L91" i="8"/>
  <c r="L92" i="8"/>
  <c r="L93" i="8"/>
  <c r="L94" i="8"/>
  <c r="L95" i="8"/>
  <c r="L96" i="8"/>
  <c r="L97" i="8"/>
  <c r="L98" i="8"/>
  <c r="L99" i="8"/>
  <c r="L100" i="8"/>
  <c r="L101" i="8"/>
  <c r="L90" i="8"/>
  <c r="L102" i="8" s="1"/>
  <c r="C64" i="8" s="1"/>
  <c r="AE76" i="8"/>
  <c r="AE77" i="8"/>
  <c r="AE78" i="8"/>
  <c r="AE79" i="8"/>
  <c r="AE80" i="8"/>
  <c r="AE81" i="8"/>
  <c r="AE82" i="8"/>
  <c r="AE83" i="8"/>
  <c r="AE84" i="8"/>
  <c r="AE85" i="8"/>
  <c r="AE86" i="8"/>
  <c r="AD76" i="8"/>
  <c r="AD77" i="8"/>
  <c r="AD78" i="8"/>
  <c r="AD79" i="8"/>
  <c r="AD80" i="8"/>
  <c r="AD81" i="8"/>
  <c r="AD82" i="8"/>
  <c r="AD83" i="8"/>
  <c r="AD84" i="8"/>
  <c r="AD85" i="8"/>
  <c r="AD86" i="8"/>
  <c r="AC76" i="8"/>
  <c r="AC77" i="8"/>
  <c r="AC78" i="8"/>
  <c r="AC79" i="8"/>
  <c r="AC80" i="8"/>
  <c r="AC81" i="8"/>
  <c r="AC82" i="8"/>
  <c r="AC83" i="8"/>
  <c r="AC84" i="8"/>
  <c r="AC85" i="8"/>
  <c r="AC86" i="8"/>
  <c r="AC75" i="8"/>
  <c r="AC87" i="8" s="1"/>
  <c r="C58" i="8" s="1"/>
  <c r="AB76" i="8"/>
  <c r="AB77" i="8"/>
  <c r="AB78" i="8"/>
  <c r="AB79" i="8"/>
  <c r="AB80" i="8"/>
  <c r="AB81" i="8"/>
  <c r="AB82" i="8"/>
  <c r="AB83" i="8"/>
  <c r="AB84" i="8"/>
  <c r="AB85" i="8"/>
  <c r="AB86" i="8"/>
  <c r="AA76" i="8"/>
  <c r="AA77" i="8"/>
  <c r="AA78" i="8"/>
  <c r="AA79" i="8"/>
  <c r="AA80" i="8"/>
  <c r="AA81" i="8"/>
  <c r="AA82" i="8"/>
  <c r="AA83" i="8"/>
  <c r="AA84" i="8"/>
  <c r="AA85" i="8"/>
  <c r="AA86" i="8"/>
  <c r="Z76" i="8"/>
  <c r="Z77" i="8"/>
  <c r="Z78" i="8"/>
  <c r="Z79" i="8"/>
  <c r="Z80" i="8"/>
  <c r="Z81" i="8"/>
  <c r="Z82" i="8"/>
  <c r="Z83" i="8"/>
  <c r="Z84" i="8"/>
  <c r="Z85" i="8"/>
  <c r="Z86" i="8"/>
  <c r="AE75" i="8"/>
  <c r="AE87" i="8" s="1"/>
  <c r="E58" i="8" s="1"/>
  <c r="AD75" i="8"/>
  <c r="AD87" i="8" s="1"/>
  <c r="D58" i="8" s="1"/>
  <c r="AB75" i="8"/>
  <c r="AB87" i="8" s="1"/>
  <c r="B58" i="8" s="1"/>
  <c r="G58" i="8" s="1"/>
  <c r="AA75" i="8"/>
  <c r="AA87" i="8" s="1"/>
  <c r="F57" i="8" s="1"/>
  <c r="Z75" i="8"/>
  <c r="Z87" i="8" s="1"/>
  <c r="D57" i="8" s="1"/>
  <c r="Y86" i="8"/>
  <c r="Y76" i="8"/>
  <c r="Y77" i="8"/>
  <c r="Y78" i="8"/>
  <c r="Y79" i="8"/>
  <c r="Y80" i="8"/>
  <c r="Y81" i="8"/>
  <c r="Y82" i="8"/>
  <c r="Y83" i="8"/>
  <c r="Y84" i="8"/>
  <c r="Y85" i="8"/>
  <c r="X76" i="8"/>
  <c r="X77" i="8"/>
  <c r="X78" i="8"/>
  <c r="X79" i="8"/>
  <c r="X80" i="8"/>
  <c r="X81" i="8"/>
  <c r="X82" i="8"/>
  <c r="X83" i="8"/>
  <c r="X84" i="8"/>
  <c r="X85" i="8"/>
  <c r="X86" i="8"/>
  <c r="W76" i="8"/>
  <c r="W77" i="8"/>
  <c r="W78" i="8"/>
  <c r="W79" i="8"/>
  <c r="W80" i="8"/>
  <c r="W81" i="8"/>
  <c r="W82" i="8"/>
  <c r="W83" i="8"/>
  <c r="W84" i="8"/>
  <c r="W85" i="8"/>
  <c r="W86" i="8"/>
  <c r="V76" i="8"/>
  <c r="V77" i="8"/>
  <c r="V78" i="8"/>
  <c r="V79" i="8"/>
  <c r="V80" i="8"/>
  <c r="V81" i="8"/>
  <c r="V82" i="8"/>
  <c r="V83" i="8"/>
  <c r="V84" i="8"/>
  <c r="V85" i="8"/>
  <c r="V86" i="8"/>
  <c r="Y75" i="8"/>
  <c r="Y87" i="8" s="1"/>
  <c r="C57" i="8" s="1"/>
  <c r="X75" i="8"/>
  <c r="X87" i="8" s="1"/>
  <c r="B57" i="8" s="1"/>
  <c r="G57" i="8" s="1"/>
  <c r="W75" i="8"/>
  <c r="W87" i="8" s="1"/>
  <c r="F56" i="8" s="1"/>
  <c r="V75" i="8"/>
  <c r="V87" i="8" s="1"/>
  <c r="E56" i="8" s="1"/>
  <c r="U76" i="8"/>
  <c r="U77" i="8"/>
  <c r="U78" i="8"/>
  <c r="U79" i="8"/>
  <c r="U80" i="8"/>
  <c r="U81" i="8"/>
  <c r="U82" i="8"/>
  <c r="U83" i="8"/>
  <c r="U84" i="8"/>
  <c r="U85" i="8"/>
  <c r="U86" i="8"/>
  <c r="T76" i="8"/>
  <c r="T77" i="8"/>
  <c r="T78" i="8"/>
  <c r="T79" i="8"/>
  <c r="T80" i="8"/>
  <c r="T81" i="8"/>
  <c r="T82" i="8"/>
  <c r="T83" i="8"/>
  <c r="T84" i="8"/>
  <c r="T85" i="8"/>
  <c r="T86" i="8"/>
  <c r="S76" i="8"/>
  <c r="S77" i="8"/>
  <c r="S78" i="8"/>
  <c r="S79" i="8"/>
  <c r="S80" i="8"/>
  <c r="S81" i="8"/>
  <c r="S82" i="8"/>
  <c r="S83" i="8"/>
  <c r="S84" i="8"/>
  <c r="S85" i="8"/>
  <c r="S86" i="8"/>
  <c r="U75" i="8"/>
  <c r="U87" i="8" s="1"/>
  <c r="C56" i="8" s="1"/>
  <c r="T75" i="8"/>
  <c r="T87" i="8" s="1"/>
  <c r="B56" i="8" s="1"/>
  <c r="G56" i="8" s="1"/>
  <c r="S75" i="8"/>
  <c r="S87" i="8" s="1"/>
  <c r="F55" i="8" s="1"/>
  <c r="R76" i="8"/>
  <c r="R77" i="8"/>
  <c r="R78" i="8"/>
  <c r="R79" i="8"/>
  <c r="R80" i="8"/>
  <c r="R81" i="8"/>
  <c r="R82" i="8"/>
  <c r="R83" i="8"/>
  <c r="R84" i="8"/>
  <c r="R85" i="8"/>
  <c r="R86" i="8"/>
  <c r="Q76" i="8"/>
  <c r="Q77" i="8"/>
  <c r="Q78" i="8"/>
  <c r="Q79" i="8"/>
  <c r="Q80" i="8"/>
  <c r="Q81" i="8"/>
  <c r="Q82" i="8"/>
  <c r="Q83" i="8"/>
  <c r="Q84" i="8"/>
  <c r="Q85" i="8"/>
  <c r="Q86" i="8"/>
  <c r="P76" i="8"/>
  <c r="P77" i="8"/>
  <c r="P78" i="8"/>
  <c r="P79" i="8"/>
  <c r="P81" i="8"/>
  <c r="P82" i="8"/>
  <c r="P83" i="8"/>
  <c r="P84" i="8"/>
  <c r="P85" i="8"/>
  <c r="P86" i="8"/>
  <c r="O76" i="8"/>
  <c r="O77" i="8"/>
  <c r="O78" i="8"/>
  <c r="O79" i="8"/>
  <c r="O80" i="8"/>
  <c r="O81" i="8"/>
  <c r="O82" i="8"/>
  <c r="O83" i="8"/>
  <c r="O84" i="8"/>
  <c r="O85" i="8"/>
  <c r="O86" i="8"/>
  <c r="N76" i="8"/>
  <c r="N77" i="8"/>
  <c r="N78" i="8"/>
  <c r="N79" i="8"/>
  <c r="N80" i="8"/>
  <c r="N81" i="8"/>
  <c r="N82" i="8"/>
  <c r="N83" i="8"/>
  <c r="N84" i="8"/>
  <c r="N85" i="8"/>
  <c r="N86" i="8"/>
  <c r="R75" i="8"/>
  <c r="R87" i="8" s="1"/>
  <c r="E55" i="8" s="1"/>
  <c r="Q75" i="8"/>
  <c r="Q87" i="8" s="1"/>
  <c r="D55" i="8" s="1"/>
  <c r="P75" i="8"/>
  <c r="P87" i="8" s="1"/>
  <c r="B55" i="8" s="1"/>
  <c r="O75" i="8"/>
  <c r="O87" i="8" s="1"/>
  <c r="F54" i="8" s="1"/>
  <c r="F59" i="8" s="1"/>
  <c r="N75" i="8"/>
  <c r="N87" i="8" s="1"/>
  <c r="E54" i="8" s="1"/>
  <c r="E59" i="8" s="1"/>
  <c r="M76" i="8"/>
  <c r="M77" i="8"/>
  <c r="M78" i="8"/>
  <c r="M79" i="8"/>
  <c r="M80" i="8"/>
  <c r="M81" i="8"/>
  <c r="M82" i="8"/>
  <c r="M83" i="8"/>
  <c r="M84" i="8"/>
  <c r="M85" i="8"/>
  <c r="M86" i="8"/>
  <c r="M75" i="8"/>
  <c r="M87" i="8" s="1"/>
  <c r="D54" i="8" s="1"/>
  <c r="D59" i="8" s="1"/>
  <c r="L76" i="8"/>
  <c r="L77" i="8"/>
  <c r="L78" i="8"/>
  <c r="L79" i="8"/>
  <c r="L80" i="8"/>
  <c r="L81" i="8"/>
  <c r="L82" i="8"/>
  <c r="L83" i="8"/>
  <c r="L84" i="8"/>
  <c r="L85" i="8"/>
  <c r="L86" i="8"/>
  <c r="L75" i="8"/>
  <c r="L87" i="8" s="1"/>
  <c r="C54" i="8" s="1"/>
  <c r="L60" i="8"/>
  <c r="AE61" i="8"/>
  <c r="AE62" i="8"/>
  <c r="AE63" i="8"/>
  <c r="AE64" i="8"/>
  <c r="AE65" i="8"/>
  <c r="AE66" i="8"/>
  <c r="AE67" i="8"/>
  <c r="AE68" i="8"/>
  <c r="AE69" i="8"/>
  <c r="AE70" i="8"/>
  <c r="AE71" i="8"/>
  <c r="AD61" i="8"/>
  <c r="AD62" i="8"/>
  <c r="AD63" i="8"/>
  <c r="AD64" i="8"/>
  <c r="AD65" i="8"/>
  <c r="AD66" i="8"/>
  <c r="AD67" i="8"/>
  <c r="AD68" i="8"/>
  <c r="AD69" i="8"/>
  <c r="AD70" i="8"/>
  <c r="AD71" i="8"/>
  <c r="AE60" i="8"/>
  <c r="AE72" i="8" s="1"/>
  <c r="E48" i="8" s="1"/>
  <c r="AD60" i="8"/>
  <c r="AD72" i="8" s="1"/>
  <c r="D48" i="8" s="1"/>
  <c r="AC61" i="8"/>
  <c r="AC62" i="8"/>
  <c r="AC63" i="8"/>
  <c r="AC64" i="8"/>
  <c r="AC65" i="8"/>
  <c r="AC66" i="8"/>
  <c r="AC67" i="8"/>
  <c r="AC68" i="8"/>
  <c r="AC69" i="8"/>
  <c r="AC70" i="8"/>
  <c r="AC71" i="8"/>
  <c r="AB61" i="8"/>
  <c r="AB62" i="8"/>
  <c r="AB63" i="8"/>
  <c r="AB64" i="8"/>
  <c r="AB65" i="8"/>
  <c r="AB66" i="8"/>
  <c r="AB67" i="8"/>
  <c r="AB68" i="8"/>
  <c r="AB69" i="8"/>
  <c r="AB70" i="8"/>
  <c r="AB71" i="8"/>
  <c r="AA61" i="8"/>
  <c r="AA62" i="8"/>
  <c r="AA63" i="8"/>
  <c r="AA64" i="8"/>
  <c r="AA65" i="8"/>
  <c r="AA66" i="8"/>
  <c r="AA67" i="8"/>
  <c r="AA68" i="8"/>
  <c r="AA69" i="8"/>
  <c r="AA70" i="8"/>
  <c r="AA71" i="8"/>
  <c r="AC60" i="8"/>
  <c r="AC72" i="8" s="1"/>
  <c r="C48" i="8" s="1"/>
  <c r="AB60" i="8"/>
  <c r="AB72" i="8" s="1"/>
  <c r="B48" i="8" s="1"/>
  <c r="G48" i="8" s="1"/>
  <c r="AA60" i="8"/>
  <c r="AA72" i="8" s="1"/>
  <c r="F47" i="8" s="1"/>
  <c r="Z61" i="8"/>
  <c r="Z62" i="8"/>
  <c r="Z63" i="8"/>
  <c r="Z64" i="8"/>
  <c r="Z65" i="8"/>
  <c r="Z66" i="8"/>
  <c r="Z67" i="8"/>
  <c r="Z68" i="8"/>
  <c r="Z69" i="8"/>
  <c r="Z70" i="8"/>
  <c r="Z71" i="8"/>
  <c r="Y61" i="8"/>
  <c r="Y62" i="8"/>
  <c r="Y63" i="8"/>
  <c r="Y64" i="8"/>
  <c r="Y65" i="8"/>
  <c r="Y66" i="8"/>
  <c r="Y67" i="8"/>
  <c r="Y68" i="8"/>
  <c r="Y69" i="8"/>
  <c r="Y70" i="8"/>
  <c r="Y71" i="8"/>
  <c r="X61" i="8"/>
  <c r="X62" i="8"/>
  <c r="X63" i="8"/>
  <c r="X64" i="8"/>
  <c r="X65" i="8"/>
  <c r="X66" i="8"/>
  <c r="X67" i="8"/>
  <c r="X68" i="8"/>
  <c r="X69" i="8"/>
  <c r="X70" i="8"/>
  <c r="X71" i="8"/>
  <c r="Z60" i="8"/>
  <c r="Z72" i="8" s="1"/>
  <c r="D47" i="8" s="1"/>
  <c r="Y60" i="8"/>
  <c r="Y72" i="8" s="1"/>
  <c r="C47" i="8" s="1"/>
  <c r="X60" i="8"/>
  <c r="X72" i="8" s="1"/>
  <c r="B47" i="8" s="1"/>
  <c r="G47" i="8" s="1"/>
  <c r="W61" i="8"/>
  <c r="W62" i="8"/>
  <c r="W63" i="8"/>
  <c r="W64" i="8"/>
  <c r="W65" i="8"/>
  <c r="W66" i="8"/>
  <c r="W67" i="8"/>
  <c r="W68" i="8"/>
  <c r="W69" i="8"/>
  <c r="W70" i="8"/>
  <c r="W71" i="8"/>
  <c r="V61" i="8"/>
  <c r="V62" i="8"/>
  <c r="V63" i="8"/>
  <c r="V64" i="8"/>
  <c r="V65" i="8"/>
  <c r="V66" i="8"/>
  <c r="V67" i="8"/>
  <c r="V68" i="8"/>
  <c r="V69" i="8"/>
  <c r="V70" i="8"/>
  <c r="V71" i="8"/>
  <c r="W60" i="8"/>
  <c r="W72" i="8" s="1"/>
  <c r="F46" i="8" s="1"/>
  <c r="V60" i="8"/>
  <c r="V72" i="8" s="1"/>
  <c r="E46" i="8" s="1"/>
  <c r="U61" i="8"/>
  <c r="U62" i="8"/>
  <c r="U63" i="8"/>
  <c r="U64" i="8"/>
  <c r="U65" i="8"/>
  <c r="U66" i="8"/>
  <c r="U67" i="8"/>
  <c r="U68" i="8"/>
  <c r="U69" i="8"/>
  <c r="U70" i="8"/>
  <c r="U71" i="8"/>
  <c r="T61" i="8"/>
  <c r="T62" i="8"/>
  <c r="T63" i="8"/>
  <c r="T64" i="8"/>
  <c r="T65" i="8"/>
  <c r="T66" i="8"/>
  <c r="T67" i="8"/>
  <c r="T68" i="8"/>
  <c r="T69" i="8"/>
  <c r="T70" i="8"/>
  <c r="T71" i="8"/>
  <c r="U60" i="8"/>
  <c r="U72" i="8" s="1"/>
  <c r="C46" i="8" s="1"/>
  <c r="T60" i="8"/>
  <c r="T72" i="8" s="1"/>
  <c r="B46" i="8" s="1"/>
  <c r="G46" i="8" s="1"/>
  <c r="S61" i="8"/>
  <c r="S62" i="8"/>
  <c r="S63" i="8"/>
  <c r="S64" i="8"/>
  <c r="S65" i="8"/>
  <c r="S66" i="8"/>
  <c r="S67" i="8"/>
  <c r="S68" i="8"/>
  <c r="S69" i="8"/>
  <c r="S70" i="8"/>
  <c r="S71" i="8"/>
  <c r="S60" i="8"/>
  <c r="S72" i="8" s="1"/>
  <c r="F45" i="8" s="1"/>
  <c r="R61" i="8"/>
  <c r="R62" i="8"/>
  <c r="R63" i="8"/>
  <c r="R64" i="8"/>
  <c r="R65" i="8"/>
  <c r="R66" i="8"/>
  <c r="R67" i="8"/>
  <c r="R68" i="8"/>
  <c r="R69" i="8"/>
  <c r="R70" i="8"/>
  <c r="R71" i="8"/>
  <c r="R60" i="8"/>
  <c r="R72" i="8" s="1"/>
  <c r="E45" i="8" s="1"/>
  <c r="Q61" i="8"/>
  <c r="Q62" i="8"/>
  <c r="Q63" i="8"/>
  <c r="Q64" i="8"/>
  <c r="Q65" i="8"/>
  <c r="Q66" i="8"/>
  <c r="Q67" i="8"/>
  <c r="Q68" i="8"/>
  <c r="Q69" i="8"/>
  <c r="Q70" i="8"/>
  <c r="Q71" i="8"/>
  <c r="Q60" i="8"/>
  <c r="Q72" i="8" s="1"/>
  <c r="D45" i="8" s="1"/>
  <c r="P61" i="8"/>
  <c r="P62" i="8"/>
  <c r="P63" i="8"/>
  <c r="P64" i="8"/>
  <c r="P65" i="8"/>
  <c r="P66" i="8"/>
  <c r="P67" i="8"/>
  <c r="P68" i="8"/>
  <c r="P69" i="8"/>
  <c r="P70" i="8"/>
  <c r="P71" i="8"/>
  <c r="P60" i="8"/>
  <c r="P72" i="8" s="1"/>
  <c r="B45" i="8" s="1"/>
  <c r="O61" i="8"/>
  <c r="O62" i="8"/>
  <c r="O63" i="8"/>
  <c r="O64" i="8"/>
  <c r="O65" i="8"/>
  <c r="O66" i="8"/>
  <c r="O67" i="8"/>
  <c r="O68" i="8"/>
  <c r="O69" i="8"/>
  <c r="O70" i="8"/>
  <c r="O71" i="8"/>
  <c r="O60" i="8"/>
  <c r="O72" i="8" s="1"/>
  <c r="F44" i="8" s="1"/>
  <c r="F49" i="8" s="1"/>
  <c r="M60" i="8"/>
  <c r="N60" i="8"/>
  <c r="N61" i="8"/>
  <c r="M61" i="8"/>
  <c r="M62" i="8"/>
  <c r="M63" i="8"/>
  <c r="M64" i="8"/>
  <c r="M65" i="8"/>
  <c r="M66" i="8"/>
  <c r="M67" i="8"/>
  <c r="M68" i="8"/>
  <c r="M69" i="8"/>
  <c r="M70" i="8"/>
  <c r="M71" i="8"/>
  <c r="N62" i="8"/>
  <c r="N63" i="8"/>
  <c r="N64" i="8"/>
  <c r="N65" i="8"/>
  <c r="N66" i="8"/>
  <c r="N67" i="8"/>
  <c r="N68" i="8"/>
  <c r="N69" i="8"/>
  <c r="N70" i="8"/>
  <c r="N71" i="8"/>
  <c r="M72" i="8"/>
  <c r="D44" i="8" s="1"/>
  <c r="D49" i="8" s="1"/>
  <c r="L61" i="8"/>
  <c r="L62" i="8"/>
  <c r="L63" i="8"/>
  <c r="L64" i="8"/>
  <c r="L65" i="8"/>
  <c r="L66" i="8"/>
  <c r="L67" i="8"/>
  <c r="L68" i="8"/>
  <c r="L69" i="8"/>
  <c r="L70" i="8"/>
  <c r="L71" i="8"/>
  <c r="K55" i="6"/>
  <c r="W13" i="4"/>
  <c r="Z3" i="4"/>
  <c r="Z4" i="4"/>
  <c r="Z5" i="4"/>
  <c r="Z6" i="4"/>
  <c r="Z7" i="4"/>
  <c r="Z8" i="4"/>
  <c r="Z9" i="4"/>
  <c r="Z10" i="4"/>
  <c r="Z11" i="4"/>
  <c r="Z12" i="4"/>
  <c r="Z13" i="4"/>
  <c r="Z2" i="4"/>
  <c r="Y3" i="4"/>
  <c r="Y4" i="4"/>
  <c r="Y5" i="4"/>
  <c r="Y6" i="4"/>
  <c r="Y7" i="4"/>
  <c r="Y8" i="4"/>
  <c r="Y9" i="4"/>
  <c r="Y10" i="4"/>
  <c r="Y11" i="4"/>
  <c r="Y12" i="4"/>
  <c r="Y13" i="4"/>
  <c r="Y2" i="4"/>
  <c r="X3" i="4"/>
  <c r="X4" i="4"/>
  <c r="X5" i="4"/>
  <c r="X6" i="4"/>
  <c r="X7" i="4"/>
  <c r="X8" i="4"/>
  <c r="X9" i="4"/>
  <c r="X10" i="4"/>
  <c r="X11" i="4"/>
  <c r="X12" i="4"/>
  <c r="X13" i="4"/>
  <c r="X2" i="4"/>
  <c r="W3" i="4"/>
  <c r="W4" i="4"/>
  <c r="W5" i="4"/>
  <c r="W6" i="4"/>
  <c r="W7" i="4"/>
  <c r="W8" i="4"/>
  <c r="W9" i="4"/>
  <c r="W10" i="4"/>
  <c r="W11" i="4"/>
  <c r="W12" i="4"/>
  <c r="W2" i="4"/>
  <c r="V3" i="4"/>
  <c r="AA3" i="4" s="1"/>
  <c r="V4" i="4"/>
  <c r="AA4" i="4" s="1"/>
  <c r="V5" i="4"/>
  <c r="AA5" i="4" s="1"/>
  <c r="V6" i="4"/>
  <c r="AA6" i="4" s="1"/>
  <c r="V7" i="4"/>
  <c r="AA7" i="4" s="1"/>
  <c r="V8" i="4"/>
  <c r="AA8" i="4" s="1"/>
  <c r="V9" i="4"/>
  <c r="AA9" i="4" s="1"/>
  <c r="V10" i="4"/>
  <c r="AA10" i="4" s="1"/>
  <c r="V11" i="4"/>
  <c r="AA11" i="4" s="1"/>
  <c r="V12" i="4"/>
  <c r="AA12" i="4" s="1"/>
  <c r="V13" i="4"/>
  <c r="AA13" i="4" s="1"/>
  <c r="P3" i="5"/>
  <c r="P4" i="5"/>
  <c r="P5" i="5"/>
  <c r="P6" i="5"/>
  <c r="P7" i="5"/>
  <c r="P8" i="5"/>
  <c r="P9" i="5"/>
  <c r="P10" i="5"/>
  <c r="P11" i="5"/>
  <c r="P12" i="5"/>
  <c r="P13" i="5"/>
  <c r="P2" i="5"/>
  <c r="N14" i="5"/>
  <c r="I15" i="5"/>
  <c r="D18" i="5"/>
  <c r="B14" i="5"/>
  <c r="AR42" i="4"/>
  <c r="AS42" i="4" s="1"/>
  <c r="T8" i="1"/>
  <c r="U25" i="4"/>
  <c r="U21" i="4"/>
  <c r="V21" i="4"/>
  <c r="U20" i="4"/>
  <c r="K8" i="1"/>
  <c r="J8" i="1"/>
  <c r="V25" i="4"/>
  <c r="W25" i="4" s="1"/>
  <c r="V26" i="4"/>
  <c r="U26" i="4"/>
  <c r="U23" i="4"/>
  <c r="V22" i="4"/>
  <c r="U22" i="4"/>
  <c r="V19" i="4"/>
  <c r="U19" i="4"/>
  <c r="V18" i="4"/>
  <c r="V27" i="4"/>
  <c r="U27" i="4"/>
  <c r="V24" i="4"/>
  <c r="U24" i="4"/>
  <c r="V20" i="4"/>
  <c r="R26" i="5"/>
  <c r="R24" i="5"/>
  <c r="R23" i="5"/>
  <c r="I20" i="5"/>
  <c r="D41" i="3"/>
  <c r="D40" i="3"/>
  <c r="D39" i="3"/>
  <c r="D38" i="3"/>
  <c r="J12" i="4"/>
  <c r="H3" i="8"/>
  <c r="H4" i="8"/>
  <c r="H5" i="8"/>
  <c r="H6" i="8"/>
  <c r="H7" i="8"/>
  <c r="H8" i="8"/>
  <c r="H9" i="8"/>
  <c r="H10" i="8"/>
  <c r="H11" i="8"/>
  <c r="H12" i="8"/>
  <c r="H13" i="8"/>
  <c r="H2" i="8"/>
  <c r="G3" i="8"/>
  <c r="G4" i="8"/>
  <c r="G5" i="8"/>
  <c r="G6" i="8"/>
  <c r="G7" i="8"/>
  <c r="G8" i="8"/>
  <c r="G9" i="8"/>
  <c r="G10" i="8"/>
  <c r="G11" i="8"/>
  <c r="G12" i="8"/>
  <c r="G13" i="8"/>
  <c r="G2" i="8"/>
  <c r="B32" i="3"/>
  <c r="G64" i="3"/>
  <c r="G2" i="6"/>
  <c r="H2" i="6"/>
  <c r="G3" i="6"/>
  <c r="H3" i="6"/>
  <c r="G4" i="6"/>
  <c r="H4" i="6"/>
  <c r="G5" i="6"/>
  <c r="H5" i="6"/>
  <c r="G6" i="6"/>
  <c r="H6" i="6"/>
  <c r="G7" i="6"/>
  <c r="H7" i="6"/>
  <c r="G8" i="6"/>
  <c r="H8" i="6"/>
  <c r="G9" i="6"/>
  <c r="H9" i="6"/>
  <c r="G10" i="6"/>
  <c r="H10" i="6"/>
  <c r="G11" i="6"/>
  <c r="H11" i="6"/>
  <c r="G12" i="6"/>
  <c r="H12" i="6"/>
  <c r="G13" i="6"/>
  <c r="H13" i="6"/>
  <c r="K56" i="3"/>
  <c r="D12" i="4"/>
  <c r="J10" i="4"/>
  <c r="N12" i="4"/>
  <c r="O10" i="4"/>
  <c r="F4" i="4"/>
  <c r="B31" i="3"/>
  <c r="B30" i="3"/>
  <c r="B29" i="3"/>
  <c r="D45" i="3"/>
  <c r="D46" i="3"/>
  <c r="D44" i="3"/>
  <c r="D37" i="3"/>
  <c r="D36" i="3"/>
  <c r="W36" i="1"/>
  <c r="G36" i="3"/>
  <c r="G37" i="3"/>
  <c r="G38" i="3"/>
  <c r="G39" i="3"/>
  <c r="G40" i="3"/>
  <c r="G44" i="3"/>
  <c r="G45" i="3"/>
  <c r="G46" i="3"/>
  <c r="E56" i="1"/>
  <c r="E57" i="1"/>
  <c r="E58" i="1"/>
  <c r="E59" i="1"/>
  <c r="E60" i="1"/>
  <c r="E61" i="1"/>
  <c r="E62" i="1"/>
  <c r="E63" i="1"/>
  <c r="E64" i="1"/>
  <c r="E65" i="1"/>
  <c r="E66" i="1"/>
  <c r="E55" i="1"/>
  <c r="J24" i="1"/>
  <c r="D39" i="1"/>
  <c r="D41" i="1"/>
  <c r="D42" i="1"/>
  <c r="D43" i="1"/>
  <c r="D44" i="1"/>
  <c r="D45" i="1"/>
  <c r="D46" i="1"/>
  <c r="D47" i="1"/>
  <c r="D48" i="1"/>
  <c r="D49" i="1"/>
  <c r="D50" i="1"/>
  <c r="D40" i="1"/>
  <c r="J25" i="1"/>
  <c r="O25" i="1" s="1"/>
  <c r="J26" i="1"/>
  <c r="O26" i="1" s="1"/>
  <c r="J27" i="1"/>
  <c r="O27" i="1" s="1"/>
  <c r="J28" i="1"/>
  <c r="O28" i="1" s="1"/>
  <c r="J29" i="1"/>
  <c r="O29" i="1" s="1"/>
  <c r="J30" i="1"/>
  <c r="O30" i="1" s="1"/>
  <c r="J31" i="1"/>
  <c r="O31" i="1" s="1"/>
  <c r="J32" i="1"/>
  <c r="O32" i="1" s="1"/>
  <c r="J33" i="1"/>
  <c r="O33" i="1" s="1"/>
  <c r="J34" i="1"/>
  <c r="O34" i="1" s="1"/>
  <c r="J35" i="1"/>
  <c r="O35" i="1" s="1"/>
  <c r="O24" i="1"/>
  <c r="I25" i="1"/>
  <c r="N25" i="1" s="1"/>
  <c r="I26" i="1"/>
  <c r="N26" i="1" s="1"/>
  <c r="I27" i="1"/>
  <c r="N27" i="1" s="1"/>
  <c r="I28" i="1"/>
  <c r="N28" i="1" s="1"/>
  <c r="I29" i="1"/>
  <c r="N29" i="1" s="1"/>
  <c r="I30" i="1"/>
  <c r="N30" i="1" s="1"/>
  <c r="I31" i="1"/>
  <c r="N31" i="1" s="1"/>
  <c r="I32" i="1"/>
  <c r="N32" i="1" s="1"/>
  <c r="I33" i="1"/>
  <c r="N33" i="1" s="1"/>
  <c r="I34" i="1"/>
  <c r="N34" i="1" s="1"/>
  <c r="I35" i="1"/>
  <c r="N35" i="1" s="1"/>
  <c r="I24" i="1"/>
  <c r="N24" i="1" s="1"/>
  <c r="H25" i="1"/>
  <c r="M25" i="1" s="1"/>
  <c r="H26" i="1"/>
  <c r="M26" i="1" s="1"/>
  <c r="H27" i="1"/>
  <c r="M27" i="1" s="1"/>
  <c r="H28" i="1"/>
  <c r="M28" i="1" s="1"/>
  <c r="H29" i="1"/>
  <c r="M29" i="1" s="1"/>
  <c r="H30" i="1"/>
  <c r="M30" i="1" s="1"/>
  <c r="H31" i="1"/>
  <c r="M31" i="1" s="1"/>
  <c r="H32" i="1"/>
  <c r="M32" i="1" s="1"/>
  <c r="H33" i="1"/>
  <c r="M33" i="1" s="1"/>
  <c r="H34" i="1"/>
  <c r="M34" i="1" s="1"/>
  <c r="H35" i="1"/>
  <c r="M35" i="1" s="1"/>
  <c r="H24" i="1"/>
  <c r="M24" i="1" s="1"/>
  <c r="G25" i="1"/>
  <c r="L25" i="1" s="1"/>
  <c r="G26" i="1"/>
  <c r="L26" i="1" s="1"/>
  <c r="G27" i="1"/>
  <c r="L27" i="1" s="1"/>
  <c r="G28" i="1"/>
  <c r="L28" i="1" s="1"/>
  <c r="G29" i="1"/>
  <c r="L29" i="1" s="1"/>
  <c r="G30" i="1"/>
  <c r="L30" i="1" s="1"/>
  <c r="G31" i="1"/>
  <c r="L31" i="1" s="1"/>
  <c r="G32" i="1"/>
  <c r="L32" i="1" s="1"/>
  <c r="G33" i="1"/>
  <c r="L33" i="1" s="1"/>
  <c r="G34" i="1"/>
  <c r="L34" i="1" s="1"/>
  <c r="G35" i="1"/>
  <c r="L35" i="1" s="1"/>
  <c r="G24" i="1"/>
  <c r="L24" i="1" s="1"/>
  <c r="F25" i="1"/>
  <c r="K25" i="1" s="1"/>
  <c r="P25" i="1" s="1"/>
  <c r="F26" i="1"/>
  <c r="K26" i="1" s="1"/>
  <c r="P26" i="1" s="1"/>
  <c r="F27" i="1"/>
  <c r="K27" i="1" s="1"/>
  <c r="P27" i="1" s="1"/>
  <c r="F28" i="1"/>
  <c r="K28" i="1" s="1"/>
  <c r="P28" i="1" s="1"/>
  <c r="F29" i="1"/>
  <c r="K29" i="1" s="1"/>
  <c r="P29" i="1" s="1"/>
  <c r="F30" i="1"/>
  <c r="K30" i="1" s="1"/>
  <c r="P30" i="1" s="1"/>
  <c r="F31" i="1"/>
  <c r="K31" i="1" s="1"/>
  <c r="P31" i="1" s="1"/>
  <c r="F32" i="1"/>
  <c r="K32" i="1" s="1"/>
  <c r="P32" i="1" s="1"/>
  <c r="F33" i="1"/>
  <c r="K33" i="1" s="1"/>
  <c r="P33" i="1" s="1"/>
  <c r="F34" i="1"/>
  <c r="K34" i="1" s="1"/>
  <c r="P34" i="1" s="1"/>
  <c r="F35" i="1"/>
  <c r="K35" i="1" s="1"/>
  <c r="P35" i="1" s="1"/>
  <c r="F24" i="1"/>
  <c r="K24" i="1" s="1"/>
  <c r="H9" i="1"/>
  <c r="H10" i="1"/>
  <c r="H11" i="1"/>
  <c r="H12" i="1"/>
  <c r="H13" i="1"/>
  <c r="H14" i="1"/>
  <c r="H15" i="1"/>
  <c r="H16" i="1"/>
  <c r="H17" i="1"/>
  <c r="H18" i="1"/>
  <c r="H19" i="1"/>
  <c r="H8" i="1"/>
  <c r="G9" i="1"/>
  <c r="G10" i="1"/>
  <c r="G11" i="1"/>
  <c r="G12" i="1"/>
  <c r="I12" i="1" s="1"/>
  <c r="G13" i="1"/>
  <c r="G14" i="1"/>
  <c r="G16" i="1"/>
  <c r="I16" i="1" s="1"/>
  <c r="G17" i="1"/>
  <c r="I17" i="1" s="1"/>
  <c r="G18" i="1"/>
  <c r="I18" i="1" s="1"/>
  <c r="G19" i="1"/>
  <c r="I19" i="1" s="1"/>
  <c r="G8" i="1"/>
  <c r="R79" i="11" l="1"/>
  <c r="P79" i="11"/>
  <c r="S77" i="11"/>
  <c r="S78" i="11"/>
  <c r="S76" i="11"/>
  <c r="Q79" i="11"/>
  <c r="AF52" i="11"/>
  <c r="R60" i="11" s="1"/>
  <c r="AF53" i="11"/>
  <c r="P61" i="11" s="1"/>
  <c r="AF56" i="11"/>
  <c r="Q62" i="11" s="1"/>
  <c r="AF51" i="11"/>
  <c r="Q60" i="11" s="1"/>
  <c r="AF55" i="11"/>
  <c r="P62" i="11" s="1"/>
  <c r="AF54" i="11"/>
  <c r="R61" i="11" s="1"/>
  <c r="Y53" i="13"/>
  <c r="J84" i="13"/>
  <c r="J82" i="13"/>
  <c r="J83" i="13"/>
  <c r="I84" i="13"/>
  <c r="I83" i="13"/>
  <c r="K83" i="13"/>
  <c r="K82" i="13"/>
  <c r="K84" i="13"/>
  <c r="L83" i="13"/>
  <c r="L82" i="13"/>
  <c r="L84" i="13"/>
  <c r="H84" i="13"/>
  <c r="H82" i="13"/>
  <c r="H83" i="13"/>
  <c r="M82" i="13"/>
  <c r="M83" i="13"/>
  <c r="M84" i="13"/>
  <c r="R25" i="13"/>
  <c r="O84" i="13"/>
  <c r="O82" i="13"/>
  <c r="N83" i="13"/>
  <c r="P83" i="13"/>
  <c r="N84" i="13"/>
  <c r="P82" i="13"/>
  <c r="O83" i="13"/>
  <c r="P84" i="13"/>
  <c r="N82" i="13"/>
  <c r="V14" i="11"/>
  <c r="Z35" i="11"/>
  <c r="Q54" i="11"/>
  <c r="S51" i="11"/>
  <c r="S53" i="11"/>
  <c r="R54" i="11"/>
  <c r="AA15" i="11"/>
  <c r="AA16" i="11"/>
  <c r="AA14" i="11"/>
  <c r="Z15" i="11"/>
  <c r="Z16" i="11"/>
  <c r="Z14" i="11"/>
  <c r="Y15" i="11"/>
  <c r="Y16" i="11"/>
  <c r="Y14" i="11"/>
  <c r="E130" i="12"/>
  <c r="R28" i="13"/>
  <c r="R29" i="13"/>
  <c r="R27" i="13"/>
  <c r="T28" i="13"/>
  <c r="T29" i="13"/>
  <c r="T27" i="13"/>
  <c r="S28" i="13"/>
  <c r="S29" i="13"/>
  <c r="S27" i="13"/>
  <c r="P54" i="11"/>
  <c r="S52" i="11"/>
  <c r="G28" i="11"/>
  <c r="K16" i="11" s="1"/>
  <c r="K24" i="11"/>
  <c r="M24" i="11" s="1"/>
  <c r="M33" i="11"/>
  <c r="M42" i="11"/>
  <c r="L43" i="11"/>
  <c r="L44" i="11" s="1"/>
  <c r="U15" i="11"/>
  <c r="U16" i="11"/>
  <c r="U14" i="11"/>
  <c r="T15" i="11"/>
  <c r="T16" i="11"/>
  <c r="T14" i="11"/>
  <c r="S14" i="11"/>
  <c r="S15" i="11"/>
  <c r="S16" i="11"/>
  <c r="K48" i="11"/>
  <c r="M48" i="11" s="1"/>
  <c r="M49" i="11"/>
  <c r="V15" i="11"/>
  <c r="V16" i="11"/>
  <c r="W16" i="11"/>
  <c r="W15" i="11"/>
  <c r="W14" i="11"/>
  <c r="X15" i="11"/>
  <c r="Y19" i="11" s="1"/>
  <c r="X16" i="11"/>
  <c r="M50" i="11"/>
  <c r="L51" i="11"/>
  <c r="L52" i="11" s="1"/>
  <c r="P25" i="13"/>
  <c r="O28" i="13"/>
  <c r="O29" i="13"/>
  <c r="Q25" i="13"/>
  <c r="Q27" i="13" s="1"/>
  <c r="I11" i="13"/>
  <c r="K11" i="13"/>
  <c r="J11" i="13"/>
  <c r="K51" i="11"/>
  <c r="J51" i="11"/>
  <c r="J52" i="11" s="1"/>
  <c r="J43" i="11"/>
  <c r="J44" i="11" s="1"/>
  <c r="M41" i="11"/>
  <c r="K43" i="11"/>
  <c r="K44" i="11" s="1"/>
  <c r="G47" i="3"/>
  <c r="O16" i="11"/>
  <c r="O15" i="11"/>
  <c r="Q16" i="11"/>
  <c r="Q15" i="11"/>
  <c r="P15" i="11"/>
  <c r="P14" i="11"/>
  <c r="P16" i="11"/>
  <c r="B2" i="11"/>
  <c r="E2" i="11"/>
  <c r="K19" i="11"/>
  <c r="M16" i="11"/>
  <c r="M18" i="11"/>
  <c r="J19" i="11"/>
  <c r="M17" i="11"/>
  <c r="K20" i="11" s="1"/>
  <c r="L19" i="11"/>
  <c r="M26" i="11"/>
  <c r="J27" i="11"/>
  <c r="J28" i="11" s="1"/>
  <c r="L27" i="11"/>
  <c r="M34" i="11"/>
  <c r="J35" i="11"/>
  <c r="J36" i="11" s="1"/>
  <c r="L35" i="11"/>
  <c r="B50" i="12"/>
  <c r="C50" i="12"/>
  <c r="L38" i="12"/>
  <c r="H103" i="12"/>
  <c r="J103" i="12"/>
  <c r="I103" i="12"/>
  <c r="J8" i="10"/>
  <c r="I8" i="10"/>
  <c r="J9" i="10"/>
  <c r="I9" i="10"/>
  <c r="O7" i="10"/>
  <c r="M7" i="10"/>
  <c r="F48" i="12"/>
  <c r="F50" i="12" s="1"/>
  <c r="B52" i="12"/>
  <c r="B51" i="12"/>
  <c r="C52" i="12"/>
  <c r="C51" i="12"/>
  <c r="D52" i="12"/>
  <c r="D51" i="12"/>
  <c r="D50" i="12"/>
  <c r="E52" i="12"/>
  <c r="E51" i="12"/>
  <c r="E50" i="12"/>
  <c r="K35" i="11"/>
  <c r="K36" i="11"/>
  <c r="L36" i="11"/>
  <c r="K27" i="11"/>
  <c r="M25" i="11"/>
  <c r="K28" i="11" s="1"/>
  <c r="L28" i="11"/>
  <c r="B4" i="11"/>
  <c r="B3" i="11"/>
  <c r="C4" i="11"/>
  <c r="C3" i="11"/>
  <c r="C2" i="11"/>
  <c r="D2" i="11"/>
  <c r="D4" i="11"/>
  <c r="D3" i="11"/>
  <c r="E3" i="11"/>
  <c r="E4" i="11"/>
  <c r="F4" i="11"/>
  <c r="F3" i="11"/>
  <c r="F48" i="10"/>
  <c r="B52" i="10"/>
  <c r="B51" i="10"/>
  <c r="B50" i="10"/>
  <c r="E51" i="10"/>
  <c r="E52" i="10"/>
  <c r="E50" i="10"/>
  <c r="D52" i="10"/>
  <c r="D51" i="10"/>
  <c r="D50" i="10"/>
  <c r="C52" i="10"/>
  <c r="C51" i="10"/>
  <c r="C50" i="10"/>
  <c r="G56" i="6"/>
  <c r="F56" i="6"/>
  <c r="E56" i="6"/>
  <c r="D56" i="6"/>
  <c r="C56" i="6"/>
  <c r="G55" i="6"/>
  <c r="F55" i="6"/>
  <c r="E55" i="6"/>
  <c r="D55" i="6"/>
  <c r="C55" i="6"/>
  <c r="G54" i="6"/>
  <c r="F54" i="6"/>
  <c r="E54" i="6"/>
  <c r="D54" i="6"/>
  <c r="C54" i="6"/>
  <c r="G53" i="6"/>
  <c r="F53" i="6"/>
  <c r="E53" i="6"/>
  <c r="D53" i="6"/>
  <c r="C53" i="6"/>
  <c r="G52" i="6"/>
  <c r="F52" i="6"/>
  <c r="E52" i="6"/>
  <c r="D52" i="6"/>
  <c r="C52" i="6"/>
  <c r="G51" i="6"/>
  <c r="F51" i="6"/>
  <c r="E51" i="6"/>
  <c r="D51" i="6"/>
  <c r="C51" i="6"/>
  <c r="G50" i="6"/>
  <c r="F50" i="6"/>
  <c r="E50" i="6"/>
  <c r="D50" i="6"/>
  <c r="C50" i="6"/>
  <c r="G49" i="6"/>
  <c r="F49" i="6"/>
  <c r="E49" i="6"/>
  <c r="D49" i="6"/>
  <c r="C49" i="6"/>
  <c r="G48" i="6"/>
  <c r="F48" i="6"/>
  <c r="E48" i="6"/>
  <c r="D48" i="6"/>
  <c r="C34" i="6"/>
  <c r="C48" i="6"/>
  <c r="G47" i="6"/>
  <c r="F47" i="6"/>
  <c r="E47" i="6"/>
  <c r="D47" i="6"/>
  <c r="C47" i="6"/>
  <c r="G46" i="6"/>
  <c r="F46" i="6"/>
  <c r="E46" i="6"/>
  <c r="D46" i="6"/>
  <c r="C46" i="6"/>
  <c r="G45" i="6"/>
  <c r="F45" i="6"/>
  <c r="E45" i="6"/>
  <c r="D45" i="6"/>
  <c r="C31" i="6"/>
  <c r="L72" i="8"/>
  <c r="C44" i="8" s="1"/>
  <c r="N72" i="8"/>
  <c r="E44" i="8" s="1"/>
  <c r="E49" i="8" s="1"/>
  <c r="B49" i="8"/>
  <c r="G45" i="8"/>
  <c r="D50" i="8"/>
  <c r="E50" i="8"/>
  <c r="F50" i="8"/>
  <c r="C59" i="8"/>
  <c r="G54" i="8"/>
  <c r="D60" i="8"/>
  <c r="E60" i="8"/>
  <c r="F60" i="8"/>
  <c r="G64" i="8"/>
  <c r="C69" i="8"/>
  <c r="B69" i="8"/>
  <c r="G65" i="8"/>
  <c r="C70" i="8" s="1"/>
  <c r="D70" i="8"/>
  <c r="E70" i="8"/>
  <c r="F70" i="8"/>
  <c r="U1" i="8"/>
  <c r="L2" i="8" s="1"/>
  <c r="L45" i="8" s="1"/>
  <c r="L13" i="8"/>
  <c r="L12" i="8"/>
  <c r="L11" i="8"/>
  <c r="L10" i="8"/>
  <c r="L9" i="8"/>
  <c r="L8" i="8"/>
  <c r="L7" i="8"/>
  <c r="L6" i="8"/>
  <c r="L5" i="8"/>
  <c r="L4" i="8"/>
  <c r="L3" i="8"/>
  <c r="H29" i="6"/>
  <c r="R17" i="6"/>
  <c r="K47" i="6"/>
  <c r="L47" i="6"/>
  <c r="L46" i="6"/>
  <c r="M47" i="6"/>
  <c r="M46" i="6"/>
  <c r="N47" i="6"/>
  <c r="N46" i="6"/>
  <c r="O47" i="6"/>
  <c r="O46" i="6"/>
  <c r="B59" i="8"/>
  <c r="B60" i="8" s="1"/>
  <c r="G55" i="8"/>
  <c r="C60" i="8" s="1"/>
  <c r="C49" i="8"/>
  <c r="C50" i="8" s="1"/>
  <c r="G44" i="8"/>
  <c r="B50" i="8" s="1"/>
  <c r="AF25" i="4"/>
  <c r="AR25" i="4" s="1"/>
  <c r="AG25" i="4"/>
  <c r="AS25" i="4" s="1"/>
  <c r="AH25" i="4"/>
  <c r="AT25" i="4" s="1"/>
  <c r="AI25" i="4"/>
  <c r="AU25" i="4" s="1"/>
  <c r="AE25" i="4"/>
  <c r="AQ25" i="4" s="1"/>
  <c r="AD25" i="4"/>
  <c r="AP25" i="4" s="1"/>
  <c r="AC25" i="4"/>
  <c r="AO25" i="4" s="1"/>
  <c r="AB25" i="4"/>
  <c r="AN25" i="4" s="1"/>
  <c r="AA25" i="4"/>
  <c r="AM25" i="4" s="1"/>
  <c r="W20" i="4"/>
  <c r="W21" i="4"/>
  <c r="W24" i="4"/>
  <c r="X24" i="4"/>
  <c r="AJ24" i="4" s="1"/>
  <c r="W27" i="4"/>
  <c r="X27" i="4"/>
  <c r="AJ27" i="4" s="1"/>
  <c r="W19" i="4"/>
  <c r="W22" i="4"/>
  <c r="X22" i="4"/>
  <c r="AJ22" i="4" s="1"/>
  <c r="W26" i="4"/>
  <c r="V23" i="4"/>
  <c r="W23" i="4" s="1"/>
  <c r="Q2" i="8"/>
  <c r="P2" i="8"/>
  <c r="O2" i="8"/>
  <c r="N2" i="8"/>
  <c r="Q8" i="8"/>
  <c r="P8" i="8"/>
  <c r="O8" i="8"/>
  <c r="N8" i="8"/>
  <c r="M8" i="8"/>
  <c r="Q5" i="8"/>
  <c r="P5" i="8"/>
  <c r="O5" i="8"/>
  <c r="N5" i="8"/>
  <c r="Q4" i="8"/>
  <c r="P4" i="8"/>
  <c r="O4" i="8"/>
  <c r="N4" i="8"/>
  <c r="Q3" i="8"/>
  <c r="P3" i="8"/>
  <c r="O3" i="8"/>
  <c r="N3" i="8"/>
  <c r="M3" i="8"/>
  <c r="Q13" i="8"/>
  <c r="P13" i="8"/>
  <c r="O13" i="8"/>
  <c r="N13" i="8"/>
  <c r="M13" i="8"/>
  <c r="Q12" i="8"/>
  <c r="P12" i="8"/>
  <c r="O12" i="8"/>
  <c r="N12" i="8"/>
  <c r="M12" i="8"/>
  <c r="Q11" i="8"/>
  <c r="P11" i="8"/>
  <c r="O11" i="8"/>
  <c r="N11" i="8"/>
  <c r="M11" i="8"/>
  <c r="Q10" i="8"/>
  <c r="P10" i="8"/>
  <c r="N10" i="8"/>
  <c r="O10" i="8"/>
  <c r="M10" i="8"/>
  <c r="Q9" i="8"/>
  <c r="P9" i="8"/>
  <c r="O9" i="8"/>
  <c r="N9" i="8"/>
  <c r="M9" i="8"/>
  <c r="Q7" i="8"/>
  <c r="P7" i="8"/>
  <c r="O7" i="8"/>
  <c r="N7" i="8"/>
  <c r="Q6" i="8"/>
  <c r="P6" i="8"/>
  <c r="O6" i="8"/>
  <c r="N6" i="8"/>
  <c r="G42" i="6"/>
  <c r="F42" i="6"/>
  <c r="E42" i="6"/>
  <c r="D42" i="6"/>
  <c r="C42" i="6"/>
  <c r="G41" i="6"/>
  <c r="F41" i="6"/>
  <c r="E41" i="6"/>
  <c r="D41" i="6"/>
  <c r="C41" i="6"/>
  <c r="G40" i="6"/>
  <c r="F40" i="6"/>
  <c r="E40" i="6"/>
  <c r="D40" i="6"/>
  <c r="C40" i="6"/>
  <c r="G39" i="6"/>
  <c r="F39" i="6"/>
  <c r="E39" i="6"/>
  <c r="D39" i="6"/>
  <c r="C39" i="6"/>
  <c r="G38" i="6"/>
  <c r="F38" i="6"/>
  <c r="E38" i="6"/>
  <c r="D38" i="6"/>
  <c r="C38" i="6"/>
  <c r="G37" i="6"/>
  <c r="F37" i="6"/>
  <c r="E37" i="6"/>
  <c r="D37" i="6"/>
  <c r="C37" i="6"/>
  <c r="G36" i="6"/>
  <c r="F36" i="6"/>
  <c r="E36" i="6"/>
  <c r="D36" i="6"/>
  <c r="C36" i="6"/>
  <c r="G35" i="6"/>
  <c r="F35" i="6"/>
  <c r="E35" i="6"/>
  <c r="D35" i="6"/>
  <c r="C35" i="6"/>
  <c r="G34" i="6"/>
  <c r="F34" i="6"/>
  <c r="E34" i="6"/>
  <c r="D34" i="6"/>
  <c r="G33" i="6"/>
  <c r="F33" i="6"/>
  <c r="E33" i="6"/>
  <c r="D33" i="6"/>
  <c r="C33" i="6"/>
  <c r="G32" i="6"/>
  <c r="F32" i="6"/>
  <c r="E32" i="6"/>
  <c r="D32" i="6"/>
  <c r="C32" i="6"/>
  <c r="G31" i="6"/>
  <c r="F31" i="6"/>
  <c r="E31" i="6"/>
  <c r="D31" i="6"/>
  <c r="G28" i="6"/>
  <c r="F28" i="6"/>
  <c r="C28" i="6"/>
  <c r="D28" i="6"/>
  <c r="E28" i="6"/>
  <c r="G27" i="6"/>
  <c r="F27" i="6"/>
  <c r="C27" i="6"/>
  <c r="D27" i="6"/>
  <c r="E27" i="6"/>
  <c r="G26" i="6"/>
  <c r="F26" i="6"/>
  <c r="C26" i="6"/>
  <c r="D26" i="6"/>
  <c r="E26" i="6"/>
  <c r="G25" i="6"/>
  <c r="F25" i="6"/>
  <c r="C25" i="6"/>
  <c r="D25" i="6"/>
  <c r="E25" i="6"/>
  <c r="G24" i="6"/>
  <c r="F24" i="6"/>
  <c r="C24" i="6"/>
  <c r="D24" i="6"/>
  <c r="E24" i="6"/>
  <c r="G23" i="6"/>
  <c r="F23" i="6"/>
  <c r="C23" i="6"/>
  <c r="D23" i="6"/>
  <c r="E23" i="6"/>
  <c r="G22" i="6"/>
  <c r="F22" i="6"/>
  <c r="C22" i="6"/>
  <c r="D22" i="6"/>
  <c r="E22" i="6"/>
  <c r="G21" i="6"/>
  <c r="F21" i="6"/>
  <c r="C21" i="6"/>
  <c r="D21" i="6"/>
  <c r="E21" i="6"/>
  <c r="G20" i="6"/>
  <c r="F20" i="6"/>
  <c r="C20" i="6"/>
  <c r="D20" i="6"/>
  <c r="E20" i="6"/>
  <c r="W17" i="6"/>
  <c r="V17" i="6"/>
  <c r="U17" i="6"/>
  <c r="T17" i="6"/>
  <c r="S17" i="6"/>
  <c r="G19" i="6"/>
  <c r="F19" i="6"/>
  <c r="C19" i="6"/>
  <c r="D19" i="6"/>
  <c r="E19" i="6"/>
  <c r="G18" i="6"/>
  <c r="F18" i="6"/>
  <c r="C18" i="6"/>
  <c r="D18" i="6"/>
  <c r="E18" i="6"/>
  <c r="G17" i="6"/>
  <c r="F17" i="6"/>
  <c r="E17" i="6"/>
  <c r="K5" i="6"/>
  <c r="D17" i="6"/>
  <c r="L5" i="6"/>
  <c r="L4" i="6"/>
  <c r="M5" i="6"/>
  <c r="M4" i="6"/>
  <c r="N5" i="6"/>
  <c r="N4" i="6"/>
  <c r="O5" i="6"/>
  <c r="O4" i="6"/>
  <c r="D42" i="3"/>
  <c r="G42" i="3" s="1"/>
  <c r="D43" i="3"/>
  <c r="G43" i="3" s="1"/>
  <c r="G41" i="3"/>
  <c r="H46" i="3"/>
  <c r="H45" i="3"/>
  <c r="H43" i="3"/>
  <c r="H42" i="3"/>
  <c r="H41" i="3"/>
  <c r="H40" i="3"/>
  <c r="H39" i="3"/>
  <c r="H38" i="3"/>
  <c r="H37" i="3"/>
  <c r="H36" i="3"/>
  <c r="E67" i="1"/>
  <c r="D55" i="1" s="1"/>
  <c r="D66" i="1"/>
  <c r="D65" i="1"/>
  <c r="D64" i="1"/>
  <c r="D63" i="1"/>
  <c r="D62" i="1"/>
  <c r="D61" i="1"/>
  <c r="D60" i="1"/>
  <c r="D59" i="1"/>
  <c r="D58" i="1"/>
  <c r="D57" i="1"/>
  <c r="D56" i="1"/>
  <c r="I8" i="1"/>
  <c r="I11" i="1"/>
  <c r="I10" i="1"/>
  <c r="I9" i="1"/>
  <c r="N19" i="1"/>
  <c r="S19" i="1" s="1"/>
  <c r="M19" i="1"/>
  <c r="R19" i="1" s="1"/>
  <c r="L19" i="1"/>
  <c r="Q19" i="1" s="1"/>
  <c r="K19" i="1"/>
  <c r="P19" i="1" s="1"/>
  <c r="J19" i="1"/>
  <c r="O19" i="1" s="1"/>
  <c r="N18" i="1"/>
  <c r="S18" i="1" s="1"/>
  <c r="M18" i="1"/>
  <c r="R18" i="1" s="1"/>
  <c r="L18" i="1"/>
  <c r="Q18" i="1" s="1"/>
  <c r="K18" i="1"/>
  <c r="P18" i="1" s="1"/>
  <c r="J18" i="1"/>
  <c r="O18" i="1" s="1"/>
  <c r="N17" i="1"/>
  <c r="S17" i="1" s="1"/>
  <c r="M17" i="1"/>
  <c r="R17" i="1" s="1"/>
  <c r="L17" i="1"/>
  <c r="Q17" i="1" s="1"/>
  <c r="K17" i="1"/>
  <c r="P17" i="1" s="1"/>
  <c r="J17" i="1"/>
  <c r="O17" i="1" s="1"/>
  <c r="N16" i="1"/>
  <c r="S16" i="1" s="1"/>
  <c r="M16" i="1"/>
  <c r="R16" i="1" s="1"/>
  <c r="L16" i="1"/>
  <c r="Q16" i="1" s="1"/>
  <c r="K16" i="1"/>
  <c r="P16" i="1" s="1"/>
  <c r="J16" i="1"/>
  <c r="O16" i="1" s="1"/>
  <c r="N15" i="1"/>
  <c r="S15" i="1" s="1"/>
  <c r="M15" i="1"/>
  <c r="R15" i="1" s="1"/>
  <c r="L15" i="1"/>
  <c r="Q15" i="1" s="1"/>
  <c r="K15" i="1"/>
  <c r="P15" i="1" s="1"/>
  <c r="O15" i="1"/>
  <c r="O13" i="1"/>
  <c r="N13" i="1"/>
  <c r="S13" i="1" s="1"/>
  <c r="M13" i="1"/>
  <c r="R13" i="1" s="1"/>
  <c r="L13" i="1"/>
  <c r="Q13" i="1" s="1"/>
  <c r="K13" i="1"/>
  <c r="P13" i="1" s="1"/>
  <c r="O12" i="1"/>
  <c r="N12" i="1"/>
  <c r="S12" i="1" s="1"/>
  <c r="M12" i="1"/>
  <c r="R12" i="1" s="1"/>
  <c r="L12" i="1"/>
  <c r="Q12" i="1" s="1"/>
  <c r="K12" i="1"/>
  <c r="P12" i="1" s="1"/>
  <c r="T12" i="1"/>
  <c r="T13" i="1"/>
  <c r="Q25" i="1"/>
  <c r="R25" i="1" s="1"/>
  <c r="Q26" i="1"/>
  <c r="R26" i="1" s="1"/>
  <c r="Q27" i="1"/>
  <c r="R27" i="1" s="1"/>
  <c r="Q28" i="1"/>
  <c r="R28" i="1" s="1"/>
  <c r="Q29" i="1"/>
  <c r="R29" i="1" s="1"/>
  <c r="Q30" i="1"/>
  <c r="R30" i="1" s="1"/>
  <c r="Q31" i="1"/>
  <c r="R31" i="1" s="1"/>
  <c r="Q32" i="1"/>
  <c r="R32" i="1" s="1"/>
  <c r="Q33" i="1"/>
  <c r="R33" i="1" s="1"/>
  <c r="Q34" i="1"/>
  <c r="R34" i="1" s="1"/>
  <c r="Q35" i="1"/>
  <c r="R35" i="1" s="1"/>
  <c r="R80" i="11" l="1"/>
  <c r="S61" i="11"/>
  <c r="S60" i="11"/>
  <c r="P80" i="11"/>
  <c r="Q80" i="11"/>
  <c r="P63" i="11"/>
  <c r="R63" i="11"/>
  <c r="Q63" i="11"/>
  <c r="S62" i="11"/>
  <c r="I94" i="13"/>
  <c r="H94" i="13"/>
  <c r="I93" i="13"/>
  <c r="H93" i="13"/>
  <c r="I92" i="13"/>
  <c r="H92" i="13"/>
  <c r="T19" i="11"/>
  <c r="Z20" i="11"/>
  <c r="Z19" i="11"/>
  <c r="Z24" i="11"/>
  <c r="Z23" i="11"/>
  <c r="Z22" i="11"/>
  <c r="Z21" i="11"/>
  <c r="AA20" i="11"/>
  <c r="AA19" i="11"/>
  <c r="AA24" i="11"/>
  <c r="AA23" i="11"/>
  <c r="AA22" i="11"/>
  <c r="AA21" i="11"/>
  <c r="AB20" i="11"/>
  <c r="AB19" i="11"/>
  <c r="AB24" i="11"/>
  <c r="AB23" i="11"/>
  <c r="AB22" i="11"/>
  <c r="AB21" i="11"/>
  <c r="S30" i="13"/>
  <c r="S32" i="13" s="1"/>
  <c r="S33" i="13"/>
  <c r="T30" i="13"/>
  <c r="T32" i="13" s="1"/>
  <c r="T34" i="13"/>
  <c r="T33" i="13"/>
  <c r="R30" i="13"/>
  <c r="R32" i="13" s="1"/>
  <c r="Q24" i="11"/>
  <c r="Q23" i="11"/>
  <c r="Q20" i="11"/>
  <c r="Q19" i="11"/>
  <c r="Q22" i="11"/>
  <c r="Q21" i="11"/>
  <c r="R22" i="11"/>
  <c r="R21" i="11"/>
  <c r="R19" i="11"/>
  <c r="R24" i="11"/>
  <c r="R23" i="11"/>
  <c r="R20" i="11"/>
  <c r="P21" i="11"/>
  <c r="P22" i="11"/>
  <c r="P19" i="11"/>
  <c r="P24" i="11"/>
  <c r="P23" i="11"/>
  <c r="P20" i="11"/>
  <c r="Y24" i="11"/>
  <c r="Y23" i="11"/>
  <c r="Y22" i="11"/>
  <c r="Y21" i="11"/>
  <c r="Y20" i="11"/>
  <c r="X20" i="11"/>
  <c r="X19" i="11"/>
  <c r="X22" i="11"/>
  <c r="X21" i="11"/>
  <c r="X24" i="11"/>
  <c r="X23" i="11"/>
  <c r="W19" i="11"/>
  <c r="W20" i="11"/>
  <c r="W24" i="11"/>
  <c r="W23" i="11"/>
  <c r="W22" i="11"/>
  <c r="W21" i="11"/>
  <c r="T24" i="11"/>
  <c r="T23" i="11"/>
  <c r="T22" i="11"/>
  <c r="T21" i="11"/>
  <c r="T20" i="11"/>
  <c r="U20" i="11"/>
  <c r="U19" i="11"/>
  <c r="U23" i="11"/>
  <c r="U24" i="11"/>
  <c r="U22" i="11"/>
  <c r="U21" i="11"/>
  <c r="V20" i="11"/>
  <c r="V19" i="11"/>
  <c r="V24" i="11"/>
  <c r="V23" i="11"/>
  <c r="V22" i="11"/>
  <c r="V21" i="11"/>
  <c r="Q29" i="13"/>
  <c r="Q28" i="13"/>
  <c r="P28" i="13"/>
  <c r="P29" i="13"/>
  <c r="P27" i="13"/>
  <c r="J15" i="13"/>
  <c r="J14" i="13"/>
  <c r="J13" i="13"/>
  <c r="K15" i="13"/>
  <c r="K14" i="13"/>
  <c r="K13" i="13"/>
  <c r="I15" i="13"/>
  <c r="I14" i="13"/>
  <c r="I13" i="13"/>
  <c r="K52" i="11"/>
  <c r="B12" i="11"/>
  <c r="L20" i="11"/>
  <c r="J20" i="11"/>
  <c r="I107" i="12"/>
  <c r="I106" i="12"/>
  <c r="I105" i="12"/>
  <c r="J107" i="12"/>
  <c r="J106" i="12"/>
  <c r="J105" i="12"/>
  <c r="H107" i="12"/>
  <c r="H106" i="12"/>
  <c r="N7" i="10"/>
  <c r="L7" i="10"/>
  <c r="E53" i="12"/>
  <c r="E55" i="12" s="1"/>
  <c r="E56" i="12"/>
  <c r="E57" i="12"/>
  <c r="D53" i="12"/>
  <c r="D55" i="12" s="1"/>
  <c r="D56" i="12"/>
  <c r="D57" i="12"/>
  <c r="C53" i="12"/>
  <c r="C55" i="12" s="1"/>
  <c r="C56" i="12"/>
  <c r="C57" i="12"/>
  <c r="B53" i="12"/>
  <c r="B55" i="12" s="1"/>
  <c r="B56" i="12"/>
  <c r="B57" i="12"/>
  <c r="F52" i="12"/>
  <c r="F51" i="12"/>
  <c r="F13" i="11"/>
  <c r="F12" i="11"/>
  <c r="F15" i="11"/>
  <c r="F14" i="11"/>
  <c r="F17" i="11"/>
  <c r="F16" i="11"/>
  <c r="E13" i="11"/>
  <c r="E12" i="11"/>
  <c r="E17" i="11"/>
  <c r="E16" i="11"/>
  <c r="E15" i="11"/>
  <c r="E14" i="11"/>
  <c r="D15" i="11"/>
  <c r="D14" i="11"/>
  <c r="D17" i="11"/>
  <c r="D16" i="11"/>
  <c r="D13" i="11"/>
  <c r="D12" i="11"/>
  <c r="C13" i="11"/>
  <c r="C12" i="11"/>
  <c r="C15" i="11"/>
  <c r="C14" i="11"/>
  <c r="C17" i="11"/>
  <c r="C16" i="11"/>
  <c r="B13" i="11"/>
  <c r="B15" i="11"/>
  <c r="B14" i="11"/>
  <c r="B17" i="11"/>
  <c r="B16" i="11"/>
  <c r="C53" i="10"/>
  <c r="C55" i="10" s="1"/>
  <c r="C56" i="10"/>
  <c r="C57" i="10"/>
  <c r="D53" i="10"/>
  <c r="D55" i="10" s="1"/>
  <c r="D56" i="10"/>
  <c r="D57" i="10"/>
  <c r="E53" i="10"/>
  <c r="E55" i="10" s="1"/>
  <c r="E57" i="10"/>
  <c r="E56" i="10"/>
  <c r="B53" i="10"/>
  <c r="B55" i="10" s="1"/>
  <c r="B56" i="10"/>
  <c r="B57" i="10"/>
  <c r="F51" i="10"/>
  <c r="F52" i="10"/>
  <c r="F50" i="10"/>
  <c r="P34" i="6"/>
  <c r="R16" i="6"/>
  <c r="O20" i="8"/>
  <c r="N20" i="8"/>
  <c r="M20" i="8"/>
  <c r="L20" i="8"/>
  <c r="S20" i="8"/>
  <c r="R20" i="8"/>
  <c r="Q20" i="8"/>
  <c r="P20" i="8"/>
  <c r="W20" i="8"/>
  <c r="V20" i="8"/>
  <c r="U20" i="8"/>
  <c r="T20" i="8"/>
  <c r="AA20" i="8"/>
  <c r="Z20" i="8"/>
  <c r="Y20" i="8"/>
  <c r="X20" i="8"/>
  <c r="AE20" i="8"/>
  <c r="AD20" i="8"/>
  <c r="AC20" i="8"/>
  <c r="AB20" i="8"/>
  <c r="O21" i="8"/>
  <c r="N21" i="8"/>
  <c r="M21" i="8"/>
  <c r="L21" i="8"/>
  <c r="S21" i="8"/>
  <c r="R21" i="8"/>
  <c r="Q21" i="8"/>
  <c r="P21" i="8"/>
  <c r="W21" i="8"/>
  <c r="V21" i="8"/>
  <c r="U21" i="8"/>
  <c r="T21" i="8"/>
  <c r="AA21" i="8"/>
  <c r="Z21" i="8"/>
  <c r="Y21" i="8"/>
  <c r="X21" i="8"/>
  <c r="AE21" i="8"/>
  <c r="AD21" i="8"/>
  <c r="AC21" i="8"/>
  <c r="AB21" i="8"/>
  <c r="O23" i="8"/>
  <c r="N23" i="8"/>
  <c r="M23" i="8"/>
  <c r="L23" i="8"/>
  <c r="S23" i="8"/>
  <c r="R23" i="8"/>
  <c r="Q23" i="8"/>
  <c r="P23" i="8"/>
  <c r="W23" i="8"/>
  <c r="V23" i="8"/>
  <c r="U23" i="8"/>
  <c r="T23" i="8"/>
  <c r="AA23" i="8"/>
  <c r="Z23" i="8"/>
  <c r="Y23" i="8"/>
  <c r="X23" i="8"/>
  <c r="AE23" i="8"/>
  <c r="AD23" i="8"/>
  <c r="AC23" i="8"/>
  <c r="AB23" i="8"/>
  <c r="O24" i="8"/>
  <c r="N24" i="8"/>
  <c r="M24" i="8"/>
  <c r="L24" i="8"/>
  <c r="W24" i="8"/>
  <c r="V24" i="8"/>
  <c r="U24" i="8"/>
  <c r="T24" i="8"/>
  <c r="S24" i="8"/>
  <c r="R24" i="8"/>
  <c r="Q24" i="8"/>
  <c r="P24" i="8"/>
  <c r="AA24" i="8"/>
  <c r="Z24" i="8"/>
  <c r="Y24" i="8"/>
  <c r="X24" i="8"/>
  <c r="AE24" i="8"/>
  <c r="AD24" i="8"/>
  <c r="AC24" i="8"/>
  <c r="AB24" i="8"/>
  <c r="O25" i="8"/>
  <c r="N25" i="8"/>
  <c r="M25" i="8"/>
  <c r="L25" i="8"/>
  <c r="S25" i="8"/>
  <c r="R25" i="8"/>
  <c r="Q25" i="8"/>
  <c r="P25" i="8"/>
  <c r="W25" i="8"/>
  <c r="V25" i="8"/>
  <c r="U25" i="8"/>
  <c r="T25" i="8"/>
  <c r="AA25" i="8"/>
  <c r="Z25" i="8"/>
  <c r="Y25" i="8"/>
  <c r="X25" i="8"/>
  <c r="AE25" i="8"/>
  <c r="AD25" i="8"/>
  <c r="AC25" i="8"/>
  <c r="AB25" i="8"/>
  <c r="O26" i="8"/>
  <c r="N26" i="8"/>
  <c r="M26" i="8"/>
  <c r="L26" i="8"/>
  <c r="S26" i="8"/>
  <c r="R26" i="8"/>
  <c r="Q26" i="8"/>
  <c r="P26" i="8"/>
  <c r="W26" i="8"/>
  <c r="V26" i="8"/>
  <c r="U26" i="8"/>
  <c r="T26" i="8"/>
  <c r="AA26" i="8"/>
  <c r="Z26" i="8"/>
  <c r="Y26" i="8"/>
  <c r="X26" i="8"/>
  <c r="AE26" i="8"/>
  <c r="AD26" i="8"/>
  <c r="AC26" i="8"/>
  <c r="AB26" i="8"/>
  <c r="O27" i="8"/>
  <c r="N27" i="8"/>
  <c r="M27" i="8"/>
  <c r="L27" i="8"/>
  <c r="S27" i="8"/>
  <c r="R27" i="8"/>
  <c r="Q27" i="8"/>
  <c r="P27" i="8"/>
  <c r="W27" i="8"/>
  <c r="V27" i="8"/>
  <c r="U27" i="8"/>
  <c r="T27" i="8"/>
  <c r="AA27" i="8"/>
  <c r="Z27" i="8"/>
  <c r="Y27" i="8"/>
  <c r="X27" i="8"/>
  <c r="AE27" i="8"/>
  <c r="AD27" i="8"/>
  <c r="AC27" i="8"/>
  <c r="AB27" i="8"/>
  <c r="O17" i="8"/>
  <c r="N17" i="8"/>
  <c r="M17" i="8"/>
  <c r="L17" i="8"/>
  <c r="S17" i="8"/>
  <c r="R17" i="8"/>
  <c r="Q17" i="8"/>
  <c r="P17" i="8"/>
  <c r="W17" i="8"/>
  <c r="V17" i="8"/>
  <c r="U17" i="8"/>
  <c r="T17" i="8"/>
  <c r="AA17" i="8"/>
  <c r="Z17" i="8"/>
  <c r="Y17" i="8"/>
  <c r="X17" i="8"/>
  <c r="AE17" i="8"/>
  <c r="AD17" i="8"/>
  <c r="AC17" i="8"/>
  <c r="AB17" i="8"/>
  <c r="O18" i="8"/>
  <c r="N18" i="8"/>
  <c r="M18" i="8"/>
  <c r="L18" i="8"/>
  <c r="S18" i="8"/>
  <c r="R18" i="8"/>
  <c r="Q18" i="8"/>
  <c r="P18" i="8"/>
  <c r="W18" i="8"/>
  <c r="V18" i="8"/>
  <c r="U18" i="8"/>
  <c r="T18" i="8"/>
  <c r="AA18" i="8"/>
  <c r="Z18" i="8"/>
  <c r="Y18" i="8"/>
  <c r="X18" i="8"/>
  <c r="AE18" i="8"/>
  <c r="AD18" i="8"/>
  <c r="AC18" i="8"/>
  <c r="AB18" i="8"/>
  <c r="O19" i="8"/>
  <c r="N19" i="8"/>
  <c r="M19" i="8"/>
  <c r="L19" i="8"/>
  <c r="S19" i="8"/>
  <c r="R19" i="8"/>
  <c r="Q19" i="8"/>
  <c r="P19" i="8"/>
  <c r="W19" i="8"/>
  <c r="V19" i="8"/>
  <c r="U19" i="8"/>
  <c r="T19" i="8"/>
  <c r="AA19" i="8"/>
  <c r="Z19" i="8"/>
  <c r="Y19" i="8"/>
  <c r="X19" i="8"/>
  <c r="AE19" i="8"/>
  <c r="AD19" i="8"/>
  <c r="AC19" i="8"/>
  <c r="AB19" i="8"/>
  <c r="O22" i="8"/>
  <c r="N22" i="8"/>
  <c r="M22" i="8"/>
  <c r="L22" i="8"/>
  <c r="S22" i="8"/>
  <c r="R22" i="8"/>
  <c r="Q22" i="8"/>
  <c r="P22" i="8"/>
  <c r="W22" i="8"/>
  <c r="V22" i="8"/>
  <c r="U22" i="8"/>
  <c r="T22" i="8"/>
  <c r="AA22" i="8"/>
  <c r="Z22" i="8"/>
  <c r="Y22" i="8"/>
  <c r="X22" i="8"/>
  <c r="AE22" i="8"/>
  <c r="AD22" i="8"/>
  <c r="AC22" i="8"/>
  <c r="AB22" i="8"/>
  <c r="S16" i="8"/>
  <c r="R16" i="8"/>
  <c r="Q16" i="8"/>
  <c r="P16" i="8"/>
  <c r="W16" i="8"/>
  <c r="V16" i="8"/>
  <c r="U16" i="8"/>
  <c r="T16" i="8"/>
  <c r="M16" i="8"/>
  <c r="AA16" i="8"/>
  <c r="Z16" i="8"/>
  <c r="Y16" i="8"/>
  <c r="X16" i="8"/>
  <c r="N16" i="8"/>
  <c r="AE16" i="8"/>
  <c r="AD16" i="8"/>
  <c r="AC16" i="8"/>
  <c r="AB16" i="8"/>
  <c r="O16" i="8"/>
  <c r="AE46" i="8"/>
  <c r="AD46" i="8"/>
  <c r="AC46" i="8"/>
  <c r="AB46" i="8"/>
  <c r="AA46" i="8"/>
  <c r="Z46" i="8"/>
  <c r="Y46" i="8"/>
  <c r="X46" i="8"/>
  <c r="W46" i="8"/>
  <c r="V46" i="8"/>
  <c r="U46" i="8"/>
  <c r="T46" i="8"/>
  <c r="S46" i="8"/>
  <c r="R46" i="8"/>
  <c r="Q46" i="8"/>
  <c r="P46" i="8"/>
  <c r="O46" i="8"/>
  <c r="N46" i="8"/>
  <c r="M46" i="8"/>
  <c r="L46" i="8"/>
  <c r="AE47" i="8"/>
  <c r="AD47" i="8"/>
  <c r="AC47" i="8"/>
  <c r="AB47" i="8"/>
  <c r="AA47" i="8"/>
  <c r="Z47" i="8"/>
  <c r="Y47" i="8"/>
  <c r="X47" i="8"/>
  <c r="W47" i="8"/>
  <c r="V47" i="8"/>
  <c r="U47" i="8"/>
  <c r="T47" i="8"/>
  <c r="S47" i="8"/>
  <c r="R47" i="8"/>
  <c r="Q47" i="8"/>
  <c r="P47" i="8"/>
  <c r="O47" i="8"/>
  <c r="N47" i="8"/>
  <c r="M47" i="8"/>
  <c r="L47" i="8"/>
  <c r="M48" i="8"/>
  <c r="AE48" i="8"/>
  <c r="AD48" i="8"/>
  <c r="AC48" i="8"/>
  <c r="AB48" i="8"/>
  <c r="AA48" i="8"/>
  <c r="Z48" i="8"/>
  <c r="Y48" i="8"/>
  <c r="X48" i="8"/>
  <c r="W48" i="8"/>
  <c r="V48" i="8"/>
  <c r="U48" i="8"/>
  <c r="T48" i="8"/>
  <c r="S48" i="8"/>
  <c r="R48" i="8"/>
  <c r="Q48" i="8"/>
  <c r="P48" i="8"/>
  <c r="O48" i="8"/>
  <c r="N48" i="8"/>
  <c r="L48" i="8"/>
  <c r="L49" i="8"/>
  <c r="AE49" i="8"/>
  <c r="AD49" i="8"/>
  <c r="AC49" i="8"/>
  <c r="AB49" i="8"/>
  <c r="AA49" i="8"/>
  <c r="Z49" i="8"/>
  <c r="Y49" i="8"/>
  <c r="X49" i="8"/>
  <c r="W49" i="8"/>
  <c r="V49" i="8"/>
  <c r="U49" i="8"/>
  <c r="T49" i="8"/>
  <c r="S49" i="8"/>
  <c r="R49" i="8"/>
  <c r="Q49" i="8"/>
  <c r="P49" i="8"/>
  <c r="O49" i="8"/>
  <c r="N49" i="8"/>
  <c r="M49" i="8"/>
  <c r="AE50" i="8"/>
  <c r="AD50" i="8"/>
  <c r="AC50" i="8"/>
  <c r="AB50" i="8"/>
  <c r="AA50" i="8"/>
  <c r="Z50" i="8"/>
  <c r="Y50" i="8"/>
  <c r="X50" i="8"/>
  <c r="W50" i="8"/>
  <c r="V50" i="8"/>
  <c r="U50" i="8"/>
  <c r="T50" i="8"/>
  <c r="S50" i="8"/>
  <c r="R50" i="8"/>
  <c r="Q50" i="8"/>
  <c r="P50" i="8"/>
  <c r="O50" i="8"/>
  <c r="N50" i="8"/>
  <c r="M50" i="8"/>
  <c r="L50" i="8"/>
  <c r="AE51" i="8"/>
  <c r="AD51" i="8"/>
  <c r="AC51" i="8"/>
  <c r="AB51" i="8"/>
  <c r="AA51" i="8"/>
  <c r="Z51" i="8"/>
  <c r="Y51" i="8"/>
  <c r="X51" i="8"/>
  <c r="W51" i="8"/>
  <c r="V51" i="8"/>
  <c r="U51" i="8"/>
  <c r="T51" i="8"/>
  <c r="S51" i="8"/>
  <c r="R51" i="8"/>
  <c r="Q51" i="8"/>
  <c r="P51" i="8"/>
  <c r="O51" i="8"/>
  <c r="N51" i="8"/>
  <c r="M51" i="8"/>
  <c r="L51" i="8"/>
  <c r="AE52" i="8"/>
  <c r="AD52" i="8"/>
  <c r="AC52" i="8"/>
  <c r="AB52" i="8"/>
  <c r="AA52" i="8"/>
  <c r="Z52" i="8"/>
  <c r="Y52" i="8"/>
  <c r="X52" i="8"/>
  <c r="W52" i="8"/>
  <c r="V52" i="8"/>
  <c r="U52" i="8"/>
  <c r="T52" i="8"/>
  <c r="S52" i="8"/>
  <c r="R52" i="8"/>
  <c r="Q52" i="8"/>
  <c r="P52" i="8"/>
  <c r="O52" i="8"/>
  <c r="N52" i="8"/>
  <c r="M52" i="8"/>
  <c r="L52" i="8"/>
  <c r="AE53" i="8"/>
  <c r="AD53" i="8"/>
  <c r="AC53" i="8"/>
  <c r="AB53" i="8"/>
  <c r="AA53" i="8"/>
  <c r="Z53" i="8"/>
  <c r="Y53" i="8"/>
  <c r="X53" i="8"/>
  <c r="W53" i="8"/>
  <c r="V53" i="8"/>
  <c r="U53" i="8"/>
  <c r="T53" i="8"/>
  <c r="S53" i="8"/>
  <c r="R53" i="8"/>
  <c r="Q53" i="8"/>
  <c r="P53" i="8"/>
  <c r="O53" i="8"/>
  <c r="N53" i="8"/>
  <c r="M53" i="8"/>
  <c r="L53" i="8"/>
  <c r="AE54" i="8"/>
  <c r="AD54" i="8"/>
  <c r="AC54" i="8"/>
  <c r="AB54" i="8"/>
  <c r="AA54" i="8"/>
  <c r="Z54" i="8"/>
  <c r="Y54" i="8"/>
  <c r="X54" i="8"/>
  <c r="W54" i="8"/>
  <c r="V54" i="8"/>
  <c r="U54" i="8"/>
  <c r="T54" i="8"/>
  <c r="S54" i="8"/>
  <c r="R54" i="8"/>
  <c r="Q54" i="8"/>
  <c r="P54" i="8"/>
  <c r="O54" i="8"/>
  <c r="N54" i="8"/>
  <c r="M54" i="8"/>
  <c r="L54" i="8"/>
  <c r="AE55" i="8"/>
  <c r="AD55" i="8"/>
  <c r="AC55" i="8"/>
  <c r="AB55" i="8"/>
  <c r="AA55" i="8"/>
  <c r="Z55" i="8"/>
  <c r="Y55" i="8"/>
  <c r="X55" i="8"/>
  <c r="W55" i="8"/>
  <c r="V55" i="8"/>
  <c r="U55" i="8"/>
  <c r="T55" i="8"/>
  <c r="S55" i="8"/>
  <c r="R55" i="8"/>
  <c r="Q55" i="8"/>
  <c r="P55" i="8"/>
  <c r="O55" i="8"/>
  <c r="N55" i="8"/>
  <c r="M55" i="8"/>
  <c r="L55" i="8"/>
  <c r="AE56" i="8"/>
  <c r="AD56" i="8"/>
  <c r="AC56" i="8"/>
  <c r="AB56" i="8"/>
  <c r="AA56" i="8"/>
  <c r="Z56" i="8"/>
  <c r="Y56" i="8"/>
  <c r="X56" i="8"/>
  <c r="W56" i="8"/>
  <c r="V56" i="8"/>
  <c r="U56" i="8"/>
  <c r="T56" i="8"/>
  <c r="S56" i="8"/>
  <c r="R56" i="8"/>
  <c r="Q56" i="8"/>
  <c r="P56" i="8"/>
  <c r="O56" i="8"/>
  <c r="N56" i="8"/>
  <c r="M56" i="8"/>
  <c r="L56" i="8"/>
  <c r="L57" i="8"/>
  <c r="AE45" i="8"/>
  <c r="AE57" i="8" s="1"/>
  <c r="E21" i="8" s="1"/>
  <c r="AD45" i="8"/>
  <c r="AD57" i="8" s="1"/>
  <c r="D21" i="8" s="1"/>
  <c r="AC45" i="8"/>
  <c r="AC57" i="8" s="1"/>
  <c r="C21" i="8" s="1"/>
  <c r="AB45" i="8"/>
  <c r="AB57" i="8" s="1"/>
  <c r="B21" i="8" s="1"/>
  <c r="G21" i="8" s="1"/>
  <c r="AA45" i="8"/>
  <c r="AA57" i="8" s="1"/>
  <c r="F20" i="8" s="1"/>
  <c r="Z45" i="8"/>
  <c r="Z57" i="8" s="1"/>
  <c r="D20" i="8" s="1"/>
  <c r="Y45" i="8"/>
  <c r="Y57" i="8" s="1"/>
  <c r="C20" i="8" s="1"/>
  <c r="X45" i="8"/>
  <c r="X57" i="8" s="1"/>
  <c r="B20" i="8" s="1"/>
  <c r="G20" i="8" s="1"/>
  <c r="W45" i="8"/>
  <c r="W57" i="8" s="1"/>
  <c r="F19" i="8" s="1"/>
  <c r="V45" i="8"/>
  <c r="V57" i="8" s="1"/>
  <c r="E19" i="8" s="1"/>
  <c r="U45" i="8"/>
  <c r="U57" i="8" s="1"/>
  <c r="C19" i="8" s="1"/>
  <c r="T45" i="8"/>
  <c r="T57" i="8" s="1"/>
  <c r="B19" i="8" s="1"/>
  <c r="S45" i="8"/>
  <c r="S57" i="8" s="1"/>
  <c r="F18" i="8" s="1"/>
  <c r="R45" i="8"/>
  <c r="R57" i="8" s="1"/>
  <c r="E18" i="8" s="1"/>
  <c r="Q45" i="8"/>
  <c r="Q57" i="8" s="1"/>
  <c r="D18" i="8" s="1"/>
  <c r="P45" i="8"/>
  <c r="P57" i="8" s="1"/>
  <c r="B18" i="8" s="1"/>
  <c r="N45" i="8"/>
  <c r="N57" i="8" s="1"/>
  <c r="E17" i="8" s="1"/>
  <c r="O45" i="8"/>
  <c r="O57" i="8" s="1"/>
  <c r="F17" i="8" s="1"/>
  <c r="M45" i="8"/>
  <c r="M57" i="8" s="1"/>
  <c r="D17" i="8" s="1"/>
  <c r="B70" i="8"/>
  <c r="C22" i="8"/>
  <c r="R18" i="6"/>
  <c r="R19" i="6"/>
  <c r="R20" i="6"/>
  <c r="R21" i="6"/>
  <c r="R22" i="6"/>
  <c r="R23" i="6"/>
  <c r="R24" i="6"/>
  <c r="R25" i="6"/>
  <c r="R26" i="6"/>
  <c r="K51" i="6"/>
  <c r="K49" i="6"/>
  <c r="K52" i="6"/>
  <c r="K50" i="6"/>
  <c r="AF23" i="4"/>
  <c r="AR23" i="4" s="1"/>
  <c r="AG23" i="4"/>
  <c r="AS23" i="4" s="1"/>
  <c r="AH23" i="4"/>
  <c r="AT23" i="4" s="1"/>
  <c r="AI23" i="4"/>
  <c r="AU23" i="4" s="1"/>
  <c r="AE23" i="4"/>
  <c r="AQ23" i="4" s="1"/>
  <c r="AD23" i="4"/>
  <c r="AP23" i="4" s="1"/>
  <c r="AC23" i="4"/>
  <c r="AO23" i="4" s="1"/>
  <c r="AB23" i="4"/>
  <c r="AN23" i="4" s="1"/>
  <c r="AA23" i="4"/>
  <c r="AM23" i="4" s="1"/>
  <c r="AF26" i="4"/>
  <c r="AR26" i="4" s="1"/>
  <c r="AG26" i="4"/>
  <c r="AS26" i="4" s="1"/>
  <c r="AH26" i="4"/>
  <c r="AT26" i="4" s="1"/>
  <c r="AI26" i="4"/>
  <c r="AU26" i="4" s="1"/>
  <c r="AE26" i="4"/>
  <c r="AQ26" i="4" s="1"/>
  <c r="AD26" i="4"/>
  <c r="AP26" i="4" s="1"/>
  <c r="AC26" i="4"/>
  <c r="AO26" i="4" s="1"/>
  <c r="AB26" i="4"/>
  <c r="AN26" i="4" s="1"/>
  <c r="AA26" i="4"/>
  <c r="AM26" i="4" s="1"/>
  <c r="AE19" i="4"/>
  <c r="AQ19" i="4" s="1"/>
  <c r="AF19" i="4"/>
  <c r="AR19" i="4" s="1"/>
  <c r="AG19" i="4"/>
  <c r="AS19" i="4" s="1"/>
  <c r="AH19" i="4"/>
  <c r="AT19" i="4" s="1"/>
  <c r="AI19" i="4"/>
  <c r="AU19" i="4" s="1"/>
  <c r="AD19" i="4"/>
  <c r="AP19" i="4" s="1"/>
  <c r="AC19" i="4"/>
  <c r="AO19" i="4" s="1"/>
  <c r="AB19" i="4"/>
  <c r="AN19" i="4" s="1"/>
  <c r="AD18" i="4"/>
  <c r="AP18" i="4" s="1"/>
  <c r="AE18" i="4"/>
  <c r="AQ18" i="4" s="1"/>
  <c r="AF18" i="4"/>
  <c r="AR18" i="4" s="1"/>
  <c r="AG18" i="4"/>
  <c r="AS18" i="4" s="1"/>
  <c r="AH18" i="4"/>
  <c r="AT18" i="4" s="1"/>
  <c r="AI18" i="4"/>
  <c r="AU18" i="4" s="1"/>
  <c r="AB18" i="4"/>
  <c r="AN18" i="4" s="1"/>
  <c r="AC18" i="4"/>
  <c r="AO18" i="4" s="1"/>
  <c r="AF27" i="4"/>
  <c r="AR27" i="4" s="1"/>
  <c r="AG27" i="4"/>
  <c r="AS27" i="4" s="1"/>
  <c r="AH27" i="4"/>
  <c r="AT27" i="4" s="1"/>
  <c r="AI27" i="4"/>
  <c r="AU27" i="4" s="1"/>
  <c r="AE27" i="4"/>
  <c r="AQ27" i="4" s="1"/>
  <c r="AD27" i="4"/>
  <c r="AP27" i="4" s="1"/>
  <c r="AC27" i="4"/>
  <c r="AO27" i="4" s="1"/>
  <c r="AB27" i="4"/>
  <c r="AN27" i="4" s="1"/>
  <c r="AA27" i="4"/>
  <c r="AM27" i="4" s="1"/>
  <c r="AF20" i="4"/>
  <c r="AR20" i="4" s="1"/>
  <c r="AG20" i="4"/>
  <c r="AS20" i="4" s="1"/>
  <c r="AH20" i="4"/>
  <c r="AT20" i="4" s="1"/>
  <c r="AI20" i="4"/>
  <c r="AU20" i="4" s="1"/>
  <c r="AE20" i="4"/>
  <c r="AQ20" i="4" s="1"/>
  <c r="AD20" i="4"/>
  <c r="AP20" i="4" s="1"/>
  <c r="AC20" i="4"/>
  <c r="AO20" i="4" s="1"/>
  <c r="AB20" i="4"/>
  <c r="AN20" i="4" s="1"/>
  <c r="AF24" i="4"/>
  <c r="AR24" i="4" s="1"/>
  <c r="AG24" i="4"/>
  <c r="AS24" i="4" s="1"/>
  <c r="AH24" i="4"/>
  <c r="AT24" i="4" s="1"/>
  <c r="AI24" i="4"/>
  <c r="AU24" i="4" s="1"/>
  <c r="AE24" i="4"/>
  <c r="AQ24" i="4" s="1"/>
  <c r="AD24" i="4"/>
  <c r="AP24" i="4" s="1"/>
  <c r="AC24" i="4"/>
  <c r="AO24" i="4" s="1"/>
  <c r="AB24" i="4"/>
  <c r="AN24" i="4" s="1"/>
  <c r="AA24" i="4"/>
  <c r="AM24" i="4" s="1"/>
  <c r="AF22" i="4"/>
  <c r="AR22" i="4" s="1"/>
  <c r="AG22" i="4"/>
  <c r="AS22" i="4" s="1"/>
  <c r="AH22" i="4"/>
  <c r="AT22" i="4" s="1"/>
  <c r="AI22" i="4"/>
  <c r="AU22" i="4" s="1"/>
  <c r="AE22" i="4"/>
  <c r="AQ22" i="4" s="1"/>
  <c r="AD22" i="4"/>
  <c r="AP22" i="4" s="1"/>
  <c r="AC22" i="4"/>
  <c r="AO22" i="4" s="1"/>
  <c r="AB22" i="4"/>
  <c r="AN22" i="4" s="1"/>
  <c r="AA22" i="4"/>
  <c r="AM22" i="4" s="1"/>
  <c r="AF21" i="4"/>
  <c r="AR21" i="4" s="1"/>
  <c r="AG21" i="4"/>
  <c r="AS21" i="4" s="1"/>
  <c r="AH21" i="4"/>
  <c r="AT21" i="4" s="1"/>
  <c r="AI21" i="4"/>
  <c r="AU21" i="4" s="1"/>
  <c r="AE21" i="4"/>
  <c r="AQ21" i="4" s="1"/>
  <c r="AD21" i="4"/>
  <c r="AP21" i="4" s="1"/>
  <c r="AC21" i="4"/>
  <c r="AO21" i="4" s="1"/>
  <c r="AB21" i="4"/>
  <c r="AN21" i="4" s="1"/>
  <c r="AA21" i="4"/>
  <c r="AM21" i="4" s="1"/>
  <c r="AA18" i="4"/>
  <c r="AM18" i="4" s="1"/>
  <c r="Z18" i="4"/>
  <c r="AL18" i="4" s="1"/>
  <c r="AJ18" i="4"/>
  <c r="Y18" i="4"/>
  <c r="AK18" i="4" s="1"/>
  <c r="X19" i="4"/>
  <c r="AJ19" i="4" s="1"/>
  <c r="AA19" i="4"/>
  <c r="AM19" i="4" s="1"/>
  <c r="Z19" i="4"/>
  <c r="AL19" i="4" s="1"/>
  <c r="Y19" i="4"/>
  <c r="AK19" i="4" s="1"/>
  <c r="X20" i="4"/>
  <c r="AJ20" i="4" s="1"/>
  <c r="AA20" i="4"/>
  <c r="AM20" i="4" s="1"/>
  <c r="Z20" i="4"/>
  <c r="AL20" i="4" s="1"/>
  <c r="Y20" i="4"/>
  <c r="AK20" i="4" s="1"/>
  <c r="Z27" i="4"/>
  <c r="AL27" i="4" s="1"/>
  <c r="Y27" i="4"/>
  <c r="AK27" i="4" s="1"/>
  <c r="AV27" i="4" s="1"/>
  <c r="X26" i="4"/>
  <c r="AJ26" i="4" s="1"/>
  <c r="Z26" i="4"/>
  <c r="AL26" i="4" s="1"/>
  <c r="Y26" i="4"/>
  <c r="AK26" i="4" s="1"/>
  <c r="X25" i="4"/>
  <c r="AJ25" i="4" s="1"/>
  <c r="Z25" i="4"/>
  <c r="AL25" i="4" s="1"/>
  <c r="Y25" i="4"/>
  <c r="AK25" i="4" s="1"/>
  <c r="Z24" i="4"/>
  <c r="AL24" i="4" s="1"/>
  <c r="Y24" i="4"/>
  <c r="AK24" i="4" s="1"/>
  <c r="AV24" i="4" s="1"/>
  <c r="X23" i="4"/>
  <c r="AJ23" i="4" s="1"/>
  <c r="Z23" i="4"/>
  <c r="AL23" i="4" s="1"/>
  <c r="Y23" i="4"/>
  <c r="AK23" i="4" s="1"/>
  <c r="Z22" i="4"/>
  <c r="AL22" i="4" s="1"/>
  <c r="Y22" i="4"/>
  <c r="AK22" i="4" s="1"/>
  <c r="AV22" i="4" s="1"/>
  <c r="X21" i="4"/>
  <c r="AJ21" i="4" s="1"/>
  <c r="Y21" i="4"/>
  <c r="AK21" i="4" s="1"/>
  <c r="Z21" i="4"/>
  <c r="AL21" i="4" s="1"/>
  <c r="H44" i="3"/>
  <c r="P33" i="6"/>
  <c r="K4" i="6"/>
  <c r="Q34" i="6"/>
  <c r="Q33" i="6"/>
  <c r="R34" i="6"/>
  <c r="R33" i="6"/>
  <c r="S34" i="6"/>
  <c r="S33" i="6"/>
  <c r="T34" i="6"/>
  <c r="T33" i="6"/>
  <c r="K7" i="6"/>
  <c r="K8" i="6"/>
  <c r="K9" i="6"/>
  <c r="K10" i="6"/>
  <c r="H47" i="3"/>
  <c r="T15" i="1"/>
  <c r="U15" i="1" s="1"/>
  <c r="V15" i="1"/>
  <c r="W15" i="1"/>
  <c r="X15" i="1"/>
  <c r="Y15" i="1"/>
  <c r="T16" i="1"/>
  <c r="U16" i="1" s="1"/>
  <c r="V16" i="1"/>
  <c r="W16" i="1"/>
  <c r="X16" i="1"/>
  <c r="Y16" i="1"/>
  <c r="T17" i="1"/>
  <c r="U17" i="1" s="1"/>
  <c r="V17" i="1"/>
  <c r="W17" i="1"/>
  <c r="X17" i="1"/>
  <c r="Y17" i="1"/>
  <c r="T18" i="1"/>
  <c r="U18" i="1" s="1"/>
  <c r="V18" i="1"/>
  <c r="W18" i="1"/>
  <c r="X18" i="1"/>
  <c r="Y18" i="1"/>
  <c r="T19" i="1"/>
  <c r="U19" i="1" s="1"/>
  <c r="V19" i="1"/>
  <c r="W19" i="1"/>
  <c r="X19" i="1"/>
  <c r="Y19" i="1"/>
  <c r="N9" i="1"/>
  <c r="S9" i="1" s="1"/>
  <c r="M9" i="1"/>
  <c r="R9" i="1" s="1"/>
  <c r="L9" i="1"/>
  <c r="Q9" i="1" s="1"/>
  <c r="K9" i="1"/>
  <c r="P9" i="1" s="1"/>
  <c r="J9" i="1"/>
  <c r="O9" i="1" s="1"/>
  <c r="T9" i="1" s="1"/>
  <c r="N10" i="1"/>
  <c r="S10" i="1" s="1"/>
  <c r="M10" i="1"/>
  <c r="R10" i="1" s="1"/>
  <c r="L10" i="1"/>
  <c r="Q10" i="1" s="1"/>
  <c r="K10" i="1"/>
  <c r="P10" i="1" s="1"/>
  <c r="J10" i="1"/>
  <c r="O10" i="1" s="1"/>
  <c r="T10" i="1" s="1"/>
  <c r="N11" i="1"/>
  <c r="S11" i="1" s="1"/>
  <c r="M11" i="1"/>
  <c r="R11" i="1" s="1"/>
  <c r="L11" i="1"/>
  <c r="Q11" i="1" s="1"/>
  <c r="K11" i="1"/>
  <c r="P11" i="1" s="1"/>
  <c r="O11" i="1"/>
  <c r="T11" i="1" s="1"/>
  <c r="N14" i="1"/>
  <c r="S14" i="1" s="1"/>
  <c r="M14" i="1"/>
  <c r="R14" i="1" s="1"/>
  <c r="L14" i="1"/>
  <c r="Q14" i="1" s="1"/>
  <c r="K14" i="1"/>
  <c r="P14" i="1" s="1"/>
  <c r="O14" i="1"/>
  <c r="T14" i="1" s="1"/>
  <c r="Y12" i="1"/>
  <c r="X12" i="1"/>
  <c r="W12" i="1"/>
  <c r="V12" i="1"/>
  <c r="U12" i="1"/>
  <c r="N8" i="1"/>
  <c r="S8" i="1" s="1"/>
  <c r="M8" i="1"/>
  <c r="R8" i="1" s="1"/>
  <c r="L8" i="1"/>
  <c r="Q8" i="1" s="1"/>
  <c r="P8" i="1"/>
  <c r="O8" i="1"/>
  <c r="Y14" i="1"/>
  <c r="X14" i="1"/>
  <c r="W14" i="1"/>
  <c r="V14" i="1"/>
  <c r="U14" i="1"/>
  <c r="Y13" i="1"/>
  <c r="X13" i="1"/>
  <c r="W13" i="1"/>
  <c r="V13" i="1"/>
  <c r="U13" i="1"/>
  <c r="Y11" i="1"/>
  <c r="X11" i="1"/>
  <c r="W11" i="1"/>
  <c r="V11" i="1"/>
  <c r="U11" i="1"/>
  <c r="Y9" i="1"/>
  <c r="X9" i="1"/>
  <c r="W9" i="1"/>
  <c r="V9" i="1"/>
  <c r="U9" i="1"/>
  <c r="Y10" i="1"/>
  <c r="X10" i="1"/>
  <c r="W10" i="1"/>
  <c r="V10" i="1"/>
  <c r="U10" i="1"/>
  <c r="R36" i="1"/>
  <c r="S35" i="1"/>
  <c r="S34" i="1"/>
  <c r="S33" i="1"/>
  <c r="S31" i="1"/>
  <c r="S30" i="1"/>
  <c r="S28" i="1"/>
  <c r="S27" i="1"/>
  <c r="S26" i="1"/>
  <c r="S25" i="1"/>
  <c r="P64" i="11" l="1"/>
  <c r="Q64" i="11"/>
  <c r="R64" i="11"/>
  <c r="L92" i="13"/>
  <c r="N92" i="13"/>
  <c r="S34" i="13"/>
  <c r="M92" i="13"/>
  <c r="K92" i="13"/>
  <c r="R33" i="13"/>
  <c r="R37" i="13" s="1"/>
  <c r="R41" i="13" s="1"/>
  <c r="R34" i="13"/>
  <c r="R38" i="13" s="1"/>
  <c r="R42" i="13" s="1"/>
  <c r="R36" i="13"/>
  <c r="R40" i="13" s="1"/>
  <c r="T37" i="13"/>
  <c r="T41" i="13" s="1"/>
  <c r="T38" i="13"/>
  <c r="T42" i="13" s="1"/>
  <c r="T36" i="13"/>
  <c r="T40" i="13" s="1"/>
  <c r="T43" i="13" s="1"/>
  <c r="T44" i="13" s="1"/>
  <c r="T45" i="13" s="1"/>
  <c r="S37" i="13"/>
  <c r="S41" i="13" s="1"/>
  <c r="S38" i="13"/>
  <c r="S42" i="13" s="1"/>
  <c r="S36" i="13"/>
  <c r="S40" i="13" s="1"/>
  <c r="O30" i="13"/>
  <c r="P30" i="13"/>
  <c r="Q30" i="13"/>
  <c r="Q32" i="13" s="1"/>
  <c r="I16" i="13"/>
  <c r="I18" i="13" s="1"/>
  <c r="I19" i="13"/>
  <c r="K16" i="13"/>
  <c r="K18" i="13" s="1"/>
  <c r="J16" i="13"/>
  <c r="J18" i="13" s="1"/>
  <c r="J19" i="13"/>
  <c r="J20" i="13"/>
  <c r="B59" i="12"/>
  <c r="B63" i="12" s="1"/>
  <c r="H108" i="12"/>
  <c r="H111" i="12"/>
  <c r="H112" i="12"/>
  <c r="H120" i="12" s="1"/>
  <c r="J108" i="12"/>
  <c r="J110" i="12" s="1"/>
  <c r="J111" i="12"/>
  <c r="J112" i="12"/>
  <c r="I108" i="12"/>
  <c r="I110" i="12" s="1"/>
  <c r="I111" i="12"/>
  <c r="I112" i="12"/>
  <c r="K8" i="10"/>
  <c r="K9" i="10"/>
  <c r="R9" i="10" s="1"/>
  <c r="K7" i="10"/>
  <c r="R12" i="10" s="1"/>
  <c r="F53" i="12"/>
  <c r="F56" i="12"/>
  <c r="B61" i="12"/>
  <c r="B65" i="12" s="1"/>
  <c r="B60" i="12"/>
  <c r="B64" i="12" s="1"/>
  <c r="C61" i="12"/>
  <c r="C65" i="12" s="1"/>
  <c r="C60" i="12"/>
  <c r="C64" i="12" s="1"/>
  <c r="C59" i="12"/>
  <c r="C63" i="12" s="1"/>
  <c r="C66" i="12" s="1"/>
  <c r="D61" i="12"/>
  <c r="D65" i="12" s="1"/>
  <c r="D60" i="12"/>
  <c r="D64" i="12" s="1"/>
  <c r="D59" i="12"/>
  <c r="D63" i="12" s="1"/>
  <c r="D66" i="12" s="1"/>
  <c r="D67" i="12" s="1"/>
  <c r="D68" i="12" s="1"/>
  <c r="E61" i="12"/>
  <c r="E65" i="12" s="1"/>
  <c r="E60" i="12"/>
  <c r="E64" i="12" s="1"/>
  <c r="E59" i="12"/>
  <c r="E63" i="12" s="1"/>
  <c r="E66" i="12" s="1"/>
  <c r="E67" i="12" s="1"/>
  <c r="E68" i="12" s="1"/>
  <c r="F53" i="10"/>
  <c r="F55" i="10" s="1"/>
  <c r="F57" i="10"/>
  <c r="F56" i="10"/>
  <c r="B61" i="10"/>
  <c r="B65" i="10" s="1"/>
  <c r="B60" i="10"/>
  <c r="B64" i="10" s="1"/>
  <c r="B59" i="10"/>
  <c r="B63" i="10" s="1"/>
  <c r="E60" i="10"/>
  <c r="E64" i="10" s="1"/>
  <c r="E61" i="10"/>
  <c r="E65" i="10" s="1"/>
  <c r="E59" i="10"/>
  <c r="E63" i="10" s="1"/>
  <c r="D61" i="10"/>
  <c r="D65" i="10" s="1"/>
  <c r="D60" i="10"/>
  <c r="D64" i="10" s="1"/>
  <c r="D59" i="10"/>
  <c r="D63" i="10" s="1"/>
  <c r="C61" i="10"/>
  <c r="C65" i="10" s="1"/>
  <c r="C60" i="10"/>
  <c r="C64" i="10" s="1"/>
  <c r="C59" i="10"/>
  <c r="C63" i="10" s="1"/>
  <c r="P36" i="6"/>
  <c r="P37" i="6"/>
  <c r="E22" i="8"/>
  <c r="F22" i="8"/>
  <c r="W16" i="6"/>
  <c r="V16" i="6"/>
  <c r="U16" i="6"/>
  <c r="T16" i="6"/>
  <c r="D22" i="8"/>
  <c r="G18" i="8"/>
  <c r="B22" i="8"/>
  <c r="G19" i="8"/>
  <c r="D23" i="8" s="1"/>
  <c r="E23" i="8"/>
  <c r="F23" i="8"/>
  <c r="W15" i="6"/>
  <c r="V15" i="6"/>
  <c r="U15" i="6"/>
  <c r="T15" i="6"/>
  <c r="W26" i="6"/>
  <c r="V26" i="6"/>
  <c r="U26" i="6"/>
  <c r="T26" i="6"/>
  <c r="S26" i="6"/>
  <c r="W25" i="6"/>
  <c r="V25" i="6"/>
  <c r="U25" i="6"/>
  <c r="T25" i="6"/>
  <c r="S25" i="6"/>
  <c r="W24" i="6"/>
  <c r="V24" i="6"/>
  <c r="U24" i="6"/>
  <c r="T24" i="6"/>
  <c r="S24" i="6"/>
  <c r="W23" i="6"/>
  <c r="V23" i="6"/>
  <c r="U23" i="6"/>
  <c r="T23" i="6"/>
  <c r="S23" i="6"/>
  <c r="W22" i="6"/>
  <c r="V22" i="6"/>
  <c r="U22" i="6"/>
  <c r="T22" i="6"/>
  <c r="S22" i="6"/>
  <c r="W21" i="6"/>
  <c r="V21" i="6"/>
  <c r="U21" i="6"/>
  <c r="T21" i="6"/>
  <c r="S21" i="6"/>
  <c r="W20" i="6"/>
  <c r="V20" i="6"/>
  <c r="U20" i="6"/>
  <c r="T20" i="6"/>
  <c r="W19" i="6"/>
  <c r="V19" i="6"/>
  <c r="U19" i="6"/>
  <c r="T19" i="6"/>
  <c r="W18" i="6"/>
  <c r="V18" i="6"/>
  <c r="U18" i="6"/>
  <c r="T18" i="6"/>
  <c r="L48" i="6"/>
  <c r="M48" i="6"/>
  <c r="N48" i="6"/>
  <c r="K59" i="6" s="1"/>
  <c r="O48" i="6"/>
  <c r="K48" i="6"/>
  <c r="K56" i="6" s="1"/>
  <c r="O6" i="6"/>
  <c r="K6" i="6"/>
  <c r="AV23" i="4"/>
  <c r="AV26" i="4"/>
  <c r="J40" i="4"/>
  <c r="K40" i="4"/>
  <c r="L40" i="4"/>
  <c r="M40" i="4"/>
  <c r="N40" i="4"/>
  <c r="O40" i="4"/>
  <c r="P40" i="4"/>
  <c r="Q40" i="4"/>
  <c r="R40" i="4"/>
  <c r="S40" i="4"/>
  <c r="T40" i="4"/>
  <c r="I40" i="4"/>
  <c r="AV20" i="4"/>
  <c r="AV19" i="4"/>
  <c r="AV18" i="4"/>
  <c r="AV25" i="4"/>
  <c r="J37" i="4"/>
  <c r="K37" i="4"/>
  <c r="L37" i="4"/>
  <c r="M37" i="4"/>
  <c r="N37" i="4"/>
  <c r="O37" i="4"/>
  <c r="P37" i="4"/>
  <c r="Q37" i="4"/>
  <c r="R37" i="4"/>
  <c r="S37" i="4"/>
  <c r="T37" i="4"/>
  <c r="I37" i="4"/>
  <c r="J35" i="4"/>
  <c r="K35" i="4"/>
  <c r="L35" i="4"/>
  <c r="M35" i="4"/>
  <c r="N35" i="4"/>
  <c r="O35" i="4"/>
  <c r="P35" i="4"/>
  <c r="Q35" i="4"/>
  <c r="R35" i="4"/>
  <c r="S35" i="4"/>
  <c r="T35" i="4"/>
  <c r="I35" i="4"/>
  <c r="AV21" i="4"/>
  <c r="P38" i="6"/>
  <c r="P39" i="6"/>
  <c r="N6" i="6"/>
  <c r="M6" i="6"/>
  <c r="L6" i="6"/>
  <c r="V8" i="1"/>
  <c r="W8" i="1"/>
  <c r="X8" i="1"/>
  <c r="Y8" i="1"/>
  <c r="S32" i="1"/>
  <c r="S29" i="1"/>
  <c r="S36" i="1"/>
  <c r="J92" i="13" l="1"/>
  <c r="J94" i="13"/>
  <c r="K20" i="13"/>
  <c r="K19" i="13"/>
  <c r="S43" i="13"/>
  <c r="S44" i="13" s="1"/>
  <c r="S45" i="13" s="1"/>
  <c r="J93" i="13"/>
  <c r="R43" i="13"/>
  <c r="R44" i="13" s="1"/>
  <c r="R45" i="13" s="1"/>
  <c r="I20" i="13"/>
  <c r="Q36" i="13"/>
  <c r="Q40" i="13" s="1"/>
  <c r="N16" i="6"/>
  <c r="Q33" i="13"/>
  <c r="Q37" i="13" s="1"/>
  <c r="Q41" i="13" s="1"/>
  <c r="Q34" i="13"/>
  <c r="P32" i="13"/>
  <c r="P34" i="13"/>
  <c r="P38" i="13" s="1"/>
  <c r="P42" i="13" s="1"/>
  <c r="P33" i="13"/>
  <c r="P37" i="13" s="1"/>
  <c r="P41" i="13" s="1"/>
  <c r="O34" i="13"/>
  <c r="O38" i="13" s="1"/>
  <c r="O42" i="13" s="1"/>
  <c r="O33" i="13"/>
  <c r="O32" i="13"/>
  <c r="P36" i="13"/>
  <c r="P40" i="13" s="1"/>
  <c r="J24" i="13"/>
  <c r="J28" i="13" s="1"/>
  <c r="J23" i="13"/>
  <c r="J27" i="13" s="1"/>
  <c r="J22" i="13"/>
  <c r="J26" i="13" s="1"/>
  <c r="J29" i="13" s="1"/>
  <c r="J30" i="13" s="1"/>
  <c r="J31" i="13" s="1"/>
  <c r="K24" i="13"/>
  <c r="K28" i="13" s="1"/>
  <c r="K23" i="13"/>
  <c r="K27" i="13" s="1"/>
  <c r="K22" i="13"/>
  <c r="K26" i="13" s="1"/>
  <c r="K29" i="13" s="1"/>
  <c r="I24" i="13"/>
  <c r="I28" i="13" s="1"/>
  <c r="I23" i="13"/>
  <c r="I27" i="13" s="1"/>
  <c r="I22" i="13"/>
  <c r="I26" i="13" s="1"/>
  <c r="C67" i="12"/>
  <c r="C68" i="12" s="1"/>
  <c r="F55" i="12"/>
  <c r="F57" i="12"/>
  <c r="I120" i="12"/>
  <c r="I119" i="12"/>
  <c r="I118" i="12"/>
  <c r="I121" i="12" s="1"/>
  <c r="I122" i="12" s="1"/>
  <c r="I123" i="12" s="1"/>
  <c r="J120" i="12"/>
  <c r="J119" i="12"/>
  <c r="J118" i="12"/>
  <c r="J121" i="12" s="1"/>
  <c r="J122" i="12" s="1"/>
  <c r="J123" i="12" s="1"/>
  <c r="H119" i="12"/>
  <c r="H118" i="12"/>
  <c r="H121" i="12" s="1"/>
  <c r="H123" i="12" s="1"/>
  <c r="B66" i="12"/>
  <c r="B67" i="12" s="1"/>
  <c r="B68" i="12" s="1"/>
  <c r="F61" i="12"/>
  <c r="F65" i="12" s="1"/>
  <c r="F60" i="12"/>
  <c r="F64" i="12" s="1"/>
  <c r="F59" i="12"/>
  <c r="F63" i="12" s="1"/>
  <c r="F66" i="12" s="1"/>
  <c r="F67" i="12" s="1"/>
  <c r="F68" i="12" s="1"/>
  <c r="D66" i="10"/>
  <c r="D67" i="10" s="1"/>
  <c r="D68" i="10"/>
  <c r="E66" i="10"/>
  <c r="E67" i="10" s="1"/>
  <c r="E68" i="10"/>
  <c r="C66" i="10"/>
  <c r="C67" i="10" s="1"/>
  <c r="C68" i="10" s="1"/>
  <c r="B66" i="10"/>
  <c r="B67" i="10" s="1"/>
  <c r="B68" i="10" s="1"/>
  <c r="F60" i="10"/>
  <c r="F64" i="10" s="1"/>
  <c r="F61" i="10"/>
  <c r="F65" i="10" s="1"/>
  <c r="F59" i="10"/>
  <c r="F63" i="10" s="1"/>
  <c r="T35" i="6"/>
  <c r="S35" i="6"/>
  <c r="R35" i="6"/>
  <c r="Q35" i="6"/>
  <c r="P35" i="6"/>
  <c r="K25" i="6"/>
  <c r="L25" i="6"/>
  <c r="L24" i="6"/>
  <c r="M25" i="6"/>
  <c r="M24" i="6"/>
  <c r="N25" i="6"/>
  <c r="N24" i="6"/>
  <c r="O25" i="6"/>
  <c r="O24" i="6"/>
  <c r="T40" i="6"/>
  <c r="K31" i="4"/>
  <c r="L31" i="4"/>
  <c r="M31" i="4"/>
  <c r="N31" i="4"/>
  <c r="O31" i="4"/>
  <c r="P31" i="4"/>
  <c r="Q31" i="4"/>
  <c r="R31" i="4"/>
  <c r="S31" i="4"/>
  <c r="T31" i="4"/>
  <c r="J31" i="4"/>
  <c r="I31" i="4"/>
  <c r="J32" i="4"/>
  <c r="K32" i="4"/>
  <c r="L32" i="4"/>
  <c r="M32" i="4"/>
  <c r="N32" i="4"/>
  <c r="O32" i="4"/>
  <c r="P32" i="4"/>
  <c r="Q32" i="4"/>
  <c r="R32" i="4"/>
  <c r="S32" i="4"/>
  <c r="T32" i="4"/>
  <c r="I32" i="4"/>
  <c r="J33" i="4"/>
  <c r="K33" i="4"/>
  <c r="L33" i="4"/>
  <c r="M33" i="4"/>
  <c r="N33" i="4"/>
  <c r="O33" i="4"/>
  <c r="P33" i="4"/>
  <c r="Q33" i="4"/>
  <c r="R33" i="4"/>
  <c r="S33" i="4"/>
  <c r="T33" i="4"/>
  <c r="I33" i="4"/>
  <c r="U40" i="4"/>
  <c r="AF40" i="4"/>
  <c r="AR40" i="4" s="1"/>
  <c r="AE40" i="4"/>
  <c r="AQ40" i="4" s="1"/>
  <c r="AD40" i="4"/>
  <c r="AP40" i="4" s="1"/>
  <c r="AC40" i="4"/>
  <c r="AO40" i="4" s="1"/>
  <c r="AB40" i="4"/>
  <c r="AN40" i="4" s="1"/>
  <c r="AA40" i="4"/>
  <c r="AM40" i="4" s="1"/>
  <c r="Z40" i="4"/>
  <c r="AL40" i="4" s="1"/>
  <c r="Y40" i="4"/>
  <c r="AK40" i="4" s="1"/>
  <c r="X40" i="4"/>
  <c r="AJ40" i="4" s="1"/>
  <c r="W40" i="4"/>
  <c r="AI40" i="4" s="1"/>
  <c r="V40" i="4"/>
  <c r="AH40" i="4" s="1"/>
  <c r="J39" i="4"/>
  <c r="K39" i="4"/>
  <c r="L39" i="4"/>
  <c r="M39" i="4"/>
  <c r="N39" i="4"/>
  <c r="O39" i="4"/>
  <c r="P39" i="4"/>
  <c r="Q39" i="4"/>
  <c r="R39" i="4"/>
  <c r="S39" i="4"/>
  <c r="T39" i="4"/>
  <c r="I39" i="4"/>
  <c r="J36" i="4"/>
  <c r="K36" i="4"/>
  <c r="L36" i="4"/>
  <c r="M36" i="4"/>
  <c r="N36" i="4"/>
  <c r="O36" i="4"/>
  <c r="P36" i="4"/>
  <c r="Q36" i="4"/>
  <c r="R36" i="4"/>
  <c r="S36" i="4"/>
  <c r="T36" i="4"/>
  <c r="I36" i="4"/>
  <c r="J38" i="4"/>
  <c r="K38" i="4"/>
  <c r="L38" i="4"/>
  <c r="M38" i="4"/>
  <c r="N38" i="4"/>
  <c r="O38" i="4"/>
  <c r="P38" i="4"/>
  <c r="Q38" i="4"/>
  <c r="R38" i="4"/>
  <c r="S38" i="4"/>
  <c r="T38" i="4"/>
  <c r="I38" i="4"/>
  <c r="U37" i="4"/>
  <c r="AG37" i="4" s="1"/>
  <c r="AF37" i="4"/>
  <c r="AR37" i="4" s="1"/>
  <c r="AE37" i="4"/>
  <c r="AQ37" i="4" s="1"/>
  <c r="AD37" i="4"/>
  <c r="AP37" i="4" s="1"/>
  <c r="AC37" i="4"/>
  <c r="AO37" i="4" s="1"/>
  <c r="AB37" i="4"/>
  <c r="AN37" i="4" s="1"/>
  <c r="AA37" i="4"/>
  <c r="AM37" i="4" s="1"/>
  <c r="Z37" i="4"/>
  <c r="AL37" i="4" s="1"/>
  <c r="Y37" i="4"/>
  <c r="AK37" i="4" s="1"/>
  <c r="X37" i="4"/>
  <c r="AJ37" i="4" s="1"/>
  <c r="W37" i="4"/>
  <c r="AI37" i="4" s="1"/>
  <c r="V37" i="4"/>
  <c r="AH37" i="4" s="1"/>
  <c r="U35" i="4"/>
  <c r="AG35" i="4" s="1"/>
  <c r="AF35" i="4"/>
  <c r="AR35" i="4" s="1"/>
  <c r="AE35" i="4"/>
  <c r="AQ35" i="4" s="1"/>
  <c r="AD35" i="4"/>
  <c r="AP35" i="4" s="1"/>
  <c r="AC35" i="4"/>
  <c r="AO35" i="4" s="1"/>
  <c r="AB35" i="4"/>
  <c r="AN35" i="4" s="1"/>
  <c r="AA35" i="4"/>
  <c r="AM35" i="4" s="1"/>
  <c r="Z35" i="4"/>
  <c r="AL35" i="4" s="1"/>
  <c r="Y35" i="4"/>
  <c r="AK35" i="4" s="1"/>
  <c r="X35" i="4"/>
  <c r="AJ35" i="4" s="1"/>
  <c r="W35" i="4"/>
  <c r="AI35" i="4" s="1"/>
  <c r="V35" i="4"/>
  <c r="AH35" i="4" s="1"/>
  <c r="T34" i="4"/>
  <c r="J34" i="4"/>
  <c r="K34" i="4"/>
  <c r="L34" i="4"/>
  <c r="M34" i="4"/>
  <c r="N34" i="4"/>
  <c r="O34" i="4"/>
  <c r="P34" i="4"/>
  <c r="Q34" i="4"/>
  <c r="R34" i="4"/>
  <c r="S34" i="4"/>
  <c r="I34" i="4"/>
  <c r="Q94" i="13" l="1"/>
  <c r="I29" i="13"/>
  <c r="I30" i="13" s="1"/>
  <c r="I31" i="13" s="1"/>
  <c r="P43" i="13"/>
  <c r="P44" i="13" s="1"/>
  <c r="P45" i="13" s="1"/>
  <c r="K28" i="6"/>
  <c r="Q38" i="13"/>
  <c r="Q42" i="13" s="1"/>
  <c r="Q43" i="13"/>
  <c r="Q44" i="13" s="1"/>
  <c r="Q45" i="13" s="1"/>
  <c r="K30" i="13"/>
  <c r="K31" i="13" s="1"/>
  <c r="O36" i="13"/>
  <c r="O40" i="13" s="1"/>
  <c r="O37" i="13"/>
  <c r="O41" i="13" s="1"/>
  <c r="G68" i="12"/>
  <c r="B69" i="12" s="1"/>
  <c r="B71" i="12" s="1"/>
  <c r="I124" i="12"/>
  <c r="J124" i="12"/>
  <c r="J126" i="12" s="1"/>
  <c r="I126" i="12"/>
  <c r="F66" i="10"/>
  <c r="F67" i="10" s="1"/>
  <c r="F68" i="10"/>
  <c r="K30" i="6"/>
  <c r="K29" i="6"/>
  <c r="K26" i="6" s="1"/>
  <c r="T43" i="6"/>
  <c r="U36" i="4"/>
  <c r="AG36" i="4" s="1"/>
  <c r="AF36" i="4"/>
  <c r="AR36" i="4" s="1"/>
  <c r="AE36" i="4"/>
  <c r="AQ36" i="4" s="1"/>
  <c r="AD36" i="4"/>
  <c r="AP36" i="4" s="1"/>
  <c r="AC36" i="4"/>
  <c r="AO36" i="4" s="1"/>
  <c r="AB36" i="4"/>
  <c r="AN36" i="4" s="1"/>
  <c r="AA36" i="4"/>
  <c r="AM36" i="4" s="1"/>
  <c r="Z36" i="4"/>
  <c r="AL36" i="4" s="1"/>
  <c r="Y36" i="4"/>
  <c r="AK36" i="4" s="1"/>
  <c r="X36" i="4"/>
  <c r="AJ36" i="4" s="1"/>
  <c r="W36" i="4"/>
  <c r="AI36" i="4" s="1"/>
  <c r="V36" i="4"/>
  <c r="AH36" i="4" s="1"/>
  <c r="U39" i="4"/>
  <c r="AG39" i="4" s="1"/>
  <c r="AF39" i="4"/>
  <c r="AR39" i="4" s="1"/>
  <c r="AE39" i="4"/>
  <c r="AQ39" i="4" s="1"/>
  <c r="AD39" i="4"/>
  <c r="AP39" i="4" s="1"/>
  <c r="AC39" i="4"/>
  <c r="AO39" i="4" s="1"/>
  <c r="AB39" i="4"/>
  <c r="AN39" i="4" s="1"/>
  <c r="AA39" i="4"/>
  <c r="AM39" i="4" s="1"/>
  <c r="Z39" i="4"/>
  <c r="AL39" i="4" s="1"/>
  <c r="Y39" i="4"/>
  <c r="AK39" i="4" s="1"/>
  <c r="X39" i="4"/>
  <c r="AJ39" i="4" s="1"/>
  <c r="W39" i="4"/>
  <c r="AI39" i="4" s="1"/>
  <c r="V39" i="4"/>
  <c r="AH39" i="4" s="1"/>
  <c r="AG40" i="4"/>
  <c r="AS40" i="4" s="1"/>
  <c r="AT40" i="4" s="1"/>
  <c r="AU40" i="4" s="1"/>
  <c r="U33" i="4"/>
  <c r="AG33" i="4" s="1"/>
  <c r="AF33" i="4"/>
  <c r="AR33" i="4" s="1"/>
  <c r="AE33" i="4"/>
  <c r="AQ33" i="4" s="1"/>
  <c r="AD33" i="4"/>
  <c r="AP33" i="4" s="1"/>
  <c r="AC33" i="4"/>
  <c r="AO33" i="4" s="1"/>
  <c r="AB33" i="4"/>
  <c r="AN33" i="4" s="1"/>
  <c r="AA33" i="4"/>
  <c r="AM33" i="4" s="1"/>
  <c r="Z33" i="4"/>
  <c r="AL33" i="4" s="1"/>
  <c r="Y33" i="4"/>
  <c r="AK33" i="4" s="1"/>
  <c r="X33" i="4"/>
  <c r="AJ33" i="4" s="1"/>
  <c r="W33" i="4"/>
  <c r="AI33" i="4" s="1"/>
  <c r="V33" i="4"/>
  <c r="AH33" i="4" s="1"/>
  <c r="U32" i="4"/>
  <c r="AG32" i="4" s="1"/>
  <c r="AF32" i="4"/>
  <c r="AR32" i="4" s="1"/>
  <c r="AE32" i="4"/>
  <c r="AQ32" i="4" s="1"/>
  <c r="AD32" i="4"/>
  <c r="AP32" i="4" s="1"/>
  <c r="AC32" i="4"/>
  <c r="AO32" i="4" s="1"/>
  <c r="AB32" i="4"/>
  <c r="AN32" i="4" s="1"/>
  <c r="AA32" i="4"/>
  <c r="AM32" i="4" s="1"/>
  <c r="Z32" i="4"/>
  <c r="AL32" i="4" s="1"/>
  <c r="Y32" i="4"/>
  <c r="AK32" i="4" s="1"/>
  <c r="X32" i="4"/>
  <c r="AJ32" i="4" s="1"/>
  <c r="W32" i="4"/>
  <c r="AI32" i="4" s="1"/>
  <c r="V32" i="4"/>
  <c r="AH32" i="4" s="1"/>
  <c r="U31" i="4"/>
  <c r="AG31" i="4" s="1"/>
  <c r="V31" i="4"/>
  <c r="AH31" i="4" s="1"/>
  <c r="AF31" i="4"/>
  <c r="AR31" i="4" s="1"/>
  <c r="AE31" i="4"/>
  <c r="AQ31" i="4" s="1"/>
  <c r="AD31" i="4"/>
  <c r="AP31" i="4" s="1"/>
  <c r="AC31" i="4"/>
  <c r="AO31" i="4" s="1"/>
  <c r="AB31" i="4"/>
  <c r="AN31" i="4" s="1"/>
  <c r="AA31" i="4"/>
  <c r="AM31" i="4" s="1"/>
  <c r="Z31" i="4"/>
  <c r="AL31" i="4" s="1"/>
  <c r="Y31" i="4"/>
  <c r="AK31" i="4" s="1"/>
  <c r="X31" i="4"/>
  <c r="AJ31" i="4" s="1"/>
  <c r="W31" i="4"/>
  <c r="AI31" i="4" s="1"/>
  <c r="U38" i="4"/>
  <c r="AG38" i="4" s="1"/>
  <c r="AF38" i="4"/>
  <c r="AR38" i="4" s="1"/>
  <c r="AE38" i="4"/>
  <c r="AQ38" i="4" s="1"/>
  <c r="AD38" i="4"/>
  <c r="AP38" i="4" s="1"/>
  <c r="AC38" i="4"/>
  <c r="AO38" i="4" s="1"/>
  <c r="AB38" i="4"/>
  <c r="AN38" i="4" s="1"/>
  <c r="AA38" i="4"/>
  <c r="AM38" i="4" s="1"/>
  <c r="Z38" i="4"/>
  <c r="AL38" i="4" s="1"/>
  <c r="Y38" i="4"/>
  <c r="AK38" i="4" s="1"/>
  <c r="X38" i="4"/>
  <c r="AJ38" i="4" s="1"/>
  <c r="W38" i="4"/>
  <c r="AI38" i="4" s="1"/>
  <c r="V38" i="4"/>
  <c r="AH38" i="4" s="1"/>
  <c r="AS37" i="4"/>
  <c r="AT37" i="4" s="1"/>
  <c r="AU37" i="4" s="1"/>
  <c r="AS35" i="4"/>
  <c r="AT35" i="4" s="1"/>
  <c r="AU35" i="4" s="1"/>
  <c r="U34" i="4"/>
  <c r="AG34" i="4" s="1"/>
  <c r="AE34" i="4"/>
  <c r="AQ34" i="4" s="1"/>
  <c r="AD34" i="4"/>
  <c r="AP34" i="4" s="1"/>
  <c r="AC34" i="4"/>
  <c r="AO34" i="4" s="1"/>
  <c r="AB34" i="4"/>
  <c r="AN34" i="4" s="1"/>
  <c r="AA34" i="4"/>
  <c r="AM34" i="4" s="1"/>
  <c r="Z34" i="4"/>
  <c r="AL34" i="4" s="1"/>
  <c r="Y34" i="4"/>
  <c r="AK34" i="4" s="1"/>
  <c r="X34" i="4"/>
  <c r="AJ34" i="4" s="1"/>
  <c r="W34" i="4"/>
  <c r="AI34" i="4" s="1"/>
  <c r="V34" i="4"/>
  <c r="AH34" i="4" s="1"/>
  <c r="AF34" i="4"/>
  <c r="AR34" i="4" s="1"/>
  <c r="L31" i="13" l="1"/>
  <c r="I32" i="13" s="1"/>
  <c r="O43" i="13"/>
  <c r="O44" i="13" s="1"/>
  <c r="O45" i="13" s="1"/>
  <c r="E69" i="12"/>
  <c r="E71" i="12" s="1"/>
  <c r="D69" i="12"/>
  <c r="D71" i="12" s="1"/>
  <c r="C69" i="12"/>
  <c r="C71" i="12" s="1"/>
  <c r="F69" i="12"/>
  <c r="F71" i="12" s="1"/>
  <c r="G68" i="10"/>
  <c r="O26" i="6"/>
  <c r="N26" i="6"/>
  <c r="M26" i="6"/>
  <c r="K34" i="6" s="1"/>
  <c r="L26" i="6"/>
  <c r="K37" i="6" s="1"/>
  <c r="AS31" i="4"/>
  <c r="AT31" i="4" s="1"/>
  <c r="AU31" i="4" s="1"/>
  <c r="AS32" i="4"/>
  <c r="AT32" i="4" s="1"/>
  <c r="AU32" i="4" s="1"/>
  <c r="AS33" i="4"/>
  <c r="AT33" i="4" s="1"/>
  <c r="AU33" i="4" s="1"/>
  <c r="AS39" i="4"/>
  <c r="AT39" i="4" s="1"/>
  <c r="AU39" i="4" s="1"/>
  <c r="AS36" i="4"/>
  <c r="AT36" i="4" s="1"/>
  <c r="AU36" i="4" s="1"/>
  <c r="AS38" i="4"/>
  <c r="AT38" i="4" s="1"/>
  <c r="AU38" i="4" s="1"/>
  <c r="AS34" i="4"/>
  <c r="AT34" i="4" s="1"/>
  <c r="AU34" i="4" s="1"/>
  <c r="S54" i="13" l="1"/>
  <c r="S56" i="13" s="1"/>
  <c r="I34" i="13"/>
  <c r="K32" i="13"/>
  <c r="K34" i="13" s="1"/>
  <c r="J32" i="13"/>
  <c r="J34" i="13" s="1"/>
  <c r="G71" i="12"/>
  <c r="B72" i="12" s="1"/>
  <c r="I2" i="12" s="1"/>
  <c r="I127" i="12"/>
  <c r="B109" i="12" s="1"/>
  <c r="J127" i="12"/>
  <c r="C72" i="12"/>
  <c r="D72" i="12"/>
  <c r="E72" i="12"/>
  <c r="B69" i="10"/>
  <c r="B71" i="10" s="1"/>
  <c r="C69" i="10"/>
  <c r="C71" i="10" s="1"/>
  <c r="E69" i="10"/>
  <c r="E71" i="10" s="1"/>
  <c r="D69" i="10"/>
  <c r="D71" i="10" s="1"/>
  <c r="F69" i="10"/>
  <c r="F71" i="10" s="1"/>
  <c r="AU41" i="4"/>
  <c r="K78" i="13" l="1"/>
  <c r="M78" i="13"/>
  <c r="K79" i="13"/>
  <c r="M79" i="13"/>
  <c r="K77" i="13"/>
  <c r="M77" i="13"/>
  <c r="L79" i="13"/>
  <c r="L77" i="13"/>
  <c r="L78" i="13"/>
  <c r="L34" i="13"/>
  <c r="Q54" i="13"/>
  <c r="Q56" i="13" s="1"/>
  <c r="R54" i="13"/>
  <c r="R56" i="13" s="1"/>
  <c r="R46" i="13"/>
  <c r="R48" i="13" s="1"/>
  <c r="T46" i="13"/>
  <c r="T48" i="13" s="1"/>
  <c r="O46" i="13"/>
  <c r="O48" i="13" s="1"/>
  <c r="T54" i="13"/>
  <c r="T56" i="13" s="1"/>
  <c r="U54" i="13"/>
  <c r="U56" i="13" s="1"/>
  <c r="W54" i="13"/>
  <c r="W56" i="13" s="1"/>
  <c r="X54" i="13"/>
  <c r="X56" i="13" s="1"/>
  <c r="V54" i="13"/>
  <c r="V56" i="13" s="1"/>
  <c r="S46" i="13"/>
  <c r="S48" i="13" s="1"/>
  <c r="P46" i="13"/>
  <c r="P48" i="13" s="1"/>
  <c r="Q46" i="13"/>
  <c r="Q48" i="13" s="1"/>
  <c r="B110" i="12"/>
  <c r="D110" i="12"/>
  <c r="C110" i="12"/>
  <c r="C109" i="12"/>
  <c r="D109" i="12"/>
  <c r="C108" i="12"/>
  <c r="D108" i="12"/>
  <c r="L4" i="12"/>
  <c r="L3" i="12"/>
  <c r="L2" i="12"/>
  <c r="K4" i="12"/>
  <c r="K3" i="12"/>
  <c r="K2" i="12"/>
  <c r="J4" i="12"/>
  <c r="J3" i="12"/>
  <c r="J2" i="12"/>
  <c r="F72" i="12"/>
  <c r="G71" i="10"/>
  <c r="AV32" i="4"/>
  <c r="AV33" i="4"/>
  <c r="AV35" i="4"/>
  <c r="AV36" i="4"/>
  <c r="AV37" i="4"/>
  <c r="AV38" i="4"/>
  <c r="AV39" i="4"/>
  <c r="AV40" i="4"/>
  <c r="AV31" i="4"/>
  <c r="AV34" i="4"/>
  <c r="Y56" i="13" l="1"/>
  <c r="J78" i="13"/>
  <c r="J79" i="13"/>
  <c r="J77" i="13"/>
  <c r="H78" i="13"/>
  <c r="H77" i="13"/>
  <c r="H79" i="13"/>
  <c r="N78" i="13"/>
  <c r="N79" i="13"/>
  <c r="P79" i="13"/>
  <c r="P78" i="13"/>
  <c r="N77" i="13"/>
  <c r="P77" i="13"/>
  <c r="O79" i="13"/>
  <c r="O77" i="13"/>
  <c r="O78" i="13"/>
  <c r="I77" i="13"/>
  <c r="I79" i="13"/>
  <c r="I78" i="13"/>
  <c r="Y54" i="13"/>
  <c r="U48" i="13"/>
  <c r="R49" i="13" s="1"/>
  <c r="J35" i="13"/>
  <c r="K35" i="13"/>
  <c r="I35" i="13"/>
  <c r="C131" i="12"/>
  <c r="B131" i="12"/>
  <c r="C130" i="12"/>
  <c r="B132" i="12"/>
  <c r="C132" i="12"/>
  <c r="I4" i="12"/>
  <c r="I3" i="12"/>
  <c r="M4" i="12"/>
  <c r="M3" i="12"/>
  <c r="M2" i="12"/>
  <c r="F72" i="10"/>
  <c r="M2" i="10" s="1"/>
  <c r="D72" i="10"/>
  <c r="K2" i="10" s="1"/>
  <c r="E72" i="10"/>
  <c r="L2" i="10" s="1"/>
  <c r="C72" i="10"/>
  <c r="B72" i="10"/>
  <c r="AV41" i="4"/>
  <c r="S57" i="13" l="1"/>
  <c r="H57" i="13"/>
  <c r="H89" i="13"/>
  <c r="I89" i="13"/>
  <c r="S49" i="13"/>
  <c r="H88" i="13"/>
  <c r="I88" i="13"/>
  <c r="Q49" i="13"/>
  <c r="I87" i="13"/>
  <c r="H87" i="13"/>
  <c r="P49" i="13"/>
  <c r="T49" i="13"/>
  <c r="L35" i="13"/>
  <c r="X57" i="13"/>
  <c r="R57" i="13"/>
  <c r="J57" i="13" s="1"/>
  <c r="V57" i="13"/>
  <c r="P61" i="13" s="1"/>
  <c r="W57" i="13"/>
  <c r="U57" i="13"/>
  <c r="T57" i="13"/>
  <c r="Q57" i="13"/>
  <c r="O4" i="13"/>
  <c r="O3" i="13"/>
  <c r="O2" i="13"/>
  <c r="Q3" i="13"/>
  <c r="Q4" i="13"/>
  <c r="Q2" i="13"/>
  <c r="P3" i="13"/>
  <c r="P4" i="13"/>
  <c r="P2" i="13"/>
  <c r="O49" i="13"/>
  <c r="H130" i="12"/>
  <c r="F130" i="12"/>
  <c r="G130" i="12"/>
  <c r="D130" i="12" s="1"/>
  <c r="J8" i="12"/>
  <c r="I8" i="12"/>
  <c r="J9" i="12"/>
  <c r="I9" i="12"/>
  <c r="H59" i="13" l="1"/>
  <c r="H58" i="13"/>
  <c r="L87" i="13"/>
  <c r="N87" i="13"/>
  <c r="K87" i="13"/>
  <c r="M87" i="13"/>
  <c r="Y57" i="13"/>
  <c r="I58" i="13"/>
  <c r="I59" i="13"/>
  <c r="I57" i="13"/>
  <c r="L58" i="13"/>
  <c r="L59" i="13"/>
  <c r="L57" i="13"/>
  <c r="M58" i="13"/>
  <c r="M59" i="13"/>
  <c r="M57" i="13"/>
  <c r="Q62" i="13"/>
  <c r="Q63" i="13"/>
  <c r="Q61" i="13"/>
  <c r="P62" i="13"/>
  <c r="P63" i="13"/>
  <c r="K58" i="13"/>
  <c r="K59" i="13"/>
  <c r="K57" i="13"/>
  <c r="J58" i="13"/>
  <c r="J59" i="13"/>
  <c r="R61" i="13"/>
  <c r="R62" i="13"/>
  <c r="R63" i="13"/>
  <c r="N9" i="13"/>
  <c r="O9" i="13"/>
  <c r="O10" i="13"/>
  <c r="N10" i="13"/>
  <c r="O11" i="13"/>
  <c r="N11" i="13"/>
  <c r="D131" i="12"/>
  <c r="D132" i="12"/>
  <c r="N7" i="12"/>
  <c r="O7" i="12"/>
  <c r="M7" i="12"/>
  <c r="H62" i="13" l="1"/>
  <c r="I64" i="13"/>
  <c r="I62" i="13"/>
  <c r="I63" i="13"/>
  <c r="H52" i="13"/>
  <c r="H64" i="13"/>
  <c r="J87" i="13"/>
  <c r="H63" i="13"/>
  <c r="J89" i="13"/>
  <c r="J88" i="13"/>
  <c r="T9" i="13"/>
  <c r="R9" i="13"/>
  <c r="P9" i="13" s="1"/>
  <c r="Q9" i="13"/>
  <c r="S9" i="13"/>
  <c r="I54" i="13"/>
  <c r="H54" i="13"/>
  <c r="I53" i="13"/>
  <c r="H53" i="13"/>
  <c r="I52" i="13"/>
  <c r="K9" i="12"/>
  <c r="K8" i="12"/>
  <c r="R12" i="12" s="1"/>
  <c r="M62" i="13" l="1"/>
  <c r="N62" i="13"/>
  <c r="Q88" i="13"/>
  <c r="L62" i="13"/>
  <c r="K62" i="13"/>
  <c r="P11" i="13"/>
  <c r="N18" i="13" s="1"/>
  <c r="P10" i="13"/>
  <c r="M52" i="13"/>
  <c r="K52" i="13"/>
  <c r="N52" i="13"/>
  <c r="L52" i="13"/>
  <c r="R9" i="12"/>
  <c r="J62" i="13" l="1"/>
  <c r="J53" i="13"/>
  <c r="C56" i="13" s="1"/>
  <c r="J63" i="13"/>
  <c r="J64" i="13"/>
  <c r="J52" i="13"/>
  <c r="J54" i="13"/>
  <c r="C53" i="13" l="1"/>
  <c r="O67" i="13"/>
</calcChain>
</file>

<file path=xl/sharedStrings.xml><?xml version="1.0" encoding="utf-8"?>
<sst xmlns="http://schemas.openxmlformats.org/spreadsheetml/2006/main" count="3347" uniqueCount="575">
  <si>
    <t>a_amylase (mL)</t>
  </si>
  <si>
    <t>y_amylase (gms)</t>
  </si>
  <si>
    <t>Purity (%)</t>
  </si>
  <si>
    <t>Distilled (mL)</t>
  </si>
  <si>
    <t>Days fermented</t>
  </si>
  <si>
    <t>Wi</t>
  </si>
  <si>
    <t>R1</t>
  </si>
  <si>
    <t>R2</t>
  </si>
  <si>
    <t>R3</t>
  </si>
  <si>
    <t>Best</t>
  </si>
  <si>
    <t>Worst</t>
  </si>
  <si>
    <t>Si</t>
  </si>
  <si>
    <t>Ri</t>
  </si>
  <si>
    <t>Qi</t>
  </si>
  <si>
    <t>S*</t>
  </si>
  <si>
    <t>R*</t>
  </si>
  <si>
    <t>S-</t>
  </si>
  <si>
    <t>R-</t>
  </si>
  <si>
    <t>Danny Li</t>
  </si>
  <si>
    <t>DQ</t>
  </si>
  <si>
    <t>E</t>
  </si>
  <si>
    <t>RWI</t>
  </si>
  <si>
    <t>RF</t>
  </si>
  <si>
    <t>RS</t>
  </si>
  <si>
    <t>Q2-Q1</t>
  </si>
  <si>
    <t>WI</t>
  </si>
  <si>
    <t>Cond1</t>
  </si>
  <si>
    <t>Yes</t>
  </si>
  <si>
    <t>F</t>
  </si>
  <si>
    <t>2&gt;3&gt;1</t>
  </si>
  <si>
    <t>Cond2</t>
  </si>
  <si>
    <t>S</t>
  </si>
  <si>
    <t>Q3-Q1</t>
  </si>
  <si>
    <t>W</t>
  </si>
  <si>
    <t>Criteria</t>
  </si>
  <si>
    <t xml:space="preserve">WC </t>
  </si>
  <si>
    <t>C1&gt;C5</t>
  </si>
  <si>
    <t>C1 (+)</t>
  </si>
  <si>
    <t>C2 (+)</t>
  </si>
  <si>
    <t>C3 (+)</t>
  </si>
  <si>
    <t>C4 (+)</t>
  </si>
  <si>
    <t>C5 (-)</t>
  </si>
  <si>
    <t>CR</t>
  </si>
  <si>
    <t>W1*WC1</t>
  </si>
  <si>
    <t>W2*WC2</t>
  </si>
  <si>
    <t>W3*WC3</t>
  </si>
  <si>
    <t>W4*WC4</t>
  </si>
  <si>
    <t>W5*WC5</t>
  </si>
  <si>
    <t>SUM</t>
  </si>
  <si>
    <t>RANK</t>
  </si>
  <si>
    <t>Combination</t>
  </si>
  <si>
    <t>Objective</t>
  </si>
  <si>
    <t>Subjective</t>
  </si>
  <si>
    <t>D_P</t>
  </si>
  <si>
    <t>D_N</t>
  </si>
  <si>
    <t>MAX</t>
  </si>
  <si>
    <t>MIN</t>
  </si>
  <si>
    <t>MAX-MIN</t>
  </si>
  <si>
    <t>DIMENSIONAL +0.0001</t>
  </si>
  <si>
    <t>S1</t>
  </si>
  <si>
    <t>Σ</t>
  </si>
  <si>
    <t>Characteristic proportion (P)</t>
  </si>
  <si>
    <t>LNP</t>
  </si>
  <si>
    <t>P*LNP</t>
  </si>
  <si>
    <t>Entropy v</t>
  </si>
  <si>
    <t>Diff coeff</t>
  </si>
  <si>
    <t>LCA (Pt)</t>
  </si>
  <si>
    <t>LCC (nPt)</t>
  </si>
  <si>
    <t>Human non-carcin toxic</t>
  </si>
  <si>
    <t>Global warming, human health</t>
  </si>
  <si>
    <t>Human carcin toxic</t>
  </si>
  <si>
    <t>Total estimated costs</t>
  </si>
  <si>
    <t>Non-c tox</t>
  </si>
  <si>
    <t>GW</t>
  </si>
  <si>
    <t>C-tox</t>
  </si>
  <si>
    <t>WC-LCA</t>
  </si>
  <si>
    <t>CR = -0.0045</t>
  </si>
  <si>
    <t>CR = 0.0331</t>
  </si>
  <si>
    <t>CR = 0.0856</t>
  </si>
  <si>
    <t>Wi (VIKOR)</t>
  </si>
  <si>
    <t>1&gt;3&gt;2</t>
  </si>
  <si>
    <t>Terr tox</t>
  </si>
  <si>
    <t>Human non-carcin tox (kg 1,4-DCB)</t>
  </si>
  <si>
    <t>Terrest tox (kg 1,4-DCB)</t>
  </si>
  <si>
    <t>Global warming (kg CO2 eq)</t>
  </si>
  <si>
    <t>Terrest tox</t>
  </si>
  <si>
    <t>(kPt)</t>
  </si>
  <si>
    <t>NPV</t>
  </si>
  <si>
    <t>CAPEX</t>
  </si>
  <si>
    <t>OPEX</t>
  </si>
  <si>
    <t>Soc benefits</t>
  </si>
  <si>
    <t>Soc-econ develop</t>
  </si>
  <si>
    <t>Food security</t>
  </si>
  <si>
    <t>WC-LCCA</t>
  </si>
  <si>
    <t>A (env)</t>
  </si>
  <si>
    <t>B (econ)</t>
  </si>
  <si>
    <t>SB</t>
  </si>
  <si>
    <t>SED</t>
  </si>
  <si>
    <t>FS</t>
  </si>
  <si>
    <t>WC-SLCA</t>
  </si>
  <si>
    <t>C (soc)</t>
  </si>
  <si>
    <t>LCA+LCC</t>
  </si>
  <si>
    <t>LCA</t>
  </si>
  <si>
    <t>LCC</t>
  </si>
  <si>
    <t>S-LCA</t>
  </si>
  <si>
    <t>CR = -0.1777</t>
  </si>
  <si>
    <t>Cond1 (Q2-Q1&gt;DQ)</t>
  </si>
  <si>
    <t>CR = 0.0701</t>
  </si>
  <si>
    <t>Cond2 (1st Si or Ri is lowest)</t>
  </si>
  <si>
    <t>Wi (LCA+LCC)</t>
  </si>
  <si>
    <t>(Q2-Q1)</t>
  </si>
  <si>
    <t>Comp. sub.</t>
  </si>
  <si>
    <t xml:space="preserve">Cond1 </t>
  </si>
  <si>
    <t>No</t>
  </si>
  <si>
    <t>Wi (All 3)</t>
  </si>
  <si>
    <t>Non c-tox</t>
  </si>
  <si>
    <t xml:space="preserve">Terrest tox </t>
  </si>
  <si>
    <t>Diff</t>
  </si>
  <si>
    <t>1 2</t>
  </si>
  <si>
    <t>1 3</t>
  </si>
  <si>
    <t>2 1</t>
  </si>
  <si>
    <t>2 3</t>
  </si>
  <si>
    <t>Leaving flow+</t>
  </si>
  <si>
    <t>3 1</t>
  </si>
  <si>
    <t>#</t>
  </si>
  <si>
    <t>3 2</t>
  </si>
  <si>
    <t>Diff (0)</t>
  </si>
  <si>
    <t>Entering flow-</t>
  </si>
  <si>
    <t>Net outranking</t>
  </si>
  <si>
    <t>Wo</t>
  </si>
  <si>
    <t>Diff*Wi</t>
  </si>
  <si>
    <t>Ws</t>
  </si>
  <si>
    <t>Diff*Wo</t>
  </si>
  <si>
    <t>Wi (LCA)</t>
  </si>
  <si>
    <t>Diff*Ws</t>
  </si>
  <si>
    <t>Wi (LCA-m)</t>
  </si>
  <si>
    <t>Wi (LCA-LCC)</t>
  </si>
  <si>
    <t>C1 (mod)</t>
  </si>
  <si>
    <t>C2 (sust)</t>
  </si>
  <si>
    <t>C3 (stand-alone potent)</t>
  </si>
  <si>
    <t>C4 (eff)</t>
  </si>
  <si>
    <t>C5 (cost)</t>
  </si>
  <si>
    <t>C1</t>
  </si>
  <si>
    <t>C2</t>
  </si>
  <si>
    <t>C3</t>
  </si>
  <si>
    <t>C4</t>
  </si>
  <si>
    <t>C5</t>
  </si>
  <si>
    <t>C1(+)</t>
  </si>
  <si>
    <t>C2(+)</t>
  </si>
  <si>
    <t>C3(+)</t>
  </si>
  <si>
    <t>C4(+)</t>
  </si>
  <si>
    <t>C5(-)</t>
  </si>
  <si>
    <t>C1*W1</t>
  </si>
  <si>
    <t>C2*W2</t>
  </si>
  <si>
    <t>C3*W3</t>
  </si>
  <si>
    <t>C4*W4</t>
  </si>
  <si>
    <t>C5*W5</t>
  </si>
  <si>
    <t>Local</t>
  </si>
  <si>
    <t>Global</t>
  </si>
  <si>
    <t>RW</t>
  </si>
  <si>
    <t>A1</t>
  </si>
  <si>
    <t xml:space="preserve">A2 </t>
  </si>
  <si>
    <t xml:space="preserve">W </t>
  </si>
  <si>
    <t xml:space="preserve">A3 </t>
  </si>
  <si>
    <t>A4</t>
  </si>
  <si>
    <t>A5</t>
  </si>
  <si>
    <t>A6</t>
  </si>
  <si>
    <t>A7</t>
  </si>
  <si>
    <t>TFN</t>
  </si>
  <si>
    <t>A8</t>
  </si>
  <si>
    <t>A9</t>
  </si>
  <si>
    <t>A10</t>
  </si>
  <si>
    <t>A11</t>
  </si>
  <si>
    <t>A12</t>
  </si>
  <si>
    <t>Dimensional processing</t>
  </si>
  <si>
    <t>Overall translation 0.0001 (normalised)</t>
  </si>
  <si>
    <t>A1 (100/0)</t>
  </si>
  <si>
    <t>Max</t>
  </si>
  <si>
    <t>Min</t>
  </si>
  <si>
    <t>Max-Min</t>
  </si>
  <si>
    <t>Σ</t>
    <phoneticPr fontId="0" type="noConversion"/>
  </si>
  <si>
    <t>Cap-spec net present cost, $/m3 (-)</t>
  </si>
  <si>
    <t>Spec water costs, $/m3/yr (-)</t>
  </si>
  <si>
    <t>Spec elec costs, $/kWh (-)</t>
  </si>
  <si>
    <t>Total capital costs, $ (-)</t>
  </si>
  <si>
    <t>Fuel usage, L/yr (-)</t>
  </si>
  <si>
    <t>Spec fuel usage, L fuel/m3 water (-)</t>
  </si>
  <si>
    <t>Fuel cost, $/yr (-)</t>
  </si>
  <si>
    <t>OPEX, $/yr (-)</t>
  </si>
  <si>
    <t>Specific emiss, kg CO2/m3 water (-)</t>
  </si>
  <si>
    <t>Total emissions, tonnesCO2/yr (-)</t>
  </si>
  <si>
    <t>Total capital costs, $1000 (-)</t>
  </si>
  <si>
    <t>Fuel usage, 1000L/yr (-)</t>
  </si>
  <si>
    <t>Fuel cost, $1000/yr (-)</t>
  </si>
  <si>
    <t>OPEX, $1000/yr (-)</t>
  </si>
  <si>
    <t>C1, modularity (+)</t>
  </si>
  <si>
    <t>C2, sustainability (+)</t>
  </si>
  <si>
    <t>C3, standalone potential (+)</t>
  </si>
  <si>
    <t>C4, efficiency (+)</t>
  </si>
  <si>
    <t>C5, cost (-)</t>
  </si>
  <si>
    <t>Combined</t>
  </si>
  <si>
    <t>Sub</t>
  </si>
  <si>
    <t>Object</t>
  </si>
  <si>
    <t>Dimensionless Processing</t>
  </si>
  <si>
    <t>Constant added +0.0001</t>
  </si>
  <si>
    <t>WGEA</t>
  </si>
  <si>
    <t>PVEA</t>
  </si>
  <si>
    <t>HPEA</t>
  </si>
  <si>
    <t>BGEA</t>
  </si>
  <si>
    <t>NTEA</t>
  </si>
  <si>
    <t>Low-carbon pathway</t>
  </si>
  <si>
    <t>C11, kg (-)</t>
  </si>
  <si>
    <t>C12, kg CO2 eq (-)</t>
  </si>
  <si>
    <t>C13, 10^-2 kg Sb eq (-)</t>
  </si>
  <si>
    <t>C21, M$;(t/day) (-)</t>
  </si>
  <si>
    <t>C22(+)</t>
  </si>
  <si>
    <t>C23, % (+)</t>
  </si>
  <si>
    <t>C31, scores (-)</t>
  </si>
  <si>
    <t>C32(+)</t>
  </si>
  <si>
    <t>C33(+)</t>
  </si>
  <si>
    <t>C41, % (+)</t>
  </si>
  <si>
    <t>C42(+)</t>
  </si>
  <si>
    <t>C43(+)</t>
  </si>
  <si>
    <t>P</t>
  </si>
  <si>
    <t>Sub-criterion</t>
  </si>
  <si>
    <t>C11</t>
  </si>
  <si>
    <t>C12</t>
  </si>
  <si>
    <t>C13</t>
  </si>
  <si>
    <t>C21</t>
  </si>
  <si>
    <t>C22</t>
  </si>
  <si>
    <t>C23</t>
  </si>
  <si>
    <t>C31</t>
  </si>
  <si>
    <t>C32</t>
  </si>
  <si>
    <t>C33</t>
  </si>
  <si>
    <t>C41</t>
  </si>
  <si>
    <t>C42</t>
  </si>
  <si>
    <t>C43</t>
  </si>
  <si>
    <t xml:space="preserve">C11 </t>
  </si>
  <si>
    <t xml:space="preserve">Subjective </t>
  </si>
  <si>
    <t>Combined(c)</t>
  </si>
  <si>
    <t>A (Mod)</t>
  </si>
  <si>
    <t>A</t>
  </si>
  <si>
    <t>B</t>
  </si>
  <si>
    <t>C</t>
  </si>
  <si>
    <t>D</t>
  </si>
  <si>
    <t>0.5 </t>
  </si>
  <si>
    <t>0.333 </t>
  </si>
  <si>
    <t>2 </t>
  </si>
  <si>
    <t>3 </t>
  </si>
  <si>
    <t>4 </t>
  </si>
  <si>
    <t>A2</t>
  </si>
  <si>
    <t>1 </t>
  </si>
  <si>
    <t>A3</t>
  </si>
  <si>
    <t>0.25 </t>
  </si>
  <si>
    <t>A</t>
    <phoneticPr fontId="0" type="noConversion"/>
  </si>
  <si>
    <t>B</t>
    <phoneticPr fontId="0" type="noConversion"/>
  </si>
  <si>
    <t>C</t>
    <phoneticPr fontId="0" type="noConversion"/>
  </si>
  <si>
    <t>D</t>
    <phoneticPr fontId="0" type="noConversion"/>
  </si>
  <si>
    <t>Comp*Obj</t>
  </si>
  <si>
    <t>Sub-criteria</t>
  </si>
  <si>
    <t>Comprehensive</t>
  </si>
  <si>
    <t>B1</t>
  </si>
  <si>
    <t>B2</t>
  </si>
  <si>
    <t>B3</t>
  </si>
  <si>
    <t>D1</t>
  </si>
  <si>
    <t>D2</t>
  </si>
  <si>
    <t>D3</t>
  </si>
  <si>
    <t xml:space="preserve">WGEA </t>
  </si>
  <si>
    <t xml:space="preserve">PVEA </t>
  </si>
  <si>
    <t>A1 (-)</t>
  </si>
  <si>
    <t>A2 (-)</t>
  </si>
  <si>
    <t>A3 (-)</t>
  </si>
  <si>
    <t>B1 (-)</t>
  </si>
  <si>
    <t>B2(+)</t>
  </si>
  <si>
    <t>B3 (+)</t>
  </si>
  <si>
    <t>C1 (-)</t>
  </si>
  <si>
    <t>Before</t>
  </si>
  <si>
    <t>D1 (+)</t>
  </si>
  <si>
    <t>After</t>
  </si>
  <si>
    <t>D2(+)</t>
  </si>
  <si>
    <t>D3 (+)</t>
  </si>
  <si>
    <t>Comb (Wi)</t>
  </si>
  <si>
    <t>NTEA/BGEA</t>
  </si>
  <si>
    <t>Wc</t>
  </si>
  <si>
    <t>TOPSIS (D_P)</t>
  </si>
  <si>
    <t>VIKOR (Qi)</t>
  </si>
  <si>
    <t>PROMETHEE-II (φ(a))</t>
  </si>
  <si>
    <t>WGEA (1)</t>
  </si>
  <si>
    <t>PVEA (2)</t>
  </si>
  <si>
    <t>HPEA (3)</t>
  </si>
  <si>
    <t>BGEA (4)</t>
  </si>
  <si>
    <t>NTEA (5)</t>
  </si>
  <si>
    <t>Rankings</t>
  </si>
  <si>
    <t>TOPSIS</t>
  </si>
  <si>
    <t>VIKOR</t>
  </si>
  <si>
    <t>PROMETHEE-II</t>
  </si>
  <si>
    <t>1*</t>
  </si>
  <si>
    <t>3 or 4</t>
  </si>
  <si>
    <t>2*</t>
  </si>
  <si>
    <t>1 4</t>
  </si>
  <si>
    <t>1 5</t>
  </si>
  <si>
    <t xml:space="preserve"> 2 3</t>
  </si>
  <si>
    <t>2 4</t>
  </si>
  <si>
    <t>2 5</t>
  </si>
  <si>
    <t>3 4</t>
  </si>
  <si>
    <t>3 5</t>
  </si>
  <si>
    <t>4 1</t>
  </si>
  <si>
    <t>4 2</t>
  </si>
  <si>
    <t>4 3</t>
  </si>
  <si>
    <t xml:space="preserve"> 4 5</t>
  </si>
  <si>
    <t>5 1</t>
  </si>
  <si>
    <t>5 2</t>
  </si>
  <si>
    <t>5 3</t>
  </si>
  <si>
    <t>5 4</t>
  </si>
  <si>
    <t>Wi/Wo/Ws</t>
  </si>
  <si>
    <t>Wi*Diff</t>
  </si>
  <si>
    <t>Wo*Diff</t>
  </si>
  <si>
    <t>Wc*Diff</t>
  </si>
  <si>
    <t>Ws*Diff</t>
  </si>
  <si>
    <t>Wo (All 3)</t>
  </si>
  <si>
    <t>Wo (VIKOR)</t>
  </si>
  <si>
    <t>Wc (VIKOR)</t>
  </si>
  <si>
    <t>1&gt;2&gt;3</t>
  </si>
  <si>
    <t>Wc (All 3)</t>
  </si>
  <si>
    <t>Compre.</t>
  </si>
  <si>
    <t>Combin.</t>
  </si>
  <si>
    <t>Subj.</t>
  </si>
  <si>
    <t>Obj.</t>
  </si>
  <si>
    <t>Diff*Wc</t>
  </si>
  <si>
    <r>
      <t>W</t>
    </r>
    <r>
      <rPr>
        <b/>
        <vertAlign val="subscript"/>
        <sz val="11"/>
        <color theme="1"/>
        <rFont val="Calibri"/>
        <family val="2"/>
        <scheme val="minor"/>
      </rPr>
      <t>i</t>
    </r>
  </si>
  <si>
    <t>Raw data</t>
  </si>
  <si>
    <t>Global W</t>
  </si>
  <si>
    <t>FAHP</t>
  </si>
  <si>
    <t>P-II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</si>
  <si>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c</t>
    </r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</si>
  <si>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o</t>
    </r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</si>
  <si>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s</t>
    </r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</si>
  <si>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i</t>
    </r>
  </si>
  <si>
    <t>E</t>
    <phoneticPr fontId="1" type="noConversion"/>
  </si>
  <si>
    <t>D3</t>
    <phoneticPr fontId="1" type="noConversion"/>
  </si>
  <si>
    <t>B3</t>
    <phoneticPr fontId="1" type="noConversion"/>
  </si>
  <si>
    <t>RF</t>
    <phoneticPr fontId="1" type="noConversion"/>
  </si>
  <si>
    <t>D2</t>
    <phoneticPr fontId="1" type="noConversion"/>
  </si>
  <si>
    <t>B2</t>
    <phoneticPr fontId="1" type="noConversion"/>
  </si>
  <si>
    <t>F</t>
    <phoneticPr fontId="1" type="noConversion"/>
  </si>
  <si>
    <t>D1</t>
    <phoneticPr fontId="1" type="noConversion"/>
  </si>
  <si>
    <t>RS</t>
    <phoneticPr fontId="1" type="noConversion"/>
  </si>
  <si>
    <t>B1</t>
    <phoneticPr fontId="1" type="noConversion"/>
  </si>
  <si>
    <t>D3
Land use</t>
    <phoneticPr fontId="1" type="noConversion"/>
  </si>
  <si>
    <t>D2 
Policy Relevance</t>
    <phoneticPr fontId="1" type="noConversion"/>
  </si>
  <si>
    <t>D1
Terrestrial acidification</t>
    <phoneticPr fontId="1" type="noConversion"/>
  </si>
  <si>
    <t>D</t>
    <phoneticPr fontId="1" type="noConversion"/>
  </si>
  <si>
    <t>B2
TAC</t>
    <phoneticPr fontId="1" type="noConversion"/>
  </si>
  <si>
    <t>B1
Process complexity</t>
    <phoneticPr fontId="1" type="noConversion"/>
  </si>
  <si>
    <t>B</t>
    <phoneticPr fontId="1" type="noConversion"/>
  </si>
  <si>
    <t>C3</t>
    <phoneticPr fontId="1" type="noConversion"/>
  </si>
  <si>
    <t>A3</t>
    <phoneticPr fontId="1" type="noConversion"/>
  </si>
  <si>
    <t>V</t>
    <phoneticPr fontId="1" type="noConversion"/>
  </si>
  <si>
    <t>C2</t>
    <phoneticPr fontId="1" type="noConversion"/>
  </si>
  <si>
    <t>A2</t>
    <phoneticPr fontId="1" type="noConversion"/>
  </si>
  <si>
    <t>RV</t>
    <phoneticPr fontId="1" type="noConversion"/>
  </si>
  <si>
    <t>C1</t>
    <phoneticPr fontId="1" type="noConversion"/>
  </si>
  <si>
    <t>A1</t>
    <phoneticPr fontId="1" type="noConversion"/>
  </si>
  <si>
    <t>D
Social</t>
    <phoneticPr fontId="1" type="noConversion"/>
  </si>
  <si>
    <t>C
Environmental</t>
    <phoneticPr fontId="1" type="noConversion"/>
  </si>
  <si>
    <t>B
Economic</t>
    <phoneticPr fontId="1" type="noConversion"/>
  </si>
  <si>
    <t xml:space="preserve">A
Technology
</t>
    <phoneticPr fontId="1" type="noConversion"/>
  </si>
  <si>
    <t>C3
Environmental ecotoxicity</t>
    <phoneticPr fontId="1" type="noConversion"/>
  </si>
  <si>
    <t>C2
Global warming</t>
    <phoneticPr fontId="1" type="noConversion"/>
  </si>
  <si>
    <t>C1
Terrestrial acidification</t>
    <phoneticPr fontId="1" type="noConversion"/>
  </si>
  <si>
    <t>C</t>
    <phoneticPr fontId="1" type="noConversion"/>
  </si>
  <si>
    <t>A2
Energy saving ratio</t>
    <phoneticPr fontId="1" type="noConversion"/>
  </si>
  <si>
    <t>A1
Total heat load</t>
    <phoneticPr fontId="1" type="noConversion"/>
  </si>
  <si>
    <t>A</t>
    <phoneticPr fontId="1" type="noConversion"/>
  </si>
  <si>
    <t>From
Zhaomin</t>
    <phoneticPr fontId="1" type="noConversion"/>
  </si>
  <si>
    <t>D3
Public perception</t>
    <phoneticPr fontId="1" type="noConversion"/>
  </si>
  <si>
    <t>D1
Intrinsically safe</t>
    <phoneticPr fontId="1" type="noConversion"/>
  </si>
  <si>
    <t>B3
TAC</t>
    <phoneticPr fontId="1" type="noConversion"/>
  </si>
  <si>
    <t>B2
Process complexity</t>
    <phoneticPr fontId="1" type="noConversion"/>
  </si>
  <si>
    <t>B1
TOC</t>
    <phoneticPr fontId="1" type="noConversion"/>
  </si>
  <si>
    <t>C3
Pollution</t>
    <phoneticPr fontId="1" type="noConversion"/>
  </si>
  <si>
    <t>C2
CO2 emissions</t>
    <phoneticPr fontId="1" type="noConversion"/>
  </si>
  <si>
    <t>C1
Human toxicity</t>
    <phoneticPr fontId="1" type="noConversion"/>
  </si>
  <si>
    <t>A2
TRL</t>
    <phoneticPr fontId="1" type="noConversion"/>
  </si>
  <si>
    <t>A2
Selectivity of IPA</t>
    <phoneticPr fontId="1" type="noConversion"/>
  </si>
  <si>
    <t>A1
Conversion rate</t>
    <phoneticPr fontId="1" type="noConversion"/>
  </si>
  <si>
    <t>From
Daniel</t>
  </si>
  <si>
    <t>From
Mohamed</t>
    <phoneticPr fontId="1" type="noConversion"/>
  </si>
  <si>
    <t>S</t>
    <phoneticPr fontId="1" type="noConversion"/>
  </si>
  <si>
    <t>V</t>
  </si>
  <si>
    <t>REI</t>
    <phoneticPr fontId="1" type="noConversion"/>
  </si>
  <si>
    <t>A3
TRL</t>
    <phoneticPr fontId="1" type="noConversion"/>
  </si>
  <si>
    <t>W2</t>
    <phoneticPr fontId="5" type="noConversion"/>
  </si>
  <si>
    <t>D2</t>
    <phoneticPr fontId="5" type="noConversion"/>
  </si>
  <si>
    <t>C2</t>
    <phoneticPr fontId="5" type="noConversion"/>
  </si>
  <si>
    <t>B2</t>
    <phoneticPr fontId="5" type="noConversion"/>
  </si>
  <si>
    <t>W</t>
    <phoneticPr fontId="5" type="noConversion"/>
  </si>
  <si>
    <t>S</t>
    <phoneticPr fontId="5" type="noConversion"/>
  </si>
  <si>
    <t>A2</t>
    <phoneticPr fontId="5" type="noConversion"/>
  </si>
  <si>
    <t>PW</t>
  </si>
  <si>
    <t>Fuzzy judgment weight of the first layer index</t>
    <phoneticPr fontId="1" type="noConversion"/>
  </si>
  <si>
    <t>P:Pairwise Matrix</t>
    <phoneticPr fontId="1" type="noConversion"/>
  </si>
  <si>
    <t>CR:Consistency 
Ratio</t>
    <phoneticPr fontId="1" type="noConversion"/>
  </si>
  <si>
    <t>W:Weights</t>
    <phoneticPr fontId="1" type="noConversion"/>
  </si>
  <si>
    <t>S:The value of fuzzy 
synthetic extent</t>
    <phoneticPr fontId="1" type="noConversion"/>
  </si>
  <si>
    <t>Fuzzy judgment weight of the second layer index</t>
    <phoneticPr fontId="1" type="noConversion"/>
  </si>
  <si>
    <r>
      <t>Dimensionless processing</t>
    </r>
    <r>
      <rPr>
        <b/>
        <sz val="11"/>
        <color theme="1"/>
        <rFont val="等线"/>
        <family val="3"/>
        <charset val="134"/>
      </rPr>
      <t>≤</t>
    </r>
    <r>
      <rPr>
        <b/>
        <sz val="11"/>
        <color theme="1"/>
        <rFont val="Times New Roman"/>
        <family val="1"/>
      </rPr>
      <t>1</t>
    </r>
  </si>
  <si>
    <t>Overall translation 0.0001</t>
    <phoneticPr fontId="1" type="noConversion"/>
  </si>
  <si>
    <t>Characteristic proportion</t>
    <phoneticPr fontId="1" type="noConversion"/>
  </si>
  <si>
    <t>PH</t>
    <phoneticPr fontId="1" type="noConversion"/>
  </si>
  <si>
    <t>AH</t>
    <phoneticPr fontId="1" type="noConversion"/>
  </si>
  <si>
    <t>HIA</t>
    <phoneticPr fontId="1" type="noConversion"/>
  </si>
  <si>
    <t>Max</t>
    <phoneticPr fontId="1" type="noConversion"/>
  </si>
  <si>
    <t>Min</t>
    <phoneticPr fontId="1" type="noConversion"/>
  </si>
  <si>
    <t>Max-Min</t>
    <phoneticPr fontId="1" type="noConversion"/>
  </si>
  <si>
    <t>Σ</t>
    <phoneticPr fontId="1" type="noConversion"/>
  </si>
  <si>
    <t>A1 (+)</t>
  </si>
  <si>
    <t>A2 (+)</t>
    <phoneticPr fontId="1" type="noConversion"/>
  </si>
  <si>
    <t>A3 (+)</t>
  </si>
  <si>
    <t>B1 (-)</t>
    <phoneticPr fontId="1" type="noConversion"/>
  </si>
  <si>
    <t>B2 (+)</t>
    <phoneticPr fontId="1" type="noConversion"/>
  </si>
  <si>
    <t>B3 (-)</t>
    <phoneticPr fontId="1" type="noConversion"/>
  </si>
  <si>
    <t>C1 (-)</t>
    <phoneticPr fontId="1" type="noConversion"/>
  </si>
  <si>
    <t>C2 (-)</t>
    <phoneticPr fontId="1" type="noConversion"/>
  </si>
  <si>
    <t>D1 (-)</t>
    <phoneticPr fontId="1" type="noConversion"/>
  </si>
  <si>
    <t>D2 (+)</t>
    <phoneticPr fontId="1" type="noConversion"/>
  </si>
  <si>
    <t>D3 (+)</t>
    <phoneticPr fontId="1" type="noConversion"/>
  </si>
  <si>
    <t>Characteristic proportion(P)</t>
    <phoneticPr fontId="1" type="noConversion"/>
  </si>
  <si>
    <t>Lnp</t>
    <phoneticPr fontId="1" type="noConversion"/>
  </si>
  <si>
    <t>P*LNP</t>
    <phoneticPr fontId="1" type="noConversion"/>
  </si>
  <si>
    <t>PH</t>
  </si>
  <si>
    <t>AH</t>
  </si>
  <si>
    <t>HIA</t>
  </si>
  <si>
    <t>Entropy 
value</t>
    <phoneticPr fontId="1" type="noConversion"/>
  </si>
  <si>
    <t>Coefficient 
of difference</t>
    <phoneticPr fontId="1" type="noConversion"/>
  </si>
  <si>
    <t>Scenario 1</t>
  </si>
  <si>
    <t>Scenario 2</t>
  </si>
  <si>
    <t>Scenario 3</t>
  </si>
  <si>
    <t>A2 (+)</t>
  </si>
  <si>
    <t>B1 (+)</t>
  </si>
  <si>
    <t>B2 (-)</t>
  </si>
  <si>
    <t>C2 (-)</t>
  </si>
  <si>
    <t>C3 (-)</t>
  </si>
  <si>
    <t>D2 (+)</t>
  </si>
  <si>
    <t>D2 (-)</t>
  </si>
  <si>
    <t>D3 (-)</t>
  </si>
  <si>
    <t>Entropy 
value</t>
  </si>
  <si>
    <t>Coefficient 
of difference</t>
  </si>
  <si>
    <t>wj</t>
  </si>
  <si>
    <t>W</t>
    <phoneticPr fontId="1" type="noConversion"/>
  </si>
  <si>
    <t>Comprehensive 
weight</t>
    <phoneticPr fontId="1" type="noConversion"/>
  </si>
  <si>
    <t>First-level 
indicators</t>
    <phoneticPr fontId="1" type="noConversion"/>
  </si>
  <si>
    <t>Second-level 
indicators</t>
    <phoneticPr fontId="1" type="noConversion"/>
  </si>
  <si>
    <t>Subjective 
weight</t>
    <phoneticPr fontId="1" type="noConversion"/>
  </si>
  <si>
    <t>CR</t>
    <phoneticPr fontId="1" type="noConversion"/>
  </si>
  <si>
    <t>Objective 
weight</t>
    <phoneticPr fontId="1" type="noConversion"/>
  </si>
  <si>
    <t>Overall 
weight</t>
    <phoneticPr fontId="1" type="noConversion"/>
  </si>
  <si>
    <t>Comprehensive 
weight</t>
  </si>
  <si>
    <t>CR:Consistency 
Ratio</t>
  </si>
  <si>
    <t>A (Tech) </t>
  </si>
  <si>
    <t> </t>
  </si>
  <si>
    <r>
      <t>0</t>
    </r>
    <r>
      <rPr>
        <sz val="11"/>
        <color rgb="FF000000"/>
        <rFont val="Times New Roman"/>
        <charset val="1"/>
      </rPr>
      <t> </t>
    </r>
  </si>
  <si>
    <r>
      <t>0.1</t>
    </r>
    <r>
      <rPr>
        <sz val="11"/>
        <color rgb="FF000000"/>
        <rFont val="Times New Roman"/>
        <charset val="1"/>
      </rPr>
      <t> </t>
    </r>
  </si>
  <si>
    <r>
      <t>0.2</t>
    </r>
    <r>
      <rPr>
        <sz val="11"/>
        <color rgb="FF000000"/>
        <rFont val="Times New Roman"/>
        <charset val="1"/>
      </rPr>
      <t> </t>
    </r>
  </si>
  <si>
    <r>
      <t>0.3</t>
    </r>
    <r>
      <rPr>
        <sz val="11"/>
        <color rgb="FF000000"/>
        <rFont val="Times New Roman"/>
        <charset val="1"/>
      </rPr>
      <t> </t>
    </r>
  </si>
  <si>
    <r>
      <t>0.4</t>
    </r>
    <r>
      <rPr>
        <sz val="11"/>
        <color rgb="FF000000"/>
        <rFont val="Times New Roman"/>
        <charset val="1"/>
      </rPr>
      <t> </t>
    </r>
  </si>
  <si>
    <r>
      <t>0.5</t>
    </r>
    <r>
      <rPr>
        <sz val="11"/>
        <color rgb="FF000000"/>
        <rFont val="Times New Roman"/>
        <charset val="1"/>
      </rPr>
      <t> </t>
    </r>
  </si>
  <si>
    <r>
      <t>0.6</t>
    </r>
    <r>
      <rPr>
        <sz val="11"/>
        <color rgb="FF000000"/>
        <rFont val="Times New Roman"/>
        <charset val="1"/>
      </rPr>
      <t> </t>
    </r>
  </si>
  <si>
    <r>
      <t>0.7</t>
    </r>
    <r>
      <rPr>
        <sz val="11"/>
        <color rgb="FF000000"/>
        <rFont val="Times New Roman"/>
        <charset val="1"/>
      </rPr>
      <t> </t>
    </r>
  </si>
  <si>
    <r>
      <t>0.8</t>
    </r>
    <r>
      <rPr>
        <sz val="11"/>
        <color rgb="FF000000"/>
        <rFont val="Times New Roman"/>
        <charset val="1"/>
      </rPr>
      <t> </t>
    </r>
  </si>
  <si>
    <r>
      <t>0.9</t>
    </r>
    <r>
      <rPr>
        <sz val="11"/>
        <color rgb="FF000000"/>
        <rFont val="Times New Roman"/>
        <charset val="1"/>
      </rPr>
      <t> </t>
    </r>
  </si>
  <si>
    <t>PH </t>
  </si>
  <si>
    <t>0.248009 </t>
  </si>
  <si>
    <t>0.254882 </t>
  </si>
  <si>
    <t>0.259727 </t>
  </si>
  <si>
    <t>0.263521 </t>
  </si>
  <si>
    <t>AH </t>
  </si>
  <si>
    <t>0.256727 </t>
  </si>
  <si>
    <t>0.26292 </t>
  </si>
  <si>
    <t>0.26717 </t>
  </si>
  <si>
    <t>0.27043 </t>
  </si>
  <si>
    <t>0.273079 </t>
  </si>
  <si>
    <t>0.27724 </t>
  </si>
  <si>
    <t>0.281812 </t>
  </si>
  <si>
    <t>IAH </t>
  </si>
  <si>
    <t>0.495264 </t>
  </si>
  <si>
    <t>0.482198 </t>
  </si>
  <si>
    <t>0.473104 </t>
  </si>
  <si>
    <t>0.466049 </t>
  </si>
  <si>
    <t xml:space="preserve"> 0.451069 </t>
  </si>
  <si>
    <t>B (Econ) </t>
  </si>
  <si>
    <t>0.247977 </t>
  </si>
  <si>
    <t>0.247941 </t>
  </si>
  <si>
    <t>0.247903 </t>
  </si>
  <si>
    <t>0.247864 </t>
  </si>
  <si>
    <t>0.247824 </t>
  </si>
  <si>
    <t>0.247785 </t>
  </si>
  <si>
    <t>0.247745 </t>
  </si>
  <si>
    <t>0.247706 </t>
  </si>
  <si>
    <t>0.247667 </t>
  </si>
  <si>
    <t>0.254784 </t>
  </si>
  <si>
    <t>0.253128 </t>
  </si>
  <si>
    <t>0.251682 </t>
  </si>
  <si>
    <t>0.250399 </t>
  </si>
  <si>
    <t>0.249244 </t>
  </si>
  <si>
    <t>0.248194 </t>
  </si>
  <si>
    <t>0.247232 </t>
  </si>
  <si>
    <t>0.246343 </t>
  </si>
  <si>
    <t>0.245518 </t>
  </si>
  <si>
    <t>0.49724 </t>
  </si>
  <si>
    <t>0.498932 </t>
  </si>
  <si>
    <t>0.500415 </t>
  </si>
  <si>
    <t>0.501738 </t>
  </si>
  <si>
    <t>0.502932 </t>
  </si>
  <si>
    <t>0.504021 </t>
  </si>
  <si>
    <t>0.505023 </t>
  </si>
  <si>
    <t>0.505951 </t>
  </si>
  <si>
    <t>0.506816 </t>
  </si>
  <si>
    <t>C (Env) </t>
  </si>
  <si>
    <t>0.245923 </t>
  </si>
  <si>
    <t>0.244193 </t>
  </si>
  <si>
    <t>0.242707 </t>
  </si>
  <si>
    <t>0.241402 </t>
  </si>
  <si>
    <t>0.240236 </t>
  </si>
  <si>
    <t>0.23918 </t>
  </si>
  <si>
    <t>0.238215 </t>
  </si>
  <si>
    <t>0.237325 </t>
  </si>
  <si>
    <t>0.2365 </t>
  </si>
  <si>
    <t>0.257975 </t>
  </si>
  <si>
    <t>0.258992 </t>
  </si>
  <si>
    <t>0.259852 </t>
  </si>
  <si>
    <t>0.260598 </t>
  </si>
  <si>
    <t>0.261257 </t>
  </si>
  <si>
    <t>0.261847 </t>
  </si>
  <si>
    <t>0.26238 </t>
  </si>
  <si>
    <t>0.262868 </t>
  </si>
  <si>
    <t>0.263315 </t>
  </si>
  <si>
    <t>0.496103 </t>
  </si>
  <si>
    <t>0.496816 </t>
  </si>
  <si>
    <t>0.497441 </t>
  </si>
  <si>
    <t>0.498 </t>
  </si>
  <si>
    <t>0.498507 </t>
  </si>
  <si>
    <t>0.498973 </t>
  </si>
  <si>
    <t>0.499405 </t>
  </si>
  <si>
    <t>0.499807 </t>
  </si>
  <si>
    <t>0.500185 </t>
  </si>
  <si>
    <t>D (Soc) </t>
  </si>
  <si>
    <t>0.246411 </t>
  </si>
  <si>
    <t>0.245311 </t>
  </si>
  <si>
    <t>0.244485 </t>
  </si>
  <si>
    <t>0.24383 </t>
  </si>
  <si>
    <t>0.243291 </t>
  </si>
  <si>
    <t>0.242838 </t>
  </si>
  <si>
    <t>0.242449 </t>
  </si>
  <si>
    <t>0.242109 </t>
  </si>
  <si>
    <t>0.241809 </t>
  </si>
  <si>
    <t>0.254338 </t>
  </si>
  <si>
    <t>0.252504 </t>
  </si>
  <si>
    <t>0.251007 </t>
  </si>
  <si>
    <t>0.249739 </t>
  </si>
  <si>
    <t>0.248637 </t>
  </si>
  <si>
    <t>0.247663 </t>
  </si>
  <si>
    <t>0.246789 </t>
  </si>
  <si>
    <t>0.245998 </t>
  </si>
  <si>
    <t>0.245275 </t>
  </si>
  <si>
    <t>0.499252 </t>
  </si>
  <si>
    <t>0.502184 </t>
  </si>
  <si>
    <t>0.504508 </t>
  </si>
  <si>
    <t>0.506432 </t>
  </si>
  <si>
    <t>0.508072 </t>
  </si>
  <si>
    <t>0.509499 </t>
  </si>
  <si>
    <t>0.510762 </t>
  </si>
  <si>
    <t>0.511893 </t>
  </si>
  <si>
    <t>0.512916 </t>
  </si>
  <si>
    <t>Combo 
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</si>
</sst>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Calibri"/>
      <scheme val="minor"/>
    </font>
    <font>
      <b/>
      <sz val="11"/>
      <color rgb="FF000000"/>
      <name val="Calibri"/>
      <charset val="1"/>
    </font>
    <font>
      <sz val="13.5"/>
      <color rgb="FF000000"/>
      <name val="Times New Roman"/>
      <charset val="1"/>
    </font>
    <font>
      <sz val="9"/>
      <color rgb="FF000000"/>
      <name val="Times New Roman"/>
      <charset val="1"/>
    </font>
    <font>
      <sz val="12"/>
      <color rgb="FF000000"/>
      <name val="Times New Roman"/>
      <charset val="1"/>
    </font>
    <font>
      <sz val="12"/>
      <name val="Times New Roman"/>
      <charset val="1"/>
    </font>
    <font>
      <sz val="11"/>
      <color rgb="FF000000"/>
      <name val="Calibri"/>
      <scheme val="minor"/>
    </font>
    <font>
      <sz val="11"/>
      <name val="Calibri"/>
      <scheme val="minor"/>
    </font>
    <font>
      <b/>
      <sz val="11"/>
      <color theme="1"/>
      <name val="Calibri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sz val="11"/>
      <color theme="1"/>
      <name val="等线"/>
      <family val="3"/>
      <charset val="134"/>
    </font>
    <font>
      <sz val="11"/>
      <color rgb="FF000000"/>
      <name val="Times New Roman"/>
      <charset val="1"/>
    </font>
    <font>
      <b/>
      <sz val="11"/>
      <color rgb="FF000000"/>
      <name val="Times New Roman"/>
      <charset val="1"/>
    </font>
    <font>
      <sz val="11"/>
      <color rgb="FF000000"/>
      <name val="WordVisi_MSFontService"/>
      <charset val="1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0CECE"/>
        <bgColor indexed="64"/>
      </patternFill>
    </fill>
  </fills>
  <borders count="8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</borders>
  <cellStyleXfs count="1">
    <xf numFmtId="0" fontId="0" fillId="0" borderId="0"/>
  </cellStyleXfs>
  <cellXfs count="483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7" fillId="3" borderId="6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/>
    <xf numFmtId="0" fontId="2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0" fillId="6" borderId="1" xfId="0" applyFill="1" applyBorder="1"/>
    <xf numFmtId="0" fontId="0" fillId="6" borderId="2" xfId="0" applyFill="1" applyBorder="1"/>
    <xf numFmtId="0" fontId="3" fillId="6" borderId="4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0" fontId="0" fillId="8" borderId="9" xfId="0" applyFill="1" applyBorder="1"/>
    <xf numFmtId="0" fontId="2" fillId="0" borderId="13" xfId="0" applyFont="1" applyBorder="1" applyAlignment="1">
      <alignment horizontal="center"/>
    </xf>
    <xf numFmtId="0" fontId="8" fillId="7" borderId="12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9" fillId="0" borderId="0" xfId="0" applyFont="1"/>
    <xf numFmtId="0" fontId="2" fillId="0" borderId="0" xfId="0" applyFont="1"/>
    <xf numFmtId="0" fontId="0" fillId="0" borderId="4" xfId="0" applyBorder="1"/>
    <xf numFmtId="0" fontId="2" fillId="8" borderId="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16" fontId="2" fillId="0" borderId="8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" fontId="2" fillId="0" borderId="5" xfId="0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16" fontId="2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11" borderId="14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11" borderId="18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11" borderId="2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12" fillId="0" borderId="0" xfId="0" applyFont="1" applyAlignment="1">
      <alignment wrapText="1"/>
    </xf>
    <xf numFmtId="0" fontId="13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26" xfId="0" applyBorder="1"/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2" fillId="0" borderId="31" xfId="0" applyFont="1" applyBorder="1" applyAlignment="1">
      <alignment horizontal="center"/>
    </xf>
    <xf numFmtId="11" fontId="0" fillId="0" borderId="1" xfId="0" applyNumberFormat="1" applyBorder="1" applyAlignment="1">
      <alignment horizontal="center" vertical="center"/>
    </xf>
    <xf numFmtId="0" fontId="0" fillId="2" borderId="26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23" xfId="0" applyBorder="1"/>
    <xf numFmtId="0" fontId="0" fillId="0" borderId="28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" fontId="2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2" fillId="3" borderId="4" xfId="0" applyFont="1" applyFill="1" applyBorder="1"/>
    <xf numFmtId="0" fontId="2" fillId="2" borderId="4" xfId="0" applyFont="1" applyFill="1" applyBorder="1" applyAlignment="1">
      <alignment horizontal="center"/>
    </xf>
    <xf numFmtId="0" fontId="0" fillId="0" borderId="45" xfId="0" applyBorder="1"/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12" borderId="9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2" borderId="8" xfId="0" applyFont="1" applyFill="1" applyBorder="1" applyAlignment="1">
      <alignment horizontal="center"/>
    </xf>
    <xf numFmtId="0" fontId="7" fillId="13" borderId="4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3" borderId="8" xfId="0" applyFont="1" applyFill="1" applyBorder="1" applyAlignment="1">
      <alignment horizontal="center" vertical="center" wrapText="1"/>
    </xf>
    <xf numFmtId="0" fontId="2" fillId="12" borderId="46" xfId="0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2" borderId="42" xfId="0" applyFont="1" applyFill="1" applyBorder="1" applyAlignment="1">
      <alignment horizont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2" fillId="0" borderId="50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0" fillId="0" borderId="4" xfId="0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8" borderId="23" xfId="0" applyFont="1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9" borderId="5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8" borderId="4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wrapText="1"/>
    </xf>
    <xf numFmtId="0" fontId="0" fillId="0" borderId="28" xfId="0" applyBorder="1" applyAlignment="1">
      <alignment wrapText="1"/>
    </xf>
    <xf numFmtId="0" fontId="2" fillId="3" borderId="45" xfId="0" applyFont="1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2" fontId="0" fillId="0" borderId="0" xfId="0" applyNumberFormat="1"/>
    <xf numFmtId="0" fontId="2" fillId="2" borderId="8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wrapText="1"/>
    </xf>
    <xf numFmtId="0" fontId="0" fillId="0" borderId="28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5" borderId="42" xfId="0" applyFont="1" applyFill="1" applyBorder="1" applyAlignment="1">
      <alignment horizontal="center" vertical="center"/>
    </xf>
    <xf numFmtId="0" fontId="0" fillId="5" borderId="42" xfId="0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5" borderId="43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8" borderId="46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8" fillId="7" borderId="5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2" fillId="8" borderId="46" xfId="0" applyFont="1" applyFill="1" applyBorder="1" applyAlignment="1">
      <alignment horizontal="center" vertical="center"/>
    </xf>
    <xf numFmtId="0" fontId="0" fillId="0" borderId="18" xfId="0" applyBorder="1"/>
    <xf numFmtId="0" fontId="7" fillId="0" borderId="18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0" fillId="0" borderId="58" xfId="0" applyBorder="1"/>
    <xf numFmtId="0" fontId="2" fillId="0" borderId="6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165" fontId="0" fillId="5" borderId="18" xfId="0" applyNumberFormat="1" applyFill="1" applyBorder="1" applyAlignment="1">
      <alignment horizontal="center" vertical="center"/>
    </xf>
    <xf numFmtId="165" fontId="0" fillId="0" borderId="18" xfId="0" applyNumberFormat="1" applyBorder="1" applyAlignment="1">
      <alignment horizontal="center" vertical="center"/>
    </xf>
    <xf numFmtId="165" fontId="0" fillId="3" borderId="18" xfId="0" applyNumberFormat="1" applyFill="1" applyBorder="1" applyAlignment="1">
      <alignment horizontal="center" vertical="center"/>
    </xf>
    <xf numFmtId="164" fontId="0" fillId="2" borderId="18" xfId="0" applyNumberFormat="1" applyFill="1" applyBorder="1" applyAlignment="1">
      <alignment horizontal="center" vertical="center"/>
    </xf>
    <xf numFmtId="164" fontId="0" fillId="3" borderId="18" xfId="0" applyNumberFormat="1" applyFill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0" fillId="5" borderId="18" xfId="0" applyNumberFormat="1" applyFill="1" applyBorder="1" applyAlignment="1">
      <alignment horizontal="center" vertical="center"/>
    </xf>
    <xf numFmtId="0" fontId="19" fillId="5" borderId="18" xfId="0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8" borderId="5" xfId="0" applyFont="1" applyFill="1" applyBorder="1" applyAlignment="1">
      <alignment horizontal="center" vertical="center"/>
    </xf>
    <xf numFmtId="0" fontId="2" fillId="8" borderId="46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66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/>
    </xf>
    <xf numFmtId="0" fontId="0" fillId="14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15" borderId="0" xfId="0" applyFill="1" applyAlignment="1">
      <alignment horizontal="center" vertical="center" wrapText="1"/>
    </xf>
    <xf numFmtId="0" fontId="0" fillId="16" borderId="0" xfId="0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/>
    <xf numFmtId="11" fontId="5" fillId="0" borderId="0" xfId="0" applyNumberFormat="1" applyFont="1"/>
    <xf numFmtId="0" fontId="4" fillId="0" borderId="72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64" xfId="0" applyFont="1" applyBorder="1" applyAlignment="1">
      <alignment vertical="center"/>
    </xf>
    <xf numFmtId="0" fontId="22" fillId="0" borderId="80" xfId="0" applyFont="1" applyBorder="1" applyAlignment="1">
      <alignment horizontal="center" vertical="center" wrapText="1"/>
    </xf>
    <xf numFmtId="0" fontId="22" fillId="17" borderId="15" xfId="0" applyFont="1" applyFill="1" applyBorder="1" applyAlignment="1">
      <alignment wrapText="1"/>
    </xf>
    <xf numFmtId="0" fontId="23" fillId="17" borderId="15" xfId="0" applyFont="1" applyFill="1" applyBorder="1" applyAlignment="1">
      <alignment horizontal="center" wrapText="1"/>
    </xf>
    <xf numFmtId="0" fontId="23" fillId="17" borderId="16" xfId="0" applyFont="1" applyFill="1" applyBorder="1" applyAlignment="1">
      <alignment horizontal="center" wrapText="1"/>
    </xf>
    <xf numFmtId="0" fontId="22" fillId="0" borderId="81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wrapText="1"/>
    </xf>
    <xf numFmtId="0" fontId="22" fillId="0" borderId="80" xfId="0" applyFont="1" applyBorder="1" applyAlignment="1">
      <alignment horizontal="center" wrapText="1"/>
    </xf>
    <xf numFmtId="0" fontId="22" fillId="0" borderId="82" xfId="0" applyFont="1" applyBorder="1" applyAlignment="1">
      <alignment horizontal="center" wrapText="1"/>
    </xf>
    <xf numFmtId="0" fontId="22" fillId="0" borderId="83" xfId="0" applyFont="1" applyBorder="1" applyAlignment="1">
      <alignment horizontal="center" wrapText="1"/>
    </xf>
    <xf numFmtId="0" fontId="22" fillId="0" borderId="84" xfId="0" applyFont="1" applyBorder="1" applyAlignment="1">
      <alignment horizontal="center" wrapText="1"/>
    </xf>
    <xf numFmtId="0" fontId="22" fillId="0" borderId="1" xfId="0" applyFont="1" applyBorder="1"/>
    <xf numFmtId="0" fontId="22" fillId="0" borderId="57" xfId="0" applyFont="1" applyBorder="1" applyAlignment="1">
      <alignment horizontal="center" wrapText="1"/>
    </xf>
    <xf numFmtId="0" fontId="22" fillId="0" borderId="0" xfId="0" applyFont="1"/>
    <xf numFmtId="0" fontId="22" fillId="0" borderId="85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2" fillId="0" borderId="19" xfId="0" applyFont="1" applyBorder="1" applyAlignment="1">
      <alignment horizontal="center" wrapText="1"/>
    </xf>
    <xf numFmtId="0" fontId="22" fillId="0" borderId="86" xfId="0" applyFont="1" applyBorder="1" applyAlignment="1">
      <alignment horizontal="center" vertical="center" wrapText="1"/>
    </xf>
    <xf numFmtId="0" fontId="22" fillId="17" borderId="18" xfId="0" applyFont="1" applyFill="1" applyBorder="1" applyAlignment="1">
      <alignment horizontal="center" wrapText="1"/>
    </xf>
    <xf numFmtId="0" fontId="23" fillId="17" borderId="18" xfId="0" applyFont="1" applyFill="1" applyBorder="1" applyAlignment="1">
      <alignment horizontal="center" wrapText="1"/>
    </xf>
    <xf numFmtId="0" fontId="23" fillId="17" borderId="19" xfId="0" applyFont="1" applyFill="1" applyBorder="1" applyAlignment="1">
      <alignment horizontal="center" wrapText="1"/>
    </xf>
    <xf numFmtId="0" fontId="22" fillId="0" borderId="87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wrapText="1"/>
    </xf>
    <xf numFmtId="0" fontId="22" fillId="0" borderId="2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Environmental</a:t>
            </a:r>
            <a:r>
              <a:rPr lang="en-GB" b="1" baseline="0">
                <a:solidFill>
                  <a:sysClr val="windowText" lastClr="000000"/>
                </a:solidFill>
              </a:rPr>
              <a:t> (A)</a:t>
            </a:r>
            <a:endParaRPr lang="en-GB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'Bioeth M'!$W$24</c:f>
              <c:strCache>
                <c:ptCount val="1"/>
                <c:pt idx="0">
                  <c:v>R1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'Bioeth M'!$X$23:$AG$23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'Bioeth M'!$X$24:$AG$24</c:f>
              <c:numCache>
                <c:formatCode>General</c:formatCode>
                <c:ptCount val="10"/>
                <c:pt idx="0">
                  <c:v>1E-4</c:v>
                </c:pt>
                <c:pt idx="1">
                  <c:v>1E-4</c:v>
                </c:pt>
                <c:pt idx="2">
                  <c:v>1E-4</c:v>
                </c:pt>
                <c:pt idx="3">
                  <c:v>1E-4</c:v>
                </c:pt>
                <c:pt idx="4">
                  <c:v>1E-4</c:v>
                </c:pt>
                <c:pt idx="5">
                  <c:v>1E-4</c:v>
                </c:pt>
                <c:pt idx="6">
                  <c:v>1E-4</c:v>
                </c:pt>
                <c:pt idx="7">
                  <c:v>1E-4</c:v>
                </c:pt>
                <c:pt idx="8">
                  <c:v>1E-4</c:v>
                </c:pt>
                <c:pt idx="9">
                  <c:v>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D-4B48-AD63-A1E9F84951E5}"/>
            </c:ext>
          </c:extLst>
        </c:ser>
        <c:ser>
          <c:idx val="2"/>
          <c:order val="1"/>
          <c:tx>
            <c:strRef>
              <c:f>'Bioeth M'!$W$25</c:f>
              <c:strCache>
                <c:ptCount val="1"/>
                <c:pt idx="0">
                  <c:v>R2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'Bioeth M'!$X$23:$AG$23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'Bioeth M'!$X$25:$AG$25</c:f>
              <c:numCache>
                <c:formatCode>General</c:formatCode>
                <c:ptCount val="10"/>
                <c:pt idx="0">
                  <c:v>0.92191055088448959</c:v>
                </c:pt>
                <c:pt idx="1">
                  <c:v>0.93707415401610283</c:v>
                </c:pt>
                <c:pt idx="2">
                  <c:v>0.94934668474628769</c:v>
                </c:pt>
                <c:pt idx="3">
                  <c:v>0.95961893188324965</c:v>
                </c:pt>
                <c:pt idx="4">
                  <c:v>0.96842519877436395</c:v>
                </c:pt>
                <c:pt idx="5">
                  <c:v>0.97611168563538464</c:v>
                </c:pt>
                <c:pt idx="6">
                  <c:v>0.9829156619984829</c:v>
                </c:pt>
                <c:pt idx="7">
                  <c:v>0.98900685220774998</c:v>
                </c:pt>
                <c:pt idx="8">
                  <c:v>0.99451083674981611</c:v>
                </c:pt>
                <c:pt idx="9">
                  <c:v>0.99952311491644796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3D-4B48-AD63-A1E9F84951E5}"/>
            </c:ext>
          </c:extLst>
        </c:ser>
        <c:ser>
          <c:idx val="3"/>
          <c:order val="2"/>
          <c:tx>
            <c:strRef>
              <c:f>'Bioeth M'!$W$26</c:f>
              <c:strCache>
                <c:ptCount val="1"/>
                <c:pt idx="0">
                  <c:v>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'Bioeth M'!$X$23:$AG$23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'Bioeth M'!$X$26:$AG$26</c:f>
              <c:numCache>
                <c:formatCode>General</c:formatCode>
                <c:ptCount val="10"/>
                <c:pt idx="0">
                  <c:v>0.83424389157988044</c:v>
                </c:pt>
                <c:pt idx="1">
                  <c:v>0.74566579538673894</c:v>
                </c:pt>
                <c:pt idx="2">
                  <c:v>0.69848270366881582</c:v>
                </c:pt>
                <c:pt idx="3">
                  <c:v>0.68144364634719001</c:v>
                </c:pt>
                <c:pt idx="4">
                  <c:v>0.69994843343261426</c:v>
                </c:pt>
                <c:pt idx="5">
                  <c:v>0.71361116355238252</c:v>
                </c:pt>
                <c:pt idx="6">
                  <c:v>0.72416563984885318</c:v>
                </c:pt>
                <c:pt idx="7">
                  <c:v>0.73259837867127264</c:v>
                </c:pt>
                <c:pt idx="8">
                  <c:v>0.73951374221297783</c:v>
                </c:pt>
                <c:pt idx="9">
                  <c:v>0.74530357495047661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3D-4B48-AD63-A1E9F8495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674383"/>
        <c:axId val="684149455"/>
      </c:lineChart>
      <c:catAx>
        <c:axId val="81767438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Criteria</a:t>
                </a:r>
                <a:r>
                  <a:rPr lang="en-GB" baseline="0"/>
                  <a:t> weight change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41247105735420309"/>
              <c:y val="0.808546584635797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4149455"/>
        <c:crosses val="autoZero"/>
        <c:auto val="1"/>
        <c:lblAlgn val="ctr"/>
        <c:lblOffset val="100"/>
        <c:noMultiLvlLbl val="0"/>
      </c:catAx>
      <c:valAx>
        <c:axId val="68414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Qi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0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767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Tech (D)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FAHP!$J$72</c:f>
              <c:strCache>
                <c:ptCount val="1"/>
                <c:pt idx="0">
                  <c:v>WGEA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FAHP!$K$71:$T$71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FAHP!$K$72:$T$72</c:f>
              <c:numCache>
                <c:formatCode>0.0000</c:formatCode>
                <c:ptCount val="10"/>
                <c:pt idx="0" formatCode="General">
                  <c:v>0.2329</c:v>
                </c:pt>
                <c:pt idx="1">
                  <c:v>0.22931648907268301</c:v>
                </c:pt>
                <c:pt idx="2">
                  <c:v>0.22662804878519699</c:v>
                </c:pt>
                <c:pt idx="3">
                  <c:v>0.22448013043526899</c:v>
                </c:pt>
                <c:pt idx="4">
                  <c:v>0.22268925362199499</c:v>
                </c:pt>
                <c:pt idx="5">
                  <c:v>0.22115305973676599</c:v>
                </c:pt>
                <c:pt idx="6">
                  <c:v>0.21980822064605501</c:v>
                </c:pt>
                <c:pt idx="7">
                  <c:v>0.218612666949036</c:v>
                </c:pt>
                <c:pt idx="8">
                  <c:v>0.21753695683865301</c:v>
                </c:pt>
                <c:pt idx="9">
                  <c:v>0.216559643199464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E0-4D8F-93EB-116493BAD3CF}"/>
            </c:ext>
          </c:extLst>
        </c:ser>
        <c:ser>
          <c:idx val="1"/>
          <c:order val="1"/>
          <c:tx>
            <c:strRef>
              <c:f>FAHP!$J$73</c:f>
              <c:strCache>
                <c:ptCount val="1"/>
                <c:pt idx="0">
                  <c:v>PVEA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FAHP!$K$71:$T$71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FAHP!$K$73:$T$73</c:f>
              <c:numCache>
                <c:formatCode>0.0000</c:formatCode>
                <c:ptCount val="10"/>
                <c:pt idx="0" formatCode="General">
                  <c:v>0.1699</c:v>
                </c:pt>
                <c:pt idx="1">
                  <c:v>0.16615435748771101</c:v>
                </c:pt>
                <c:pt idx="2">
                  <c:v>0.163293243191829</c:v>
                </c:pt>
                <c:pt idx="3">
                  <c:v>0.16095895959047801</c:v>
                </c:pt>
                <c:pt idx="4">
                  <c:v>0.15897874559146799</c:v>
                </c:pt>
                <c:pt idx="5">
                  <c:v>0.15725480544081599</c:v>
                </c:pt>
                <c:pt idx="6">
                  <c:v>0.155725874213686</c:v>
                </c:pt>
                <c:pt idx="7">
                  <c:v>0.15435080251574801</c:v>
                </c:pt>
                <c:pt idx="8">
                  <c:v>0.153100507250653</c:v>
                </c:pt>
                <c:pt idx="9">
                  <c:v>0.15195361223741499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E0-4D8F-93EB-116493BAD3CF}"/>
            </c:ext>
          </c:extLst>
        </c:ser>
        <c:ser>
          <c:idx val="2"/>
          <c:order val="2"/>
          <c:tx>
            <c:strRef>
              <c:f>FAHP!$J$74</c:f>
              <c:strCache>
                <c:ptCount val="1"/>
                <c:pt idx="0">
                  <c:v>HPEA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FAHP!$K$71:$T$71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FAHP!$K$74:$T$74</c:f>
              <c:numCache>
                <c:formatCode>0.0000</c:formatCode>
                <c:ptCount val="10"/>
                <c:pt idx="0" formatCode="General">
                  <c:v>0.30880000000000002</c:v>
                </c:pt>
                <c:pt idx="1">
                  <c:v>0.314871567316789</c:v>
                </c:pt>
                <c:pt idx="2">
                  <c:v>0.31953583594915003</c:v>
                </c:pt>
                <c:pt idx="3">
                  <c:v>0.32334614973645298</c:v>
                </c:pt>
                <c:pt idx="4">
                  <c:v>0.32658179298304701</c:v>
                </c:pt>
                <c:pt idx="5">
                  <c:v>0.32940101377145697</c:v>
                </c:pt>
                <c:pt idx="6">
                  <c:v>0.33190303902455998</c:v>
                </c:pt>
                <c:pt idx="7">
                  <c:v>0.334154572233898</c:v>
                </c:pt>
                <c:pt idx="8">
                  <c:v>0.33620279603570502</c:v>
                </c:pt>
                <c:pt idx="9">
                  <c:v>0.33808241506059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0E0-4D8F-93EB-116493BAD3CF}"/>
            </c:ext>
          </c:extLst>
        </c:ser>
        <c:ser>
          <c:idx val="3"/>
          <c:order val="3"/>
          <c:tx>
            <c:strRef>
              <c:f>FAHP!$J$75</c:f>
              <c:strCache>
                <c:ptCount val="1"/>
                <c:pt idx="0">
                  <c:v>BGEA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FAHP!$K$71:$T$71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FAHP!$K$75:$T$75</c:f>
              <c:numCache>
                <c:formatCode>0.0000</c:formatCode>
                <c:ptCount val="10"/>
                <c:pt idx="0" formatCode="General">
                  <c:v>0.16869999999999999</c:v>
                </c:pt>
                <c:pt idx="1">
                  <c:v>0.16630568248011299</c:v>
                </c:pt>
                <c:pt idx="2">
                  <c:v>0.16447150286901199</c:v>
                </c:pt>
                <c:pt idx="3">
                  <c:v>0.162961271879248</c:v>
                </c:pt>
                <c:pt idx="4">
                  <c:v>0.161671413966095</c:v>
                </c:pt>
                <c:pt idx="5">
                  <c:v>0.160542610285693</c:v>
                </c:pt>
                <c:pt idx="6">
                  <c:v>0.15953733837946399</c:v>
                </c:pt>
                <c:pt idx="7">
                  <c:v>0.158630189335141</c:v>
                </c:pt>
                <c:pt idx="8">
                  <c:v>0.157803074107042</c:v>
                </c:pt>
                <c:pt idx="9">
                  <c:v>0.15704261481048401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0E0-4D8F-93EB-116493BAD3CF}"/>
            </c:ext>
          </c:extLst>
        </c:ser>
        <c:ser>
          <c:idx val="4"/>
          <c:order val="4"/>
          <c:tx>
            <c:strRef>
              <c:f>FAHP!$J$76</c:f>
              <c:strCache>
                <c:ptCount val="1"/>
                <c:pt idx="0">
                  <c:v>NTEA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FAHP!$K$71:$T$71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FAHP!$K$76:$T$76</c:f>
              <c:numCache>
                <c:formatCode>0.0000</c:formatCode>
                <c:ptCount val="10"/>
                <c:pt idx="0" formatCode="General">
                  <c:v>0.1197</c:v>
                </c:pt>
                <c:pt idx="1">
                  <c:v>0.123351903642704</c:v>
                </c:pt>
                <c:pt idx="2">
                  <c:v>0.12607136920481199</c:v>
                </c:pt>
                <c:pt idx="3">
                  <c:v>0.12825348835855099</c:v>
                </c:pt>
                <c:pt idx="4">
                  <c:v>0.13007879383739501</c:v>
                </c:pt>
                <c:pt idx="5">
                  <c:v>0.13164851076526801</c:v>
                </c:pt>
                <c:pt idx="6">
                  <c:v>0.13302552773623499</c:v>
                </c:pt>
                <c:pt idx="7">
                  <c:v>0.13425176896617799</c:v>
                </c:pt>
                <c:pt idx="8">
                  <c:v>0.135356665767947</c:v>
                </c:pt>
                <c:pt idx="9">
                  <c:v>0.136361714692047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0E0-4D8F-93EB-116493BAD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35735"/>
        <c:axId val="1997944663"/>
      </c:lineChart>
      <c:catAx>
        <c:axId val="19979357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Weight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7944663"/>
        <c:crosses val="autoZero"/>
        <c:auto val="1"/>
        <c:lblAlgn val="ctr"/>
        <c:lblOffset val="100"/>
        <c:noMultiLvlLbl val="0"/>
      </c:catAx>
      <c:valAx>
        <c:axId val="1997944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Ci+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7935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Env (A)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'VIKOR NH3'!$B$63</c:f>
              <c:strCache>
                <c:ptCount val="1"/>
                <c:pt idx="0">
                  <c:v>WGEA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'VIKOR NH3'!$C$62:$L$62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'VIKOR NH3'!$C$63:$L$63</c:f>
              <c:numCache>
                <c:formatCode>General</c:formatCode>
                <c:ptCount val="10"/>
                <c:pt idx="0">
                  <c:v>0.25675447661202494</c:v>
                </c:pt>
                <c:pt idx="1">
                  <c:v>0.2513797663393908</c:v>
                </c:pt>
                <c:pt idx="2">
                  <c:v>0.47804938197167202</c:v>
                </c:pt>
                <c:pt idx="3">
                  <c:v>0.59017372473619412</c:v>
                </c:pt>
                <c:pt idx="4">
                  <c:v>0.62267522355633897</c:v>
                </c:pt>
                <c:pt idx="5">
                  <c:v>0.638357118293301</c:v>
                </c:pt>
                <c:pt idx="6">
                  <c:v>0.64751462491396949</c:v>
                </c:pt>
                <c:pt idx="7">
                  <c:v>0.65347803726210418</c:v>
                </c:pt>
                <c:pt idx="8">
                  <c:v>0.65764703209867825</c:v>
                </c:pt>
                <c:pt idx="9">
                  <c:v>0.66071106044612238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8-4C99-8DBD-80A622753251}"/>
            </c:ext>
          </c:extLst>
        </c:ser>
        <c:ser>
          <c:idx val="1"/>
          <c:order val="1"/>
          <c:tx>
            <c:strRef>
              <c:f>'VIKOR NH3'!$B$64</c:f>
              <c:strCache>
                <c:ptCount val="1"/>
                <c:pt idx="0">
                  <c:v>PVEA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'VIKOR NH3'!$C$62:$L$62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'VIKOR NH3'!$C$64:$L$64</c:f>
              <c:numCache>
                <c:formatCode>General</c:formatCode>
                <c:ptCount val="10"/>
                <c:pt idx="0">
                  <c:v>0.96514363588414886</c:v>
                </c:pt>
                <c:pt idx="1">
                  <c:v>0.94777811953225521</c:v>
                </c:pt>
                <c:pt idx="2">
                  <c:v>0.98373839665815144</c:v>
                </c:pt>
                <c:pt idx="3">
                  <c:v>1.0001</c:v>
                </c:pt>
                <c:pt idx="4">
                  <c:v>1.0001</c:v>
                </c:pt>
                <c:pt idx="5">
                  <c:v>1.0001</c:v>
                </c:pt>
                <c:pt idx="6">
                  <c:v>1.0001</c:v>
                </c:pt>
                <c:pt idx="7">
                  <c:v>1.0001</c:v>
                </c:pt>
                <c:pt idx="8">
                  <c:v>1.0001</c:v>
                </c:pt>
                <c:pt idx="9">
                  <c:v>1.0001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E8-4C99-8DBD-80A622753251}"/>
            </c:ext>
          </c:extLst>
        </c:ser>
        <c:ser>
          <c:idx val="2"/>
          <c:order val="2"/>
          <c:tx>
            <c:strRef>
              <c:f>'VIKOR NH3'!$B$65</c:f>
              <c:strCache>
                <c:ptCount val="1"/>
                <c:pt idx="0">
                  <c:v>HPEA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'VIKOR NH3'!$C$62:$L$62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'VIKOR NH3'!$C$65:$L$65</c:f>
              <c:numCache>
                <c:formatCode>General</c:formatCode>
                <c:ptCount val="10"/>
                <c:pt idx="0">
                  <c:v>0.27867874219352018</c:v>
                </c:pt>
                <c:pt idx="1">
                  <c:v>0.16868176252046232</c:v>
                </c:pt>
                <c:pt idx="2">
                  <c:v>1E-4</c:v>
                </c:pt>
                <c:pt idx="3">
                  <c:v>1E-4</c:v>
                </c:pt>
                <c:pt idx="4">
                  <c:v>1E-4</c:v>
                </c:pt>
                <c:pt idx="5">
                  <c:v>1E-4</c:v>
                </c:pt>
                <c:pt idx="6">
                  <c:v>1E-4</c:v>
                </c:pt>
                <c:pt idx="7">
                  <c:v>1E-4</c:v>
                </c:pt>
                <c:pt idx="8">
                  <c:v>1E-4</c:v>
                </c:pt>
                <c:pt idx="9">
                  <c:v>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FE8-4C99-8DBD-80A622753251}"/>
            </c:ext>
          </c:extLst>
        </c:ser>
        <c:ser>
          <c:idx val="3"/>
          <c:order val="3"/>
          <c:tx>
            <c:strRef>
              <c:f>'VIKOR NH3'!$B$66</c:f>
              <c:strCache>
                <c:ptCount val="1"/>
                <c:pt idx="0">
                  <c:v>BGEA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'VIKOR NH3'!$C$62:$L$62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'VIKOR NH3'!$C$66:$L$66</c:f>
              <c:numCache>
                <c:formatCode>General</c:formatCode>
                <c:ptCount val="10"/>
                <c:pt idx="0">
                  <c:v>0.9837432766726355</c:v>
                </c:pt>
                <c:pt idx="1">
                  <c:v>0.94073643764897952</c:v>
                </c:pt>
                <c:pt idx="2">
                  <c:v>0.91390939580353447</c:v>
                </c:pt>
                <c:pt idx="3">
                  <c:v>0.80828046454280777</c:v>
                </c:pt>
                <c:pt idx="4">
                  <c:v>0.81252889698680208</c:v>
                </c:pt>
                <c:pt idx="5">
                  <c:v>0.81008901008560952</c:v>
                </c:pt>
                <c:pt idx="6">
                  <c:v>0.80588274467401133</c:v>
                </c:pt>
                <c:pt idx="7">
                  <c:v>0.80127005186879585</c:v>
                </c:pt>
                <c:pt idx="8">
                  <c:v>0.79670647532697658</c:v>
                </c:pt>
                <c:pt idx="9">
                  <c:v>0.79235256583304481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FE8-4C99-8DBD-80A622753251}"/>
            </c:ext>
          </c:extLst>
        </c:ser>
        <c:ser>
          <c:idx val="4"/>
          <c:order val="4"/>
          <c:tx>
            <c:strRef>
              <c:f>'VIKOR NH3'!$B$67</c:f>
              <c:strCache>
                <c:ptCount val="1"/>
                <c:pt idx="0">
                  <c:v>NTEA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'VIKOR NH3'!$C$62:$L$62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'VIKOR NH3'!$C$67:$L$67</c:f>
              <c:numCache>
                <c:formatCode>General</c:formatCode>
                <c:ptCount val="10"/>
                <c:pt idx="0">
                  <c:v>0.9837432766726355</c:v>
                </c:pt>
                <c:pt idx="1">
                  <c:v>0.94073643764897952</c:v>
                </c:pt>
                <c:pt idx="2">
                  <c:v>0.91390939580353447</c:v>
                </c:pt>
                <c:pt idx="3">
                  <c:v>0.80828046454280777</c:v>
                </c:pt>
                <c:pt idx="4">
                  <c:v>0.81252889698680208</c:v>
                </c:pt>
                <c:pt idx="5">
                  <c:v>0.81008901008560952</c:v>
                </c:pt>
                <c:pt idx="6">
                  <c:v>0.80588274467401133</c:v>
                </c:pt>
                <c:pt idx="7">
                  <c:v>0.80127005186879585</c:v>
                </c:pt>
                <c:pt idx="8">
                  <c:v>0.79670647532697658</c:v>
                </c:pt>
                <c:pt idx="9">
                  <c:v>0.79235256583304481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FE8-4C99-8DBD-80A622753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2883848"/>
        <c:axId val="1182885896"/>
      </c:lineChart>
      <c:catAx>
        <c:axId val="1182883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Weight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885896"/>
        <c:crosses val="autoZero"/>
        <c:auto val="1"/>
        <c:lblAlgn val="ctr"/>
        <c:lblOffset val="100"/>
        <c:noMultiLvlLbl val="0"/>
      </c:catAx>
      <c:valAx>
        <c:axId val="118288589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Qi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883848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Econ (B)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'VIKOR NH3'!$B$70</c:f>
              <c:strCache>
                <c:ptCount val="1"/>
                <c:pt idx="0">
                  <c:v>WGEA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'VIKOR NH3'!$C$69:$L$69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'VIKOR NH3'!$C$70:$L$70</c:f>
              <c:numCache>
                <c:formatCode>General</c:formatCode>
                <c:ptCount val="10"/>
                <c:pt idx="0">
                  <c:v>0.25675447661202494</c:v>
                </c:pt>
                <c:pt idx="1">
                  <c:v>0.25361152611747861</c:v>
                </c:pt>
                <c:pt idx="2">
                  <c:v>0.25079633814182328</c:v>
                </c:pt>
                <c:pt idx="3">
                  <c:v>0.24822949293779187</c:v>
                </c:pt>
                <c:pt idx="4">
                  <c:v>0.24585917999769263</c:v>
                </c:pt>
                <c:pt idx="5">
                  <c:v>0.24364938470885511</c:v>
                </c:pt>
                <c:pt idx="6">
                  <c:v>0.24157387348927831</c:v>
                </c:pt>
                <c:pt idx="7">
                  <c:v>0.23961283742785514</c:v>
                </c:pt>
                <c:pt idx="8">
                  <c:v>0.23775088554822249</c:v>
                </c:pt>
                <c:pt idx="9">
                  <c:v>0.23597577836375488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F0-4BFF-879B-3B143708B399}"/>
            </c:ext>
          </c:extLst>
        </c:ser>
        <c:ser>
          <c:idx val="1"/>
          <c:order val="1"/>
          <c:tx>
            <c:strRef>
              <c:f>'VIKOR NH3'!$B$71</c:f>
              <c:strCache>
                <c:ptCount val="1"/>
                <c:pt idx="0">
                  <c:v>PVEA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'VIKOR NH3'!$C$69:$L$69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'VIKOR NH3'!$C$71:$L$71</c:f>
              <c:numCache>
                <c:formatCode>General</c:formatCode>
                <c:ptCount val="10"/>
                <c:pt idx="0">
                  <c:v>0.96514363588414886</c:v>
                </c:pt>
                <c:pt idx="1">
                  <c:v>0.9685023058710267</c:v>
                </c:pt>
                <c:pt idx="2">
                  <c:v>0.96850230587102715</c:v>
                </c:pt>
                <c:pt idx="3">
                  <c:v>0.96850230587102704</c:v>
                </c:pt>
                <c:pt idx="4">
                  <c:v>0.96850230587102704</c:v>
                </c:pt>
                <c:pt idx="5">
                  <c:v>0.96850230587102681</c:v>
                </c:pt>
                <c:pt idx="6">
                  <c:v>0.96850230587102681</c:v>
                </c:pt>
                <c:pt idx="7">
                  <c:v>0.96850230587102704</c:v>
                </c:pt>
                <c:pt idx="8">
                  <c:v>0.96850230587102681</c:v>
                </c:pt>
                <c:pt idx="9">
                  <c:v>0.9685023058710267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F0-4BFF-879B-3B143708B399}"/>
            </c:ext>
          </c:extLst>
        </c:ser>
        <c:ser>
          <c:idx val="2"/>
          <c:order val="2"/>
          <c:tx>
            <c:strRef>
              <c:f>'VIKOR NH3'!$B$72</c:f>
              <c:strCache>
                <c:ptCount val="1"/>
                <c:pt idx="0">
                  <c:v>HPEA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'VIKOR NH3'!$C$69:$L$69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'VIKOR NH3'!$C$72:$L$72</c:f>
              <c:numCache>
                <c:formatCode>General</c:formatCode>
                <c:ptCount val="10"/>
                <c:pt idx="0">
                  <c:v>0.27867874219352018</c:v>
                </c:pt>
                <c:pt idx="1">
                  <c:v>0.29995329267556403</c:v>
                </c:pt>
                <c:pt idx="2">
                  <c:v>0.2999532926755642</c:v>
                </c:pt>
                <c:pt idx="3">
                  <c:v>0.2999532926755642</c:v>
                </c:pt>
                <c:pt idx="4">
                  <c:v>0.29995329267556442</c:v>
                </c:pt>
                <c:pt idx="5">
                  <c:v>0.29995329267556436</c:v>
                </c:pt>
                <c:pt idx="6">
                  <c:v>0.29995329267556414</c:v>
                </c:pt>
                <c:pt idx="7">
                  <c:v>0.29995329267556414</c:v>
                </c:pt>
                <c:pt idx="8">
                  <c:v>0.29995329267556409</c:v>
                </c:pt>
                <c:pt idx="9">
                  <c:v>0.29995329267556392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1F0-4BFF-879B-3B143708B399}"/>
            </c:ext>
          </c:extLst>
        </c:ser>
        <c:ser>
          <c:idx val="3"/>
          <c:order val="3"/>
          <c:tx>
            <c:strRef>
              <c:f>'VIKOR NH3'!$B$73</c:f>
              <c:strCache>
                <c:ptCount val="1"/>
                <c:pt idx="0">
                  <c:v>BGEA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'VIKOR NH3'!$C$69:$L$69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'VIKOR NH3'!$C$73:$L$73</c:f>
              <c:numCache>
                <c:formatCode>General</c:formatCode>
                <c:ptCount val="10"/>
                <c:pt idx="0">
                  <c:v>0.9837432766726355</c:v>
                </c:pt>
                <c:pt idx="1">
                  <c:v>0.9848129501040972</c:v>
                </c:pt>
                <c:pt idx="2">
                  <c:v>0.9857710726667509</c:v>
                </c:pt>
                <c:pt idx="3">
                  <c:v>0.98664467411933221</c:v>
                </c:pt>
                <c:pt idx="4">
                  <c:v>0.98745138767739582</c:v>
                </c:pt>
                <c:pt idx="5">
                  <c:v>0.98820347057324165</c:v>
                </c:pt>
                <c:pt idx="6">
                  <c:v>0.98890985115802477</c:v>
                </c:pt>
                <c:pt idx="7">
                  <c:v>0.98957727120701444</c:v>
                </c:pt>
                <c:pt idx="8">
                  <c:v>0.99021096889323612</c:v>
                </c:pt>
                <c:pt idx="9">
                  <c:v>0.99081510981003285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1F0-4BFF-879B-3B143708B399}"/>
            </c:ext>
          </c:extLst>
        </c:ser>
        <c:ser>
          <c:idx val="4"/>
          <c:order val="4"/>
          <c:tx>
            <c:strRef>
              <c:f>'VIKOR NH3'!$B$74</c:f>
              <c:strCache>
                <c:ptCount val="1"/>
                <c:pt idx="0">
                  <c:v>NTEA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'VIKOR NH3'!$C$69:$L$69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'VIKOR NH3'!$C$74:$L$74</c:f>
              <c:numCache>
                <c:formatCode>General</c:formatCode>
                <c:ptCount val="10"/>
                <c:pt idx="0">
                  <c:v>0.9837432766726355</c:v>
                </c:pt>
                <c:pt idx="1">
                  <c:v>0.9848129501040972</c:v>
                </c:pt>
                <c:pt idx="2">
                  <c:v>0.9857710726667509</c:v>
                </c:pt>
                <c:pt idx="3">
                  <c:v>0.98664467411933221</c:v>
                </c:pt>
                <c:pt idx="4">
                  <c:v>0.98745138767739582</c:v>
                </c:pt>
                <c:pt idx="5">
                  <c:v>0.98820347057324165</c:v>
                </c:pt>
                <c:pt idx="6">
                  <c:v>0.98890985115802477</c:v>
                </c:pt>
                <c:pt idx="7">
                  <c:v>0.98957727120701444</c:v>
                </c:pt>
                <c:pt idx="8">
                  <c:v>0.99021096889323612</c:v>
                </c:pt>
                <c:pt idx="9">
                  <c:v>0.99081510981003285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1F0-4BFF-879B-3B143708B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2784775"/>
        <c:axId val="1203925511"/>
      </c:lineChart>
      <c:catAx>
        <c:axId val="15227847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Weight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3925511"/>
        <c:crosses val="autoZero"/>
        <c:auto val="1"/>
        <c:lblAlgn val="ctr"/>
        <c:lblOffset val="100"/>
        <c:noMultiLvlLbl val="0"/>
      </c:catAx>
      <c:valAx>
        <c:axId val="120392551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Qi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2784775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Soc (C)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'VIKOR NH3'!$B$77</c:f>
              <c:strCache>
                <c:ptCount val="1"/>
                <c:pt idx="0">
                  <c:v>WGEA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'VIKOR NH3'!$C$76:$L$76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'VIKOR NH3'!$C$77:$L$77</c:f>
              <c:numCache>
                <c:formatCode>General</c:formatCode>
                <c:ptCount val="10"/>
                <c:pt idx="0">
                  <c:v>0.25675447661202494</c:v>
                </c:pt>
                <c:pt idx="1">
                  <c:v>0.25220419586355786</c:v>
                </c:pt>
                <c:pt idx="2">
                  <c:v>0.24174031288765557</c:v>
                </c:pt>
                <c:pt idx="3">
                  <c:v>0.23310038881892109</c:v>
                </c:pt>
                <c:pt idx="4">
                  <c:v>0.22575690546258778</c:v>
                </c:pt>
                <c:pt idx="5">
                  <c:v>0.2193832873050211</c:v>
                </c:pt>
                <c:pt idx="6">
                  <c:v>0.21376277483573078</c:v>
                </c:pt>
                <c:pt idx="7">
                  <c:v>0.20874392610338341</c:v>
                </c:pt>
                <c:pt idx="8">
                  <c:v>0.20421667527769158</c:v>
                </c:pt>
                <c:pt idx="9">
                  <c:v>0.20009847907433137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82-4F38-A2D6-2B9EC19D4D11}"/>
            </c:ext>
          </c:extLst>
        </c:ser>
        <c:ser>
          <c:idx val="1"/>
          <c:order val="1"/>
          <c:tx>
            <c:strRef>
              <c:f>'VIKOR NH3'!$B$78</c:f>
              <c:strCache>
                <c:ptCount val="1"/>
                <c:pt idx="0">
                  <c:v>PVEA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'VIKOR NH3'!$C$76:$L$76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'VIKOR NH3'!$C$78:$L$78</c:f>
              <c:numCache>
                <c:formatCode>General</c:formatCode>
                <c:ptCount val="10"/>
                <c:pt idx="0">
                  <c:v>0.96514363588414886</c:v>
                </c:pt>
                <c:pt idx="1">
                  <c:v>0.9580320914491296</c:v>
                </c:pt>
                <c:pt idx="2">
                  <c:v>0.93903343728336996</c:v>
                </c:pt>
                <c:pt idx="3">
                  <c:v>0.8360018699371905</c:v>
                </c:pt>
                <c:pt idx="4">
                  <c:v>0.76013990452600622</c:v>
                </c:pt>
                <c:pt idx="5">
                  <c:v>0.70652332563632692</c:v>
                </c:pt>
                <c:pt idx="6">
                  <c:v>0.6659283680312994</c:v>
                </c:pt>
                <c:pt idx="7">
                  <c:v>0.63371547161407138</c:v>
                </c:pt>
                <c:pt idx="8">
                  <c:v>0.60727330065281426</c:v>
                </c:pt>
                <c:pt idx="9">
                  <c:v>0.585007728773839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82-4F38-A2D6-2B9EC19D4D11}"/>
            </c:ext>
          </c:extLst>
        </c:ser>
        <c:ser>
          <c:idx val="2"/>
          <c:order val="2"/>
          <c:tx>
            <c:strRef>
              <c:f>'VIKOR NH3'!$B$79</c:f>
              <c:strCache>
                <c:ptCount val="1"/>
                <c:pt idx="0">
                  <c:v>HPEA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'VIKOR NH3'!$C$76:$L$76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'VIKOR NH3'!$C$79:$L$79</c:f>
              <c:numCache>
                <c:formatCode>General</c:formatCode>
                <c:ptCount val="10"/>
                <c:pt idx="0">
                  <c:v>0.27867874219352018</c:v>
                </c:pt>
                <c:pt idx="1">
                  <c:v>0.27867874219352023</c:v>
                </c:pt>
                <c:pt idx="2">
                  <c:v>0.27867874219352035</c:v>
                </c:pt>
                <c:pt idx="3">
                  <c:v>0.2263560397482863</c:v>
                </c:pt>
                <c:pt idx="4">
                  <c:v>0.18889889964769133</c:v>
                </c:pt>
                <c:pt idx="5">
                  <c:v>0.16371272627483174</c:v>
                </c:pt>
                <c:pt idx="6">
                  <c:v>0.14550789088939034</c:v>
                </c:pt>
                <c:pt idx="7">
                  <c:v>0.13166983532945845</c:v>
                </c:pt>
                <c:pt idx="8">
                  <c:v>0.12075398237965153</c:v>
                </c:pt>
                <c:pt idx="9">
                  <c:v>0.1118951671796392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82-4F38-A2D6-2B9EC19D4D11}"/>
            </c:ext>
          </c:extLst>
        </c:ser>
        <c:ser>
          <c:idx val="3"/>
          <c:order val="3"/>
          <c:tx>
            <c:strRef>
              <c:f>'VIKOR NH3'!$B$80</c:f>
              <c:strCache>
                <c:ptCount val="1"/>
                <c:pt idx="0">
                  <c:v>BGEA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'VIKOR NH3'!$C$76:$L$76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'VIKOR NH3'!$C$80:$L$80</c:f>
              <c:numCache>
                <c:formatCode>General</c:formatCode>
                <c:ptCount val="10"/>
                <c:pt idx="0">
                  <c:v>0.9837432766726355</c:v>
                </c:pt>
                <c:pt idx="1">
                  <c:v>1.0001</c:v>
                </c:pt>
                <c:pt idx="2">
                  <c:v>1.0001</c:v>
                </c:pt>
                <c:pt idx="3">
                  <c:v>1.0001</c:v>
                </c:pt>
                <c:pt idx="4">
                  <c:v>1.0001</c:v>
                </c:pt>
                <c:pt idx="5">
                  <c:v>1.0001</c:v>
                </c:pt>
                <c:pt idx="6">
                  <c:v>1.0001</c:v>
                </c:pt>
                <c:pt idx="7">
                  <c:v>1.0001</c:v>
                </c:pt>
                <c:pt idx="8">
                  <c:v>1.0001</c:v>
                </c:pt>
                <c:pt idx="9">
                  <c:v>1.0001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82-4F38-A2D6-2B9EC19D4D11}"/>
            </c:ext>
          </c:extLst>
        </c:ser>
        <c:ser>
          <c:idx val="4"/>
          <c:order val="4"/>
          <c:tx>
            <c:strRef>
              <c:f>'VIKOR NH3'!$B$81</c:f>
              <c:strCache>
                <c:ptCount val="1"/>
                <c:pt idx="0">
                  <c:v>NTEA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'VIKOR NH3'!$C$76:$L$76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'VIKOR NH3'!$C$81:$L$81</c:f>
              <c:numCache>
                <c:formatCode>General</c:formatCode>
                <c:ptCount val="10"/>
                <c:pt idx="0">
                  <c:v>0.9837432766726355</c:v>
                </c:pt>
                <c:pt idx="1">
                  <c:v>1.0001</c:v>
                </c:pt>
                <c:pt idx="2">
                  <c:v>1.0001</c:v>
                </c:pt>
                <c:pt idx="3">
                  <c:v>1.0001</c:v>
                </c:pt>
                <c:pt idx="4">
                  <c:v>1.0001</c:v>
                </c:pt>
                <c:pt idx="5">
                  <c:v>1.0001</c:v>
                </c:pt>
                <c:pt idx="6">
                  <c:v>1.0001</c:v>
                </c:pt>
                <c:pt idx="7">
                  <c:v>1.0001</c:v>
                </c:pt>
                <c:pt idx="8">
                  <c:v>1.0001</c:v>
                </c:pt>
                <c:pt idx="9">
                  <c:v>1.0001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82-4F38-A2D6-2B9EC19D4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60968"/>
        <c:axId val="30763016"/>
      </c:lineChart>
      <c:catAx>
        <c:axId val="30760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Weight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763016"/>
        <c:crosses val="autoZero"/>
        <c:auto val="1"/>
        <c:lblAlgn val="ctr"/>
        <c:lblOffset val="100"/>
        <c:noMultiLvlLbl val="0"/>
      </c:catAx>
      <c:valAx>
        <c:axId val="3076301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Qi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760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Tech (D)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'VIKOR NH3'!$B$84</c:f>
              <c:strCache>
                <c:ptCount val="1"/>
                <c:pt idx="0">
                  <c:v>WGEA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'VIKOR NH3'!$C$83:$L$83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'VIKOR NH3'!$C$84:$L$84</c:f>
              <c:numCache>
                <c:formatCode>General</c:formatCode>
                <c:ptCount val="10"/>
                <c:pt idx="0">
                  <c:v>0.25675447661202494</c:v>
                </c:pt>
                <c:pt idx="1">
                  <c:v>0.26769490643039268</c:v>
                </c:pt>
                <c:pt idx="2">
                  <c:v>0.40045766675937466</c:v>
                </c:pt>
                <c:pt idx="3">
                  <c:v>0.48814491362183143</c:v>
                </c:pt>
                <c:pt idx="4">
                  <c:v>0.53307071479040469</c:v>
                </c:pt>
                <c:pt idx="5">
                  <c:v>0.56112368679380065</c:v>
                </c:pt>
                <c:pt idx="6">
                  <c:v>0.58066359781527799</c:v>
                </c:pt>
                <c:pt idx="7">
                  <c:v>0.59524771989058189</c:v>
                </c:pt>
                <c:pt idx="8">
                  <c:v>0.60666223998678115</c:v>
                </c:pt>
                <c:pt idx="9">
                  <c:v>0.61590984600223109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72-44E1-B4C1-CE6529B2F0F4}"/>
            </c:ext>
          </c:extLst>
        </c:ser>
        <c:ser>
          <c:idx val="1"/>
          <c:order val="1"/>
          <c:tx>
            <c:strRef>
              <c:f>'VIKOR NH3'!$B$85</c:f>
              <c:strCache>
                <c:ptCount val="1"/>
                <c:pt idx="0">
                  <c:v>PVEA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'VIKOR NH3'!$C$83:$L$83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'VIKOR NH3'!$C$85:$L$85</c:f>
              <c:numCache>
                <c:formatCode>General</c:formatCode>
                <c:ptCount val="10"/>
                <c:pt idx="0">
                  <c:v>0.96514363588414886</c:v>
                </c:pt>
                <c:pt idx="1">
                  <c:v>1.0001</c:v>
                </c:pt>
                <c:pt idx="2">
                  <c:v>1.0001</c:v>
                </c:pt>
                <c:pt idx="3">
                  <c:v>1.0001</c:v>
                </c:pt>
                <c:pt idx="4">
                  <c:v>1.0001</c:v>
                </c:pt>
                <c:pt idx="5">
                  <c:v>1.0001</c:v>
                </c:pt>
                <c:pt idx="6">
                  <c:v>1.0001</c:v>
                </c:pt>
                <c:pt idx="7">
                  <c:v>1.0001</c:v>
                </c:pt>
                <c:pt idx="8">
                  <c:v>1.0001</c:v>
                </c:pt>
                <c:pt idx="9">
                  <c:v>1.0001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72-44E1-B4C1-CE6529B2F0F4}"/>
            </c:ext>
          </c:extLst>
        </c:ser>
        <c:ser>
          <c:idx val="2"/>
          <c:order val="2"/>
          <c:tx>
            <c:strRef>
              <c:f>'VIKOR NH3'!$B$86</c:f>
              <c:strCache>
                <c:ptCount val="1"/>
                <c:pt idx="0">
                  <c:v>HPEA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'VIKOR NH3'!$C$83:$L$83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'VIKOR NH3'!$C$86:$L$86</c:f>
              <c:numCache>
                <c:formatCode>General</c:formatCode>
                <c:ptCount val="10"/>
                <c:pt idx="0">
                  <c:v>0.27867874219352018</c:v>
                </c:pt>
                <c:pt idx="1">
                  <c:v>0.11097505304833355</c:v>
                </c:pt>
                <c:pt idx="2">
                  <c:v>1E-4</c:v>
                </c:pt>
                <c:pt idx="3">
                  <c:v>1E-4</c:v>
                </c:pt>
                <c:pt idx="4">
                  <c:v>1E-4</c:v>
                </c:pt>
                <c:pt idx="5">
                  <c:v>1E-4</c:v>
                </c:pt>
                <c:pt idx="6">
                  <c:v>1E-4</c:v>
                </c:pt>
                <c:pt idx="7">
                  <c:v>1E-4</c:v>
                </c:pt>
                <c:pt idx="8">
                  <c:v>1E-4</c:v>
                </c:pt>
                <c:pt idx="9">
                  <c:v>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E72-44E1-B4C1-CE6529B2F0F4}"/>
            </c:ext>
          </c:extLst>
        </c:ser>
        <c:ser>
          <c:idx val="3"/>
          <c:order val="3"/>
          <c:tx>
            <c:strRef>
              <c:f>'VIKOR NH3'!$B$87</c:f>
              <c:strCache>
                <c:ptCount val="1"/>
                <c:pt idx="0">
                  <c:v>BGEA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'VIKOR NH3'!$C$83:$L$83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'VIKOR NH3'!$C$87:$L$87</c:f>
              <c:numCache>
                <c:formatCode>General</c:formatCode>
                <c:ptCount val="10"/>
                <c:pt idx="0">
                  <c:v>0.9837432766726355</c:v>
                </c:pt>
                <c:pt idx="1">
                  <c:v>0.96952010134544186</c:v>
                </c:pt>
                <c:pt idx="2">
                  <c:v>0.89812513919313308</c:v>
                </c:pt>
                <c:pt idx="3">
                  <c:v>0.9136717555293794</c:v>
                </c:pt>
                <c:pt idx="4">
                  <c:v>0.92075992634911485</c:v>
                </c:pt>
                <c:pt idx="5">
                  <c:v>0.92469117742504681</c:v>
                </c:pt>
                <c:pt idx="6">
                  <c:v>0.92712365097739136</c:v>
                </c:pt>
                <c:pt idx="7">
                  <c:v>0.92873738601691458</c:v>
                </c:pt>
                <c:pt idx="8">
                  <c:v>0.92986042248084688</c:v>
                </c:pt>
                <c:pt idx="9">
                  <c:v>0.93066929489651384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E72-44E1-B4C1-CE6529B2F0F4}"/>
            </c:ext>
          </c:extLst>
        </c:ser>
        <c:ser>
          <c:idx val="4"/>
          <c:order val="4"/>
          <c:tx>
            <c:strRef>
              <c:f>'VIKOR NH3'!$B$88</c:f>
              <c:strCache>
                <c:ptCount val="1"/>
                <c:pt idx="0">
                  <c:v>NTEA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'VIKOR NH3'!$C$83:$L$83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'VIKOR NH3'!$C$88:$L$88</c:f>
              <c:numCache>
                <c:formatCode>General</c:formatCode>
                <c:ptCount val="10"/>
                <c:pt idx="0">
                  <c:v>0.9837432766726355</c:v>
                </c:pt>
                <c:pt idx="1">
                  <c:v>0.96952010134544186</c:v>
                </c:pt>
                <c:pt idx="2">
                  <c:v>0.89812513919313308</c:v>
                </c:pt>
                <c:pt idx="3">
                  <c:v>0.9136717555293794</c:v>
                </c:pt>
                <c:pt idx="4">
                  <c:v>0.92075992634911485</c:v>
                </c:pt>
                <c:pt idx="5">
                  <c:v>0.92469117742504681</c:v>
                </c:pt>
                <c:pt idx="6">
                  <c:v>0.92712365097739136</c:v>
                </c:pt>
                <c:pt idx="7">
                  <c:v>0.92873738601691458</c:v>
                </c:pt>
                <c:pt idx="8">
                  <c:v>0.92986042248084688</c:v>
                </c:pt>
                <c:pt idx="9">
                  <c:v>0.93066929489651384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E72-44E1-B4C1-CE6529B2F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9820168"/>
        <c:axId val="404951559"/>
      </c:lineChart>
      <c:catAx>
        <c:axId val="1609820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Weight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951559"/>
        <c:crosses val="autoZero"/>
        <c:auto val="1"/>
        <c:lblAlgn val="ctr"/>
        <c:lblOffset val="100"/>
        <c:noMultiLvlLbl val="0"/>
      </c:catAx>
      <c:valAx>
        <c:axId val="40495155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Qi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9820168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Env (A)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PII!$X$2</c:f>
              <c:strCache>
                <c:ptCount val="1"/>
                <c:pt idx="0">
                  <c:v>WGEA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PII!$Y$1:$AH$1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PII!$Y$2:$AH$2</c:f>
              <c:numCache>
                <c:formatCode>General</c:formatCode>
                <c:ptCount val="10"/>
                <c:pt idx="0">
                  <c:v>0.15178972673126775</c:v>
                </c:pt>
                <c:pt idx="1">
                  <c:v>0.15178972673126775</c:v>
                </c:pt>
                <c:pt idx="2">
                  <c:v>0.15178972673126775</c:v>
                </c:pt>
                <c:pt idx="3">
                  <c:v>0.15178972673126775</c:v>
                </c:pt>
                <c:pt idx="4">
                  <c:v>0.15178972673126775</c:v>
                </c:pt>
                <c:pt idx="5">
                  <c:v>0.15178972673126775</c:v>
                </c:pt>
                <c:pt idx="6">
                  <c:v>0.15178972673126775</c:v>
                </c:pt>
                <c:pt idx="7">
                  <c:v>0.15178972673126775</c:v>
                </c:pt>
                <c:pt idx="8">
                  <c:v>0.15178972673126775</c:v>
                </c:pt>
                <c:pt idx="9">
                  <c:v>0.15178972673126775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1-424C-87B0-EDA0944BE066}"/>
            </c:ext>
          </c:extLst>
        </c:ser>
        <c:ser>
          <c:idx val="1"/>
          <c:order val="1"/>
          <c:tx>
            <c:strRef>
              <c:f>PII!$X$3</c:f>
              <c:strCache>
                <c:ptCount val="1"/>
                <c:pt idx="0">
                  <c:v>PVEA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PII!$Y$1:$AH$1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PII!$Y$3:$AH$3</c:f>
              <c:numCache>
                <c:formatCode>General</c:formatCode>
                <c:ptCount val="10"/>
                <c:pt idx="0">
                  <c:v>-0.13263268788095212</c:v>
                </c:pt>
                <c:pt idx="1">
                  <c:v>-0.13263268788095212</c:v>
                </c:pt>
                <c:pt idx="2">
                  <c:v>-0.13263268788095212</c:v>
                </c:pt>
                <c:pt idx="3">
                  <c:v>-0.13263268788095212</c:v>
                </c:pt>
                <c:pt idx="4">
                  <c:v>-0.13263268788095212</c:v>
                </c:pt>
                <c:pt idx="5">
                  <c:v>-0.13263268788095212</c:v>
                </c:pt>
                <c:pt idx="6">
                  <c:v>-0.13263268788095212</c:v>
                </c:pt>
                <c:pt idx="7">
                  <c:v>-0.13263268788095212</c:v>
                </c:pt>
                <c:pt idx="8">
                  <c:v>-0.13263268788095212</c:v>
                </c:pt>
                <c:pt idx="9">
                  <c:v>-0.13263268788095212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1-424C-87B0-EDA0944BE066}"/>
            </c:ext>
          </c:extLst>
        </c:ser>
        <c:ser>
          <c:idx val="2"/>
          <c:order val="2"/>
          <c:tx>
            <c:strRef>
              <c:f>PII!$X$4</c:f>
              <c:strCache>
                <c:ptCount val="1"/>
                <c:pt idx="0">
                  <c:v>HPEA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PII!$Y$1:$AH$1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PII!$Y$4:$AH$4</c:f>
              <c:numCache>
                <c:formatCode>General</c:formatCode>
                <c:ptCount val="10"/>
                <c:pt idx="0">
                  <c:v>0.44239179470583806</c:v>
                </c:pt>
                <c:pt idx="1">
                  <c:v>0.44239179470583806</c:v>
                </c:pt>
                <c:pt idx="2">
                  <c:v>0.44239179470583806</c:v>
                </c:pt>
                <c:pt idx="3">
                  <c:v>0.44239179470583806</c:v>
                </c:pt>
                <c:pt idx="4">
                  <c:v>0.44239179470583806</c:v>
                </c:pt>
                <c:pt idx="5">
                  <c:v>0.44239179470583806</c:v>
                </c:pt>
                <c:pt idx="6">
                  <c:v>0.44239179470583806</c:v>
                </c:pt>
                <c:pt idx="7">
                  <c:v>0.44239179470583806</c:v>
                </c:pt>
                <c:pt idx="8">
                  <c:v>0.44239179470583806</c:v>
                </c:pt>
                <c:pt idx="9">
                  <c:v>0.44239179470583806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61-424C-87B0-EDA0944BE066}"/>
            </c:ext>
          </c:extLst>
        </c:ser>
        <c:ser>
          <c:idx val="3"/>
          <c:order val="3"/>
          <c:tx>
            <c:strRef>
              <c:f>PII!$X$5</c:f>
              <c:strCache>
                <c:ptCount val="1"/>
                <c:pt idx="0">
                  <c:v>BGEA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PII!$Y$1:$AH$1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PII!$Y$5:$AH$5</c:f>
              <c:numCache>
                <c:formatCode>General</c:formatCode>
                <c:ptCount val="10"/>
                <c:pt idx="0">
                  <c:v>-0.10522279678062191</c:v>
                </c:pt>
                <c:pt idx="1">
                  <c:v>-0.10522279678062191</c:v>
                </c:pt>
                <c:pt idx="2">
                  <c:v>-0.10522279678062191</c:v>
                </c:pt>
                <c:pt idx="3">
                  <c:v>-0.10522279678062191</c:v>
                </c:pt>
                <c:pt idx="4">
                  <c:v>-0.10522279678062191</c:v>
                </c:pt>
                <c:pt idx="5">
                  <c:v>-0.10522279678062191</c:v>
                </c:pt>
                <c:pt idx="6">
                  <c:v>-0.10522279678062191</c:v>
                </c:pt>
                <c:pt idx="7">
                  <c:v>-0.10522279678062191</c:v>
                </c:pt>
                <c:pt idx="8">
                  <c:v>-0.10522279678062191</c:v>
                </c:pt>
                <c:pt idx="9">
                  <c:v>-0.10522279678062191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61-424C-87B0-EDA0944BE066}"/>
            </c:ext>
          </c:extLst>
        </c:ser>
        <c:ser>
          <c:idx val="4"/>
          <c:order val="4"/>
          <c:tx>
            <c:strRef>
              <c:f>PII!$X$6</c:f>
              <c:strCache>
                <c:ptCount val="1"/>
                <c:pt idx="0">
                  <c:v>NTEA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PII!$Y$1:$AH$1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PII!$Y$6:$AH$6</c:f>
              <c:numCache>
                <c:formatCode>General</c:formatCode>
                <c:ptCount val="10"/>
                <c:pt idx="0">
                  <c:v>-0.35632603677553176</c:v>
                </c:pt>
                <c:pt idx="1">
                  <c:v>-0.35632603677553176</c:v>
                </c:pt>
                <c:pt idx="2">
                  <c:v>-0.35632603677553176</c:v>
                </c:pt>
                <c:pt idx="3">
                  <c:v>-0.35632603677553176</c:v>
                </c:pt>
                <c:pt idx="4">
                  <c:v>-0.35632603677553176</c:v>
                </c:pt>
                <c:pt idx="5">
                  <c:v>-0.35632603677553176</c:v>
                </c:pt>
                <c:pt idx="6">
                  <c:v>-0.35632603677553176</c:v>
                </c:pt>
                <c:pt idx="7">
                  <c:v>-0.35632603677553176</c:v>
                </c:pt>
                <c:pt idx="8">
                  <c:v>-0.35632603677553176</c:v>
                </c:pt>
                <c:pt idx="9">
                  <c:v>-0.35632603677553176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61-424C-87B0-EDA0944BE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0196208"/>
        <c:axId val="810970672"/>
      </c:lineChart>
      <c:catAx>
        <c:axId val="1430196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Weight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970672"/>
        <c:crosses val="autoZero"/>
        <c:auto val="1"/>
        <c:lblAlgn val="ctr"/>
        <c:lblOffset val="100"/>
        <c:noMultiLvlLbl val="0"/>
      </c:catAx>
      <c:valAx>
        <c:axId val="81097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t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Net</a:t>
                </a:r>
                <a:r>
                  <a:rPr lang="en-GB" baseline="0"/>
                  <a:t> outranking flow, </a:t>
                </a:r>
                <a:r>
                  <a:rPr lang="en-GB" sz="1000" b="0" i="0" u="none" strike="noStrike" baseline="0">
                    <a:effectLst/>
                  </a:rPr>
                  <a:t>𝜑(𝑎)</a:t>
                </a:r>
                <a:r>
                  <a:rPr lang="en-GB" baseline="0"/>
                  <a:t> 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t" anchorCtr="0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0196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Econ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(B)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PII!$X$2</c:f>
              <c:strCache>
                <c:ptCount val="1"/>
                <c:pt idx="0">
                  <c:v>WGEA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PII!$Y$1:$AH$1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PII!$Y$2:$AH$2</c:f>
              <c:numCache>
                <c:formatCode>General</c:formatCode>
                <c:ptCount val="10"/>
                <c:pt idx="0">
                  <c:v>0.15178972673126775</c:v>
                </c:pt>
                <c:pt idx="1">
                  <c:v>0.15178972673126775</c:v>
                </c:pt>
                <c:pt idx="2">
                  <c:v>0.15178972673126775</c:v>
                </c:pt>
                <c:pt idx="3">
                  <c:v>0.15178972673126775</c:v>
                </c:pt>
                <c:pt idx="4">
                  <c:v>0.15178972673126775</c:v>
                </c:pt>
                <c:pt idx="5">
                  <c:v>0.15178972673126775</c:v>
                </c:pt>
                <c:pt idx="6">
                  <c:v>0.15178972673126775</c:v>
                </c:pt>
                <c:pt idx="7">
                  <c:v>0.15178972673126775</c:v>
                </c:pt>
                <c:pt idx="8">
                  <c:v>0.15178972673126775</c:v>
                </c:pt>
                <c:pt idx="9">
                  <c:v>0.15178972673126775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96-4D95-BF89-D95411B5123A}"/>
            </c:ext>
          </c:extLst>
        </c:ser>
        <c:ser>
          <c:idx val="1"/>
          <c:order val="1"/>
          <c:tx>
            <c:strRef>
              <c:f>PII!$X$3</c:f>
              <c:strCache>
                <c:ptCount val="1"/>
                <c:pt idx="0">
                  <c:v>PVEA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PII!$Y$1:$AH$1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PII!$Y$3:$AH$3</c:f>
              <c:numCache>
                <c:formatCode>General</c:formatCode>
                <c:ptCount val="10"/>
                <c:pt idx="0">
                  <c:v>-0.13263268788095212</c:v>
                </c:pt>
                <c:pt idx="1">
                  <c:v>-0.13263268788095212</c:v>
                </c:pt>
                <c:pt idx="2">
                  <c:v>-0.13263268788095212</c:v>
                </c:pt>
                <c:pt idx="3">
                  <c:v>-0.13263268788095212</c:v>
                </c:pt>
                <c:pt idx="4">
                  <c:v>-0.13263268788095212</c:v>
                </c:pt>
                <c:pt idx="5">
                  <c:v>-0.13263268788095212</c:v>
                </c:pt>
                <c:pt idx="6">
                  <c:v>-0.13263268788095212</c:v>
                </c:pt>
                <c:pt idx="7">
                  <c:v>-0.13263268788095212</c:v>
                </c:pt>
                <c:pt idx="8">
                  <c:v>-0.13263268788095212</c:v>
                </c:pt>
                <c:pt idx="9">
                  <c:v>-0.13263268788095212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6-4D95-BF89-D95411B5123A}"/>
            </c:ext>
          </c:extLst>
        </c:ser>
        <c:ser>
          <c:idx val="2"/>
          <c:order val="2"/>
          <c:tx>
            <c:strRef>
              <c:f>PII!$X$4</c:f>
              <c:strCache>
                <c:ptCount val="1"/>
                <c:pt idx="0">
                  <c:v>HPEA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PII!$Y$1:$AH$1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PII!$Y$4:$AH$4</c:f>
              <c:numCache>
                <c:formatCode>General</c:formatCode>
                <c:ptCount val="10"/>
                <c:pt idx="0">
                  <c:v>0.44239179470583806</c:v>
                </c:pt>
                <c:pt idx="1">
                  <c:v>0.44239179470583806</c:v>
                </c:pt>
                <c:pt idx="2">
                  <c:v>0.44239179470583806</c:v>
                </c:pt>
                <c:pt idx="3">
                  <c:v>0.44239179470583806</c:v>
                </c:pt>
                <c:pt idx="4">
                  <c:v>0.44239179470583806</c:v>
                </c:pt>
                <c:pt idx="5">
                  <c:v>0.44239179470583806</c:v>
                </c:pt>
                <c:pt idx="6">
                  <c:v>0.44239179470583806</c:v>
                </c:pt>
                <c:pt idx="7">
                  <c:v>0.44239179470583806</c:v>
                </c:pt>
                <c:pt idx="8">
                  <c:v>0.44239179470583806</c:v>
                </c:pt>
                <c:pt idx="9">
                  <c:v>0.44239179470583806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96-4D95-BF89-D95411B5123A}"/>
            </c:ext>
          </c:extLst>
        </c:ser>
        <c:ser>
          <c:idx val="3"/>
          <c:order val="3"/>
          <c:tx>
            <c:strRef>
              <c:f>PII!$X$5</c:f>
              <c:strCache>
                <c:ptCount val="1"/>
                <c:pt idx="0">
                  <c:v>BGEA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PII!$Y$1:$AH$1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PII!$Y$5:$AH$5</c:f>
              <c:numCache>
                <c:formatCode>General</c:formatCode>
                <c:ptCount val="10"/>
                <c:pt idx="0">
                  <c:v>-0.10522279678062191</c:v>
                </c:pt>
                <c:pt idx="1">
                  <c:v>-0.10522279678062191</c:v>
                </c:pt>
                <c:pt idx="2">
                  <c:v>-0.10522279678062191</c:v>
                </c:pt>
                <c:pt idx="3">
                  <c:v>-0.10522279678062191</c:v>
                </c:pt>
                <c:pt idx="4">
                  <c:v>-0.10522279678062191</c:v>
                </c:pt>
                <c:pt idx="5">
                  <c:v>-0.10522279678062191</c:v>
                </c:pt>
                <c:pt idx="6">
                  <c:v>-0.10522279678062191</c:v>
                </c:pt>
                <c:pt idx="7">
                  <c:v>-0.10522279678062191</c:v>
                </c:pt>
                <c:pt idx="8">
                  <c:v>-0.10522279678062191</c:v>
                </c:pt>
                <c:pt idx="9">
                  <c:v>-0.10522279678062191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96-4D95-BF89-D95411B5123A}"/>
            </c:ext>
          </c:extLst>
        </c:ser>
        <c:ser>
          <c:idx val="4"/>
          <c:order val="4"/>
          <c:tx>
            <c:strRef>
              <c:f>PII!$X$6</c:f>
              <c:strCache>
                <c:ptCount val="1"/>
                <c:pt idx="0">
                  <c:v>NTEA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PII!$Y$1:$AH$1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PII!$Y$6:$AH$6</c:f>
              <c:numCache>
                <c:formatCode>General</c:formatCode>
                <c:ptCount val="10"/>
                <c:pt idx="0">
                  <c:v>-0.35632603677553176</c:v>
                </c:pt>
                <c:pt idx="1">
                  <c:v>-0.35632603677553176</c:v>
                </c:pt>
                <c:pt idx="2">
                  <c:v>-0.35632603677553176</c:v>
                </c:pt>
                <c:pt idx="3">
                  <c:v>-0.35632603677553176</c:v>
                </c:pt>
                <c:pt idx="4">
                  <c:v>-0.35632603677553176</c:v>
                </c:pt>
                <c:pt idx="5">
                  <c:v>-0.35632603677553176</c:v>
                </c:pt>
                <c:pt idx="6">
                  <c:v>-0.35632603677553176</c:v>
                </c:pt>
                <c:pt idx="7">
                  <c:v>-0.35632603677553176</c:v>
                </c:pt>
                <c:pt idx="8">
                  <c:v>-0.35632603677553176</c:v>
                </c:pt>
                <c:pt idx="9">
                  <c:v>-0.35632603677553176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496-4D95-BF89-D95411B51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0196208"/>
        <c:axId val="810970672"/>
      </c:lineChart>
      <c:catAx>
        <c:axId val="1430196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Weight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970672"/>
        <c:crosses val="autoZero"/>
        <c:auto val="1"/>
        <c:lblAlgn val="ctr"/>
        <c:lblOffset val="100"/>
        <c:noMultiLvlLbl val="0"/>
      </c:catAx>
      <c:valAx>
        <c:axId val="81097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t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Net</a:t>
                </a:r>
                <a:r>
                  <a:rPr lang="en-GB" baseline="0"/>
                  <a:t> outranking flow, </a:t>
                </a:r>
                <a:r>
                  <a:rPr lang="en-GB" sz="1000" b="0" i="0" u="none" strike="noStrike" baseline="0">
                    <a:effectLst/>
                  </a:rPr>
                  <a:t>𝜑(𝑎)</a:t>
                </a:r>
                <a:r>
                  <a:rPr lang="en-GB" baseline="0"/>
                  <a:t> 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t" anchorCtr="0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0196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 baseline="0">
                <a:solidFill>
                  <a:sysClr val="windowText" lastClr="000000"/>
                </a:solidFill>
              </a:rPr>
              <a:t>Soc </a:t>
            </a:r>
            <a:r>
              <a:rPr lang="en-GB" b="1">
                <a:solidFill>
                  <a:sysClr val="windowText" lastClr="000000"/>
                </a:solidFill>
              </a:rPr>
              <a:t>(C)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PII!$X$2</c:f>
              <c:strCache>
                <c:ptCount val="1"/>
                <c:pt idx="0">
                  <c:v>WGEA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PII!$Y$1:$AH$1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PII!$Y$2:$AH$2</c:f>
              <c:numCache>
                <c:formatCode>General</c:formatCode>
                <c:ptCount val="10"/>
                <c:pt idx="0">
                  <c:v>0.15178972673126775</c:v>
                </c:pt>
                <c:pt idx="1">
                  <c:v>0.15178972673126775</c:v>
                </c:pt>
                <c:pt idx="2">
                  <c:v>0.15178972673126775</c:v>
                </c:pt>
                <c:pt idx="3">
                  <c:v>0.15178972673126775</c:v>
                </c:pt>
                <c:pt idx="4">
                  <c:v>0.15178972673126775</c:v>
                </c:pt>
                <c:pt idx="5">
                  <c:v>0.15178972673126775</c:v>
                </c:pt>
                <c:pt idx="6">
                  <c:v>0.15178972673126775</c:v>
                </c:pt>
                <c:pt idx="7">
                  <c:v>0.15178972673126775</c:v>
                </c:pt>
                <c:pt idx="8">
                  <c:v>0.15178972673126775</c:v>
                </c:pt>
                <c:pt idx="9">
                  <c:v>0.15178972673126775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92-45C0-86A7-44E042023DC1}"/>
            </c:ext>
          </c:extLst>
        </c:ser>
        <c:ser>
          <c:idx val="1"/>
          <c:order val="1"/>
          <c:tx>
            <c:strRef>
              <c:f>PII!$X$3</c:f>
              <c:strCache>
                <c:ptCount val="1"/>
                <c:pt idx="0">
                  <c:v>PVEA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PII!$Y$1:$AH$1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PII!$Y$3:$AH$3</c:f>
              <c:numCache>
                <c:formatCode>General</c:formatCode>
                <c:ptCount val="10"/>
                <c:pt idx="0">
                  <c:v>-0.13263268788095212</c:v>
                </c:pt>
                <c:pt idx="1">
                  <c:v>-0.13263268788095212</c:v>
                </c:pt>
                <c:pt idx="2">
                  <c:v>-0.13263268788095212</c:v>
                </c:pt>
                <c:pt idx="3">
                  <c:v>-0.13263268788095212</c:v>
                </c:pt>
                <c:pt idx="4">
                  <c:v>-0.13263268788095212</c:v>
                </c:pt>
                <c:pt idx="5">
                  <c:v>-0.13263268788095212</c:v>
                </c:pt>
                <c:pt idx="6">
                  <c:v>-0.13263268788095212</c:v>
                </c:pt>
                <c:pt idx="7">
                  <c:v>-0.13263268788095212</c:v>
                </c:pt>
                <c:pt idx="8">
                  <c:v>-0.13263268788095212</c:v>
                </c:pt>
                <c:pt idx="9">
                  <c:v>-0.13263268788095212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92-45C0-86A7-44E042023DC1}"/>
            </c:ext>
          </c:extLst>
        </c:ser>
        <c:ser>
          <c:idx val="2"/>
          <c:order val="2"/>
          <c:tx>
            <c:strRef>
              <c:f>PII!$X$4</c:f>
              <c:strCache>
                <c:ptCount val="1"/>
                <c:pt idx="0">
                  <c:v>HPEA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PII!$Y$1:$AH$1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PII!$Y$4:$AH$4</c:f>
              <c:numCache>
                <c:formatCode>General</c:formatCode>
                <c:ptCount val="10"/>
                <c:pt idx="0">
                  <c:v>0.44239179470583806</c:v>
                </c:pt>
                <c:pt idx="1">
                  <c:v>0.44239179470583806</c:v>
                </c:pt>
                <c:pt idx="2">
                  <c:v>0.44239179470583806</c:v>
                </c:pt>
                <c:pt idx="3">
                  <c:v>0.44239179470583806</c:v>
                </c:pt>
                <c:pt idx="4">
                  <c:v>0.44239179470583806</c:v>
                </c:pt>
                <c:pt idx="5">
                  <c:v>0.44239179470583806</c:v>
                </c:pt>
                <c:pt idx="6">
                  <c:v>0.44239179470583806</c:v>
                </c:pt>
                <c:pt idx="7">
                  <c:v>0.44239179470583806</c:v>
                </c:pt>
                <c:pt idx="8">
                  <c:v>0.44239179470583806</c:v>
                </c:pt>
                <c:pt idx="9">
                  <c:v>0.44239179470583806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92-45C0-86A7-44E042023DC1}"/>
            </c:ext>
          </c:extLst>
        </c:ser>
        <c:ser>
          <c:idx val="3"/>
          <c:order val="3"/>
          <c:tx>
            <c:strRef>
              <c:f>PII!$X$5</c:f>
              <c:strCache>
                <c:ptCount val="1"/>
                <c:pt idx="0">
                  <c:v>BGEA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PII!$Y$1:$AH$1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PII!$Y$5:$AH$5</c:f>
              <c:numCache>
                <c:formatCode>General</c:formatCode>
                <c:ptCount val="10"/>
                <c:pt idx="0">
                  <c:v>-0.10522279678062191</c:v>
                </c:pt>
                <c:pt idx="1">
                  <c:v>-0.10522279678062191</c:v>
                </c:pt>
                <c:pt idx="2">
                  <c:v>-0.10522279678062191</c:v>
                </c:pt>
                <c:pt idx="3">
                  <c:v>-0.10522279678062191</c:v>
                </c:pt>
                <c:pt idx="4">
                  <c:v>-0.10522279678062191</c:v>
                </c:pt>
                <c:pt idx="5">
                  <c:v>-0.10522279678062191</c:v>
                </c:pt>
                <c:pt idx="6">
                  <c:v>-0.10522279678062191</c:v>
                </c:pt>
                <c:pt idx="7">
                  <c:v>-0.10522279678062191</c:v>
                </c:pt>
                <c:pt idx="8">
                  <c:v>-0.10522279678062191</c:v>
                </c:pt>
                <c:pt idx="9">
                  <c:v>-0.10522279678062191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92-45C0-86A7-44E042023DC1}"/>
            </c:ext>
          </c:extLst>
        </c:ser>
        <c:ser>
          <c:idx val="4"/>
          <c:order val="4"/>
          <c:tx>
            <c:strRef>
              <c:f>PII!$X$6</c:f>
              <c:strCache>
                <c:ptCount val="1"/>
                <c:pt idx="0">
                  <c:v>NTEA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PII!$Y$1:$AH$1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PII!$Y$6:$AH$6</c:f>
              <c:numCache>
                <c:formatCode>General</c:formatCode>
                <c:ptCount val="10"/>
                <c:pt idx="0">
                  <c:v>-0.35632603677553176</c:v>
                </c:pt>
                <c:pt idx="1">
                  <c:v>-0.35632603677553176</c:v>
                </c:pt>
                <c:pt idx="2">
                  <c:v>-0.35632603677553176</c:v>
                </c:pt>
                <c:pt idx="3">
                  <c:v>-0.35632603677553176</c:v>
                </c:pt>
                <c:pt idx="4">
                  <c:v>-0.35632603677553176</c:v>
                </c:pt>
                <c:pt idx="5">
                  <c:v>-0.35632603677553176</c:v>
                </c:pt>
                <c:pt idx="6">
                  <c:v>-0.35632603677553176</c:v>
                </c:pt>
                <c:pt idx="7">
                  <c:v>-0.35632603677553176</c:v>
                </c:pt>
                <c:pt idx="8">
                  <c:v>-0.35632603677553176</c:v>
                </c:pt>
                <c:pt idx="9">
                  <c:v>-0.35632603677553176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B92-45C0-86A7-44E042023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0196208"/>
        <c:axId val="810970672"/>
      </c:lineChart>
      <c:catAx>
        <c:axId val="1430196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Weight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970672"/>
        <c:crosses val="autoZero"/>
        <c:auto val="1"/>
        <c:lblAlgn val="ctr"/>
        <c:lblOffset val="100"/>
        <c:noMultiLvlLbl val="0"/>
      </c:catAx>
      <c:valAx>
        <c:axId val="81097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t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Net</a:t>
                </a:r>
                <a:r>
                  <a:rPr lang="en-GB" baseline="0"/>
                  <a:t> outranking flow, </a:t>
                </a:r>
                <a:r>
                  <a:rPr lang="en-GB" sz="1000" b="0" i="0" u="none" strike="noStrike" baseline="0">
                    <a:effectLst/>
                  </a:rPr>
                  <a:t>𝜑(𝑎)</a:t>
                </a:r>
                <a:r>
                  <a:rPr lang="en-GB" baseline="0"/>
                  <a:t> 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t" anchorCtr="0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0196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 baseline="0">
                <a:solidFill>
                  <a:sysClr val="windowText" lastClr="000000"/>
                </a:solidFill>
              </a:rPr>
              <a:t>Tech </a:t>
            </a:r>
            <a:r>
              <a:rPr lang="en-GB" b="1">
                <a:solidFill>
                  <a:sysClr val="windowText" lastClr="000000"/>
                </a:solidFill>
              </a:rPr>
              <a:t>(D)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PII!$X$2</c:f>
              <c:strCache>
                <c:ptCount val="1"/>
                <c:pt idx="0">
                  <c:v>WGEA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PII!$Y$1:$AH$1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PII!$Y$2:$AH$2</c:f>
              <c:numCache>
                <c:formatCode>General</c:formatCode>
                <c:ptCount val="10"/>
                <c:pt idx="0">
                  <c:v>0.15178972673126775</c:v>
                </c:pt>
                <c:pt idx="1">
                  <c:v>0.15178972673126775</c:v>
                </c:pt>
                <c:pt idx="2">
                  <c:v>0.15178972673126775</c:v>
                </c:pt>
                <c:pt idx="3">
                  <c:v>0.15178972673126775</c:v>
                </c:pt>
                <c:pt idx="4">
                  <c:v>0.15178972673126775</c:v>
                </c:pt>
                <c:pt idx="5">
                  <c:v>0.15178972673126775</c:v>
                </c:pt>
                <c:pt idx="6">
                  <c:v>0.15178972673126775</c:v>
                </c:pt>
                <c:pt idx="7">
                  <c:v>0.15178972673126775</c:v>
                </c:pt>
                <c:pt idx="8">
                  <c:v>0.15178972673126775</c:v>
                </c:pt>
                <c:pt idx="9">
                  <c:v>0.15178972673126775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6-494C-A35B-00C6F8904662}"/>
            </c:ext>
          </c:extLst>
        </c:ser>
        <c:ser>
          <c:idx val="1"/>
          <c:order val="1"/>
          <c:tx>
            <c:strRef>
              <c:f>PII!$X$3</c:f>
              <c:strCache>
                <c:ptCount val="1"/>
                <c:pt idx="0">
                  <c:v>PVEA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PII!$Y$1:$AH$1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PII!$Y$3:$AH$3</c:f>
              <c:numCache>
                <c:formatCode>General</c:formatCode>
                <c:ptCount val="10"/>
                <c:pt idx="0">
                  <c:v>-0.13263268788095212</c:v>
                </c:pt>
                <c:pt idx="1">
                  <c:v>-0.13263268788095212</c:v>
                </c:pt>
                <c:pt idx="2">
                  <c:v>-0.13263268788095212</c:v>
                </c:pt>
                <c:pt idx="3">
                  <c:v>-0.13263268788095212</c:v>
                </c:pt>
                <c:pt idx="4">
                  <c:v>-0.13263268788095212</c:v>
                </c:pt>
                <c:pt idx="5">
                  <c:v>-0.13263268788095212</c:v>
                </c:pt>
                <c:pt idx="6">
                  <c:v>-0.13263268788095212</c:v>
                </c:pt>
                <c:pt idx="7">
                  <c:v>-0.13263268788095212</c:v>
                </c:pt>
                <c:pt idx="8">
                  <c:v>-0.13263268788095212</c:v>
                </c:pt>
                <c:pt idx="9">
                  <c:v>-0.13263268788095212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96-494C-A35B-00C6F8904662}"/>
            </c:ext>
          </c:extLst>
        </c:ser>
        <c:ser>
          <c:idx val="2"/>
          <c:order val="2"/>
          <c:tx>
            <c:strRef>
              <c:f>PII!$X$4</c:f>
              <c:strCache>
                <c:ptCount val="1"/>
                <c:pt idx="0">
                  <c:v>HPEA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PII!$Y$1:$AH$1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PII!$Y$4:$AH$4</c:f>
              <c:numCache>
                <c:formatCode>General</c:formatCode>
                <c:ptCount val="10"/>
                <c:pt idx="0">
                  <c:v>0.44239179470583806</c:v>
                </c:pt>
                <c:pt idx="1">
                  <c:v>0.44239179470583806</c:v>
                </c:pt>
                <c:pt idx="2">
                  <c:v>0.44239179470583806</c:v>
                </c:pt>
                <c:pt idx="3">
                  <c:v>0.44239179470583806</c:v>
                </c:pt>
                <c:pt idx="4">
                  <c:v>0.44239179470583806</c:v>
                </c:pt>
                <c:pt idx="5">
                  <c:v>0.44239179470583806</c:v>
                </c:pt>
                <c:pt idx="6">
                  <c:v>0.44239179470583806</c:v>
                </c:pt>
                <c:pt idx="7">
                  <c:v>0.44239179470583806</c:v>
                </c:pt>
                <c:pt idx="8">
                  <c:v>0.44239179470583806</c:v>
                </c:pt>
                <c:pt idx="9">
                  <c:v>0.44239179470583806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96-494C-A35B-00C6F8904662}"/>
            </c:ext>
          </c:extLst>
        </c:ser>
        <c:ser>
          <c:idx val="3"/>
          <c:order val="3"/>
          <c:tx>
            <c:strRef>
              <c:f>PII!$X$5</c:f>
              <c:strCache>
                <c:ptCount val="1"/>
                <c:pt idx="0">
                  <c:v>BGEA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PII!$Y$1:$AH$1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PII!$Y$5:$AH$5</c:f>
              <c:numCache>
                <c:formatCode>General</c:formatCode>
                <c:ptCount val="10"/>
                <c:pt idx="0">
                  <c:v>-0.10522279678062191</c:v>
                </c:pt>
                <c:pt idx="1">
                  <c:v>-0.10522279678062191</c:v>
                </c:pt>
                <c:pt idx="2">
                  <c:v>-0.10522279678062191</c:v>
                </c:pt>
                <c:pt idx="3">
                  <c:v>-0.10522279678062191</c:v>
                </c:pt>
                <c:pt idx="4">
                  <c:v>-0.10522279678062191</c:v>
                </c:pt>
                <c:pt idx="5">
                  <c:v>-0.10522279678062191</c:v>
                </c:pt>
                <c:pt idx="6">
                  <c:v>-0.10522279678062191</c:v>
                </c:pt>
                <c:pt idx="7">
                  <c:v>-0.10522279678062191</c:v>
                </c:pt>
                <c:pt idx="8">
                  <c:v>-0.10522279678062191</c:v>
                </c:pt>
                <c:pt idx="9">
                  <c:v>-0.10522279678062191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96-494C-A35B-00C6F8904662}"/>
            </c:ext>
          </c:extLst>
        </c:ser>
        <c:ser>
          <c:idx val="4"/>
          <c:order val="4"/>
          <c:tx>
            <c:strRef>
              <c:f>PII!$X$6</c:f>
              <c:strCache>
                <c:ptCount val="1"/>
                <c:pt idx="0">
                  <c:v>NTEA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PII!$Y$1:$AH$1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PII!$Y$6:$AH$6</c:f>
              <c:numCache>
                <c:formatCode>General</c:formatCode>
                <c:ptCount val="10"/>
                <c:pt idx="0">
                  <c:v>-0.35632603677553176</c:v>
                </c:pt>
                <c:pt idx="1">
                  <c:v>-0.35632603677553176</c:v>
                </c:pt>
                <c:pt idx="2">
                  <c:v>-0.35632603677553176</c:v>
                </c:pt>
                <c:pt idx="3">
                  <c:v>-0.35632603677553176</c:v>
                </c:pt>
                <c:pt idx="4">
                  <c:v>-0.35632603677553176</c:v>
                </c:pt>
                <c:pt idx="5">
                  <c:v>-0.35632603677553176</c:v>
                </c:pt>
                <c:pt idx="6">
                  <c:v>-0.35632603677553176</c:v>
                </c:pt>
                <c:pt idx="7">
                  <c:v>-0.35632603677553176</c:v>
                </c:pt>
                <c:pt idx="8">
                  <c:v>-0.35632603677553176</c:v>
                </c:pt>
                <c:pt idx="9">
                  <c:v>-0.35632603677553176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96-494C-A35B-00C6F8904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0196208"/>
        <c:axId val="810970672"/>
      </c:lineChart>
      <c:catAx>
        <c:axId val="1430196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Weight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970672"/>
        <c:crosses val="autoZero"/>
        <c:auto val="1"/>
        <c:lblAlgn val="ctr"/>
        <c:lblOffset val="100"/>
        <c:noMultiLvlLbl val="0"/>
      </c:catAx>
      <c:valAx>
        <c:axId val="81097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t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Net</a:t>
                </a:r>
                <a:r>
                  <a:rPr lang="en-GB" baseline="0"/>
                  <a:t> outranking flow, </a:t>
                </a:r>
                <a:r>
                  <a:rPr lang="en-GB" sz="1000" b="0" i="0" u="none" strike="noStrike" baseline="0">
                    <a:effectLst/>
                  </a:rPr>
                  <a:t>𝜑(𝑎)</a:t>
                </a:r>
                <a:r>
                  <a:rPr lang="en-GB" baseline="0"/>
                  <a:t> 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t" anchorCtr="0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0196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Economic</a:t>
            </a:r>
            <a:r>
              <a:rPr lang="en-GB" b="1" baseline="0">
                <a:solidFill>
                  <a:sysClr val="windowText" lastClr="000000"/>
                </a:solidFill>
              </a:rPr>
              <a:t> (B)</a:t>
            </a:r>
            <a:endParaRPr lang="en-GB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'Bioeth M'!$W$29</c:f>
              <c:strCache>
                <c:ptCount val="1"/>
                <c:pt idx="0">
                  <c:v>R1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'Bioeth M'!$X$28:$AG$28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'Bioeth M'!$X$29:$AG$29</c:f>
              <c:numCache>
                <c:formatCode>General</c:formatCode>
                <c:ptCount val="10"/>
                <c:pt idx="0">
                  <c:v>1E-4</c:v>
                </c:pt>
                <c:pt idx="1">
                  <c:v>1E-4</c:v>
                </c:pt>
                <c:pt idx="2">
                  <c:v>1E-4</c:v>
                </c:pt>
                <c:pt idx="3">
                  <c:v>1E-4</c:v>
                </c:pt>
                <c:pt idx="4">
                  <c:v>1E-4</c:v>
                </c:pt>
                <c:pt idx="5">
                  <c:v>1E-4</c:v>
                </c:pt>
                <c:pt idx="6">
                  <c:v>1E-4</c:v>
                </c:pt>
                <c:pt idx="7">
                  <c:v>1E-4</c:v>
                </c:pt>
                <c:pt idx="8">
                  <c:v>1E-4</c:v>
                </c:pt>
                <c:pt idx="9">
                  <c:v>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FD-40B7-B54F-EFE8EA6EDF0E}"/>
            </c:ext>
          </c:extLst>
        </c:ser>
        <c:ser>
          <c:idx val="2"/>
          <c:order val="1"/>
          <c:tx>
            <c:strRef>
              <c:f>'Bioeth M'!$W$30</c:f>
              <c:strCache>
                <c:ptCount val="1"/>
                <c:pt idx="0">
                  <c:v>R2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'Bioeth M'!$X$28:$AG$28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'Bioeth M'!$X$30:$AG$30</c:f>
              <c:numCache>
                <c:formatCode>General</c:formatCode>
                <c:ptCount val="10"/>
                <c:pt idx="0">
                  <c:v>0.92191055088448959</c:v>
                </c:pt>
                <c:pt idx="1">
                  <c:v>0.92846278413154804</c:v>
                </c:pt>
                <c:pt idx="2">
                  <c:v>0.93389031173132619</c:v>
                </c:pt>
                <c:pt idx="3">
                  <c:v>0.82117087933494048</c:v>
                </c:pt>
                <c:pt idx="4">
                  <c:v>0.82530455858847329</c:v>
                </c:pt>
                <c:pt idx="5">
                  <c:v>0.82902187802105631</c:v>
                </c:pt>
                <c:pt idx="6">
                  <c:v>0.83240806376090326</c:v>
                </c:pt>
                <c:pt idx="7">
                  <c:v>0.83552333132100998</c:v>
                </c:pt>
                <c:pt idx="8">
                  <c:v>0.83841203687767774</c:v>
                </c:pt>
                <c:pt idx="9">
                  <c:v>0.84110793574107534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FD-40B7-B54F-EFE8EA6EDF0E}"/>
            </c:ext>
          </c:extLst>
        </c:ser>
        <c:ser>
          <c:idx val="3"/>
          <c:order val="2"/>
          <c:tx>
            <c:strRef>
              <c:f>'Bioeth M'!$W$31</c:f>
              <c:strCache>
                <c:ptCount val="1"/>
                <c:pt idx="0">
                  <c:v>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'Bioeth M'!$X$28:$AG$28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'Bioeth M'!$X$31:$AG$31</c:f>
              <c:numCache>
                <c:formatCode>General</c:formatCode>
                <c:ptCount val="10"/>
                <c:pt idx="0">
                  <c:v>0.83424389157988044</c:v>
                </c:pt>
                <c:pt idx="1">
                  <c:v>0.75026442563434315</c:v>
                </c:pt>
                <c:pt idx="2">
                  <c:v>0.91907749487207879</c:v>
                </c:pt>
                <c:pt idx="3">
                  <c:v>1.0001</c:v>
                </c:pt>
                <c:pt idx="4">
                  <c:v>1.0001</c:v>
                </c:pt>
                <c:pt idx="5">
                  <c:v>1.0001</c:v>
                </c:pt>
                <c:pt idx="6">
                  <c:v>1.0001</c:v>
                </c:pt>
                <c:pt idx="7">
                  <c:v>1.0001</c:v>
                </c:pt>
                <c:pt idx="8">
                  <c:v>1.0001</c:v>
                </c:pt>
                <c:pt idx="9">
                  <c:v>1.0001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FD-40B7-B54F-EFE8EA6ED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316559"/>
        <c:axId val="819878815"/>
      </c:lineChart>
      <c:catAx>
        <c:axId val="96131655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Criteria</a:t>
                </a:r>
                <a:r>
                  <a:rPr lang="en-GB" baseline="0"/>
                  <a:t> weight change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42298552484401608"/>
              <c:y val="0.811212727425017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878815"/>
        <c:crosses val="autoZero"/>
        <c:auto val="1"/>
        <c:lblAlgn val="ctr"/>
        <c:lblOffset val="100"/>
        <c:noMultiLvlLbl val="0"/>
      </c:catAx>
      <c:valAx>
        <c:axId val="81987881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Qi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316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Social</a:t>
            </a:r>
            <a:r>
              <a:rPr lang="en-GB" b="1" baseline="0">
                <a:solidFill>
                  <a:sysClr val="windowText" lastClr="000000"/>
                </a:solidFill>
              </a:rPr>
              <a:t> (C)</a:t>
            </a:r>
            <a:endParaRPr lang="en-GB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'Bioeth M'!$W$34</c:f>
              <c:strCache>
                <c:ptCount val="1"/>
                <c:pt idx="0">
                  <c:v>R1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'Bioeth M'!$X$33:$AG$33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'Bioeth M'!$X$34:$AG$34</c:f>
              <c:numCache>
                <c:formatCode>General</c:formatCode>
                <c:ptCount val="10"/>
                <c:pt idx="0">
                  <c:v>1E-4</c:v>
                </c:pt>
                <c:pt idx="1">
                  <c:v>1E-4</c:v>
                </c:pt>
                <c:pt idx="2">
                  <c:v>1E-4</c:v>
                </c:pt>
                <c:pt idx="3">
                  <c:v>1E-4</c:v>
                </c:pt>
                <c:pt idx="4">
                  <c:v>1E-4</c:v>
                </c:pt>
                <c:pt idx="5">
                  <c:v>1E-4</c:v>
                </c:pt>
                <c:pt idx="6">
                  <c:v>1E-4</c:v>
                </c:pt>
                <c:pt idx="7">
                  <c:v>1E-4</c:v>
                </c:pt>
                <c:pt idx="8">
                  <c:v>1E-4</c:v>
                </c:pt>
                <c:pt idx="9">
                  <c:v>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C6-4959-A29D-BAD0ED3AC16E}"/>
            </c:ext>
          </c:extLst>
        </c:ser>
        <c:ser>
          <c:idx val="2"/>
          <c:order val="1"/>
          <c:tx>
            <c:strRef>
              <c:f>'Bioeth M'!$W$35</c:f>
              <c:strCache>
                <c:ptCount val="1"/>
                <c:pt idx="0">
                  <c:v>R2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'Bioeth M'!$X$33:$AG$33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'Bioeth M'!$X$35:$AG$35</c:f>
              <c:numCache>
                <c:formatCode>General</c:formatCode>
                <c:ptCount val="10"/>
                <c:pt idx="0">
                  <c:v>0.92191055088448959</c:v>
                </c:pt>
                <c:pt idx="1">
                  <c:v>0.90339741206833568</c:v>
                </c:pt>
                <c:pt idx="2">
                  <c:v>0.79179125475492085</c:v>
                </c:pt>
                <c:pt idx="3">
                  <c:v>0.7115524234664663</c:v>
                </c:pt>
                <c:pt idx="4">
                  <c:v>0.65528841884342603</c:v>
                </c:pt>
                <c:pt idx="5">
                  <c:v>0.61296987829221861</c:v>
                </c:pt>
                <c:pt idx="6">
                  <c:v>0.57958140128500868</c:v>
                </c:pt>
                <c:pt idx="7">
                  <c:v>0.55231314158231926</c:v>
                </c:pt>
                <c:pt idx="8">
                  <c:v>0.52945647598209633</c:v>
                </c:pt>
                <c:pt idx="9">
                  <c:v>0.50990599248838175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C6-4959-A29D-BAD0ED3AC16E}"/>
            </c:ext>
          </c:extLst>
        </c:ser>
        <c:ser>
          <c:idx val="3"/>
          <c:order val="2"/>
          <c:tx>
            <c:strRef>
              <c:f>'Bioeth M'!$W$36</c:f>
              <c:strCache>
                <c:ptCount val="1"/>
                <c:pt idx="0">
                  <c:v>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'Bioeth M'!$X$33:$AG$33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'Bioeth M'!$X$36:$AG$36</c:f>
              <c:numCache>
                <c:formatCode>General</c:formatCode>
                <c:ptCount val="10"/>
                <c:pt idx="0">
                  <c:v>0.83424389157988044</c:v>
                </c:pt>
                <c:pt idx="1">
                  <c:v>0.98426102627780665</c:v>
                </c:pt>
                <c:pt idx="2">
                  <c:v>1.0001</c:v>
                </c:pt>
                <c:pt idx="3">
                  <c:v>1.0001</c:v>
                </c:pt>
                <c:pt idx="4">
                  <c:v>1.0001</c:v>
                </c:pt>
                <c:pt idx="5">
                  <c:v>1.0001</c:v>
                </c:pt>
                <c:pt idx="6">
                  <c:v>1.0001</c:v>
                </c:pt>
                <c:pt idx="7">
                  <c:v>1.0001</c:v>
                </c:pt>
                <c:pt idx="8">
                  <c:v>1.0001</c:v>
                </c:pt>
                <c:pt idx="9">
                  <c:v>1.0001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C6-4959-A29D-BAD0ED3AC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5331343"/>
        <c:axId val="819880895"/>
      </c:lineChart>
      <c:catAx>
        <c:axId val="9853313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Criteria</a:t>
                </a:r>
                <a:r>
                  <a:rPr lang="en-GB" baseline="0"/>
                  <a:t> weight change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880895"/>
        <c:crosses val="autoZero"/>
        <c:auto val="1"/>
        <c:lblAlgn val="ctr"/>
        <c:lblOffset val="100"/>
        <c:noMultiLvlLbl val="0"/>
      </c:catAx>
      <c:valAx>
        <c:axId val="81988089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Qi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5331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Environment (A)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'Bioeth PII'!$AI$67</c:f>
              <c:strCache>
                <c:ptCount val="1"/>
                <c:pt idx="0">
                  <c:v>R1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'Bioeth PII'!$AJ$66:$AS$66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'Bioeth PII'!$AJ$67:$AS$67</c:f>
              <c:numCache>
                <c:formatCode>General</c:formatCode>
                <c:ptCount val="10"/>
                <c:pt idx="0">
                  <c:v>0.49031954882429746</c:v>
                </c:pt>
                <c:pt idx="1">
                  <c:v>0.50531044562250182</c:v>
                </c:pt>
                <c:pt idx="2">
                  <c:v>0.51775170216662614</c:v>
                </c:pt>
                <c:pt idx="3">
                  <c:v>0.52838484672481134</c:v>
                </c:pt>
                <c:pt idx="4">
                  <c:v>0.53766458773664805</c:v>
                </c:pt>
                <c:pt idx="5">
                  <c:v>0.54589129890228305</c:v>
                </c:pt>
                <c:pt idx="6">
                  <c:v>0.55327441118117793</c:v>
                </c:pt>
                <c:pt idx="7">
                  <c:v>0.55996607343347871</c:v>
                </c:pt>
                <c:pt idx="8">
                  <c:v>0.56608045949003982</c:v>
                </c:pt>
                <c:pt idx="9">
                  <c:v>0.57170552371237215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5-4E7D-8CA4-6589E16C22C8}"/>
            </c:ext>
          </c:extLst>
        </c:ser>
        <c:ser>
          <c:idx val="2"/>
          <c:order val="1"/>
          <c:tx>
            <c:strRef>
              <c:f>'Bioeth PII'!$AI$68</c:f>
              <c:strCache>
                <c:ptCount val="1"/>
                <c:pt idx="0">
                  <c:v>R2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'Bioeth PII'!$AJ$66:$AS$66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'Bioeth PII'!$AJ$68:$AS$68</c:f>
              <c:numCache>
                <c:formatCode>General</c:formatCode>
                <c:ptCount val="10"/>
                <c:pt idx="0">
                  <c:v>-0.18277523882126456</c:v>
                </c:pt>
                <c:pt idx="1">
                  <c:v>-0.20167043601107387</c:v>
                </c:pt>
                <c:pt idx="2">
                  <c:v>-0.21735195252437489</c:v>
                </c:pt>
                <c:pt idx="3">
                  <c:v>-0.23075444377484647</c:v>
                </c:pt>
                <c:pt idx="4">
                  <c:v>-0.24245104462864037</c:v>
                </c:pt>
                <c:pt idx="5">
                  <c:v>-0.25282035953960025</c:v>
                </c:pt>
                <c:pt idx="6">
                  <c:v>-0.26212636466138384</c:v>
                </c:pt>
                <c:pt idx="7">
                  <c:v>-0.27056083522621149</c:v>
                </c:pt>
                <c:pt idx="8">
                  <c:v>-0.27826768103994448</c:v>
                </c:pt>
                <c:pt idx="9">
                  <c:v>-0.28535776371592164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45-4E7D-8CA4-6589E16C22C8}"/>
            </c:ext>
          </c:extLst>
        </c:ser>
        <c:ser>
          <c:idx val="3"/>
          <c:order val="2"/>
          <c:tx>
            <c:strRef>
              <c:f>'Bioeth PII'!$AI$69</c:f>
              <c:strCache>
                <c:ptCount val="1"/>
                <c:pt idx="0">
                  <c:v>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'Bioeth PII'!$AJ$66:$AS$66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'Bioeth PII'!$AJ$69:$AS$69</c:f>
              <c:numCache>
                <c:formatCode>General</c:formatCode>
                <c:ptCount val="10"/>
                <c:pt idx="0">
                  <c:v>-0.30754431000303295</c:v>
                </c:pt>
                <c:pt idx="1">
                  <c:v>-0.30364000961142801</c:v>
                </c:pt>
                <c:pt idx="2">
                  <c:v>-0.30039974964225125</c:v>
                </c:pt>
                <c:pt idx="3">
                  <c:v>-0.29763040294996496</c:v>
                </c:pt>
                <c:pt idx="4">
                  <c:v>-0.29521354310800768</c:v>
                </c:pt>
                <c:pt idx="5">
                  <c:v>-0.29307093936268291</c:v>
                </c:pt>
                <c:pt idx="6">
                  <c:v>-0.29114804651979409</c:v>
                </c:pt>
                <c:pt idx="7">
                  <c:v>-0.28940523820726716</c:v>
                </c:pt>
                <c:pt idx="8">
                  <c:v>-0.2878127784500954</c:v>
                </c:pt>
                <c:pt idx="9">
                  <c:v>-0.28634775999645051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45-4E7D-8CA4-6589E16C2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6168272"/>
        <c:axId val="1370752320"/>
      </c:lineChart>
      <c:catAx>
        <c:axId val="1366168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Criteria weight change</a:t>
                </a:r>
              </a:p>
            </c:rich>
          </c:tx>
          <c:layout>
            <c:manualLayout>
              <c:xMode val="edge"/>
              <c:yMode val="edge"/>
              <c:x val="0.39255676807445478"/>
              <c:y val="0.82851739841957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0752320"/>
        <c:crosses val="autoZero"/>
        <c:auto val="1"/>
        <c:lblAlgn val="ctr"/>
        <c:lblOffset val="100"/>
        <c:noMultiLvlLbl val="0"/>
      </c:catAx>
      <c:valAx>
        <c:axId val="137075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baseline="0">
                    <a:effectLst/>
                  </a:rPr>
                  <a:t>𝜑(𝑎) </a:t>
                </a:r>
                <a:endParaRPr lang="en-GB" sz="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6168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Economic</a:t>
            </a:r>
            <a:r>
              <a:rPr lang="en-GB" b="1" baseline="0">
                <a:solidFill>
                  <a:sysClr val="windowText" lastClr="000000"/>
                </a:solidFill>
              </a:rPr>
              <a:t> (B)</a:t>
            </a:r>
            <a:endParaRPr lang="en-GB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'Bioeth PII'!$AI$72</c:f>
              <c:strCache>
                <c:ptCount val="1"/>
                <c:pt idx="0">
                  <c:v>R1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'Bioeth PII'!$AJ$71:$AS$71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'Bioeth PII'!$AJ$72:$AS$72</c:f>
              <c:numCache>
                <c:formatCode>General</c:formatCode>
                <c:ptCount val="10"/>
                <c:pt idx="0">
                  <c:v>0.49031954882429746</c:v>
                </c:pt>
                <c:pt idx="1">
                  <c:v>0.48059489580903303</c:v>
                </c:pt>
                <c:pt idx="2">
                  <c:v>0.47292495279694874</c:v>
                </c:pt>
                <c:pt idx="3">
                  <c:v>0.46657676473326937</c:v>
                </c:pt>
                <c:pt idx="4">
                  <c:v>0.4611574130331606</c:v>
                </c:pt>
                <c:pt idx="5">
                  <c:v>0.45642946259814349</c:v>
                </c:pt>
                <c:pt idx="6">
                  <c:v>0.45223756515173552</c:v>
                </c:pt>
                <c:pt idx="7">
                  <c:v>0.44847412138691634</c:v>
                </c:pt>
                <c:pt idx="8">
                  <c:v>0.44506133077034116</c:v>
                </c:pt>
                <c:pt idx="9">
                  <c:v>0.44194101277642273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77-499A-9720-1586E4998AC5}"/>
            </c:ext>
          </c:extLst>
        </c:ser>
        <c:ser>
          <c:idx val="2"/>
          <c:order val="1"/>
          <c:tx>
            <c:strRef>
              <c:f>'Bioeth PII'!$AI$73</c:f>
              <c:strCache>
                <c:ptCount val="1"/>
                <c:pt idx="0">
                  <c:v>R2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'Bioeth PII'!$AJ$71:$AS$71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'Bioeth PII'!$AJ$73:$AS$73</c:f>
              <c:numCache>
                <c:formatCode>General</c:formatCode>
                <c:ptCount val="10"/>
                <c:pt idx="0">
                  <c:v>-0.18277523882126456</c:v>
                </c:pt>
                <c:pt idx="1">
                  <c:v>-0.18466971128339396</c:v>
                </c:pt>
                <c:pt idx="2">
                  <c:v>-0.18616390298356966</c:v>
                </c:pt>
                <c:pt idx="3">
                  <c:v>-0.18740060186137866</c:v>
                </c:pt>
                <c:pt idx="4">
                  <c:v>-0.188456352903841</c:v>
                </c:pt>
                <c:pt idx="5">
                  <c:v>-0.18937741115521448</c:v>
                </c:pt>
                <c:pt idx="6">
                  <c:v>-0.19019404021784786</c:v>
                </c:pt>
                <c:pt idx="7">
                  <c:v>-0.19092720165445973</c:v>
                </c:pt>
                <c:pt idx="8">
                  <c:v>-0.19159205188942094</c:v>
                </c:pt>
                <c:pt idx="9">
                  <c:v>-0.1921999251475503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77-499A-9720-1586E4998AC5}"/>
            </c:ext>
          </c:extLst>
        </c:ser>
        <c:ser>
          <c:idx val="3"/>
          <c:order val="2"/>
          <c:tx>
            <c:strRef>
              <c:f>'Bioeth PII'!$AI$74</c:f>
              <c:strCache>
                <c:ptCount val="1"/>
                <c:pt idx="0">
                  <c:v>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'Bioeth PII'!$AJ$71:$AS$71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'Bioeth PII'!$AJ$74:$AS$74</c:f>
              <c:numCache>
                <c:formatCode>General</c:formatCode>
                <c:ptCount val="10"/>
                <c:pt idx="0">
                  <c:v>-0.30754431000303295</c:v>
                </c:pt>
                <c:pt idx="1">
                  <c:v>-0.29592518452563904</c:v>
                </c:pt>
                <c:pt idx="2">
                  <c:v>-0.28676104981337913</c:v>
                </c:pt>
                <c:pt idx="3">
                  <c:v>-0.27917616287189073</c:v>
                </c:pt>
                <c:pt idx="4">
                  <c:v>-0.27270106012931961</c:v>
                </c:pt>
                <c:pt idx="5">
                  <c:v>-0.26705205144292904</c:v>
                </c:pt>
                <c:pt idx="6">
                  <c:v>-0.26204352493388766</c:v>
                </c:pt>
                <c:pt idx="7">
                  <c:v>-0.25754691973245664</c:v>
                </c:pt>
                <c:pt idx="8">
                  <c:v>-0.25346927888092019</c:v>
                </c:pt>
                <c:pt idx="9">
                  <c:v>-0.24974108762887237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77-499A-9720-1586E4998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2519808"/>
        <c:axId val="1159459664"/>
      </c:lineChart>
      <c:catAx>
        <c:axId val="1712519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Criteria</a:t>
                </a:r>
                <a:r>
                  <a:rPr lang="en-GB" baseline="0"/>
                  <a:t> weight change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3891454601442933"/>
              <c:y val="0.823260807083112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9459664"/>
        <c:crosses val="autoZero"/>
        <c:auto val="1"/>
        <c:lblAlgn val="ctr"/>
        <c:lblOffset val="100"/>
        <c:noMultiLvlLbl val="0"/>
      </c:catAx>
      <c:valAx>
        <c:axId val="115945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baseline="0">
                    <a:effectLst/>
                  </a:rPr>
                  <a:t>𝜑(𝑎) </a:t>
                </a:r>
                <a:endParaRPr lang="en-GB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251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Social (C)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'Bioeth PII'!$AI$77</c:f>
              <c:strCache>
                <c:ptCount val="1"/>
                <c:pt idx="0">
                  <c:v>R1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'Bioeth PII'!$AJ$76:$AS$76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'Bioeth PII'!$AJ$77:$AS$77</c:f>
              <c:numCache>
                <c:formatCode>General</c:formatCode>
                <c:ptCount val="10"/>
                <c:pt idx="0">
                  <c:v>0.49031954882429746</c:v>
                </c:pt>
                <c:pt idx="1">
                  <c:v>0.48260108488520354</c:v>
                </c:pt>
                <c:pt idx="2">
                  <c:v>0.47622158073591275</c:v>
                </c:pt>
                <c:pt idx="3">
                  <c:v>0.4707943214705187</c:v>
                </c:pt>
                <c:pt idx="4">
                  <c:v>0.46607988864487249</c:v>
                </c:pt>
                <c:pt idx="5">
                  <c:v>0.46191933001673552</c:v>
                </c:pt>
                <c:pt idx="6">
                  <c:v>0.4582015502440519</c:v>
                </c:pt>
                <c:pt idx="7">
                  <c:v>0.45484577257489556</c:v>
                </c:pt>
                <c:pt idx="8">
                  <c:v>0.45179139175542038</c:v>
                </c:pt>
                <c:pt idx="9">
                  <c:v>0.44899175885356307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56-4835-AC03-6770193DEF9F}"/>
            </c:ext>
          </c:extLst>
        </c:ser>
        <c:ser>
          <c:idx val="2"/>
          <c:order val="1"/>
          <c:tx>
            <c:strRef>
              <c:f>'Bioeth PII'!$AI$78</c:f>
              <c:strCache>
                <c:ptCount val="1"/>
                <c:pt idx="0">
                  <c:v>R2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'Bioeth PII'!$AJ$76:$AS$76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'Bioeth PII'!$AJ$78:$AS$78</c:f>
              <c:numCache>
                <c:formatCode>General</c:formatCode>
                <c:ptCount val="10"/>
                <c:pt idx="0">
                  <c:v>-0.18277523882126456</c:v>
                </c:pt>
                <c:pt idx="1">
                  <c:v>-0.16380318682608189</c:v>
                </c:pt>
                <c:pt idx="2">
                  <c:v>-0.14812230972684429</c:v>
                </c:pt>
                <c:pt idx="3">
                  <c:v>-0.13478205889625222</c:v>
                </c:pt>
                <c:pt idx="4">
                  <c:v>-0.1231939417006882</c:v>
                </c:pt>
                <c:pt idx="5">
                  <c:v>-0.11296725213591344</c:v>
                </c:pt>
                <c:pt idx="6">
                  <c:v>-0.10382891687768425</c:v>
                </c:pt>
                <c:pt idx="7">
                  <c:v>-9.5580385961961833E-2</c:v>
                </c:pt>
                <c:pt idx="8">
                  <c:v>-8.8072691143739584E-2</c:v>
                </c:pt>
                <c:pt idx="9">
                  <c:v>-8.1191168939245439E-2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56-4835-AC03-6770193DEF9F}"/>
            </c:ext>
          </c:extLst>
        </c:ser>
        <c:ser>
          <c:idx val="3"/>
          <c:order val="2"/>
          <c:tx>
            <c:strRef>
              <c:f>'Bioeth PII'!$AI$79</c:f>
              <c:strCache>
                <c:ptCount val="1"/>
                <c:pt idx="0">
                  <c:v>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'Bioeth PII'!$AJ$76:$AS$76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'Bioeth PII'!$AJ$79:$AS$79</c:f>
              <c:numCache>
                <c:formatCode>General</c:formatCode>
                <c:ptCount val="10"/>
                <c:pt idx="0">
                  <c:v>-0.30754431000303295</c:v>
                </c:pt>
                <c:pt idx="1">
                  <c:v>-0.31879789805912162</c:v>
                </c:pt>
                <c:pt idx="2">
                  <c:v>-0.32809927100906844</c:v>
                </c:pt>
                <c:pt idx="3">
                  <c:v>-0.33601226257426647</c:v>
                </c:pt>
                <c:pt idx="4">
                  <c:v>-0.34288594694418434</c:v>
                </c:pt>
                <c:pt idx="5">
                  <c:v>-0.34895207788082211</c:v>
                </c:pt>
                <c:pt idx="6">
                  <c:v>-0.3543726333663676</c:v>
                </c:pt>
                <c:pt idx="7">
                  <c:v>-0.35926538661293372</c:v>
                </c:pt>
                <c:pt idx="8">
                  <c:v>-0.36371870061168088</c:v>
                </c:pt>
                <c:pt idx="9">
                  <c:v>-0.36780058991431763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56-4835-AC03-6770193DE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591968"/>
        <c:axId val="1296614512"/>
      </c:lineChart>
      <c:catAx>
        <c:axId val="1438591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Criteria</a:t>
                </a:r>
                <a:r>
                  <a:rPr lang="en-GB" baseline="0"/>
                  <a:t> weight change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40335247520041867"/>
              <c:y val="0.821979775700025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6614512"/>
        <c:crosses val="autoZero"/>
        <c:auto val="1"/>
        <c:lblAlgn val="ctr"/>
        <c:lblOffset val="100"/>
        <c:noMultiLvlLbl val="0"/>
      </c:catAx>
      <c:valAx>
        <c:axId val="129661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baseline="0">
                    <a:effectLst/>
                  </a:rPr>
                  <a:t>𝜑(𝑎) </a:t>
                </a:r>
                <a:endParaRPr lang="en-GB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8591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Env (A)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FAHP!$J$51</c:f>
              <c:strCache>
                <c:ptCount val="1"/>
                <c:pt idx="0">
                  <c:v>WGEA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FAHP!$K$50:$T$50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FAHP!$K$51:$T$51</c:f>
              <c:numCache>
                <c:formatCode>General</c:formatCode>
                <c:ptCount val="10"/>
                <c:pt idx="0">
                  <c:v>0.2329</c:v>
                </c:pt>
                <c:pt idx="1">
                  <c:v>0.23350000000000001</c:v>
                </c:pt>
                <c:pt idx="2">
                  <c:v>0.2339</c:v>
                </c:pt>
                <c:pt idx="3">
                  <c:v>0.23430000000000001</c:v>
                </c:pt>
                <c:pt idx="4">
                  <c:v>0.2346</c:v>
                </c:pt>
                <c:pt idx="5">
                  <c:v>0.2349</c:v>
                </c:pt>
                <c:pt idx="6">
                  <c:v>0.23519999999999999</c:v>
                </c:pt>
                <c:pt idx="7">
                  <c:v>0.2354</c:v>
                </c:pt>
                <c:pt idx="8">
                  <c:v>0.2356</c:v>
                </c:pt>
                <c:pt idx="9">
                  <c:v>0.23580000000000001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F-4C15-9CB3-6E1884A1DE8C}"/>
            </c:ext>
          </c:extLst>
        </c:ser>
        <c:ser>
          <c:idx val="1"/>
          <c:order val="1"/>
          <c:tx>
            <c:strRef>
              <c:f>FAHP!$J$52</c:f>
              <c:strCache>
                <c:ptCount val="1"/>
                <c:pt idx="0">
                  <c:v>PVEA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FAHP!$K$50:$T$50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FAHP!$K$52:$T$52</c:f>
              <c:numCache>
                <c:formatCode>General</c:formatCode>
                <c:ptCount val="10"/>
                <c:pt idx="0">
                  <c:v>0.1699</c:v>
                </c:pt>
                <c:pt idx="1">
                  <c:v>0.16450000000000001</c:v>
                </c:pt>
                <c:pt idx="2">
                  <c:v>0.16070000000000001</c:v>
                </c:pt>
                <c:pt idx="3">
                  <c:v>0.15770000000000001</c:v>
                </c:pt>
                <c:pt idx="4">
                  <c:v>0.15529999999999999</c:v>
                </c:pt>
                <c:pt idx="5">
                  <c:v>0.15310000000000001</c:v>
                </c:pt>
                <c:pt idx="6">
                  <c:v>0.15129999999999999</c:v>
                </c:pt>
                <c:pt idx="7">
                  <c:v>0.14960000000000001</c:v>
                </c:pt>
                <c:pt idx="8">
                  <c:v>0.14810000000000001</c:v>
                </c:pt>
                <c:pt idx="9">
                  <c:v>0.1467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4F-4C15-9CB3-6E1884A1DE8C}"/>
            </c:ext>
          </c:extLst>
        </c:ser>
        <c:ser>
          <c:idx val="2"/>
          <c:order val="2"/>
          <c:tx>
            <c:strRef>
              <c:f>FAHP!$J$53</c:f>
              <c:strCache>
                <c:ptCount val="1"/>
                <c:pt idx="0">
                  <c:v>HPEA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FAHP!$K$50:$T$50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FAHP!$K$53:$T$53</c:f>
              <c:numCache>
                <c:formatCode>General</c:formatCode>
                <c:ptCount val="10"/>
                <c:pt idx="0">
                  <c:v>0.30880000000000002</c:v>
                </c:pt>
                <c:pt idx="1">
                  <c:v>0.31219999999999998</c:v>
                </c:pt>
                <c:pt idx="2">
                  <c:v>0.31480000000000002</c:v>
                </c:pt>
                <c:pt idx="3">
                  <c:v>0.31680000000000003</c:v>
                </c:pt>
                <c:pt idx="4">
                  <c:v>0.31859999999999999</c:v>
                </c:pt>
                <c:pt idx="5">
                  <c:v>0.32019999999999998</c:v>
                </c:pt>
                <c:pt idx="6">
                  <c:v>0.3216</c:v>
                </c:pt>
                <c:pt idx="7">
                  <c:v>0.32279999999999998</c:v>
                </c:pt>
                <c:pt idx="8" formatCode="0.0000">
                  <c:v>0.32400000000000001</c:v>
                </c:pt>
                <c:pt idx="9" formatCode="0.0000">
                  <c:v>0.32500000000000001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4F-4C15-9CB3-6E1884A1DE8C}"/>
            </c:ext>
          </c:extLst>
        </c:ser>
        <c:ser>
          <c:idx val="3"/>
          <c:order val="3"/>
          <c:tx>
            <c:strRef>
              <c:f>FAHP!$J$54</c:f>
              <c:strCache>
                <c:ptCount val="1"/>
                <c:pt idx="0">
                  <c:v>BGEA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FAHP!$K$50:$T$50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FAHP!$K$54:$T$54</c:f>
              <c:numCache>
                <c:formatCode>General</c:formatCode>
                <c:ptCount val="10"/>
                <c:pt idx="0">
                  <c:v>0.16869999999999999</c:v>
                </c:pt>
                <c:pt idx="1">
                  <c:v>0.17419999999999999</c:v>
                </c:pt>
                <c:pt idx="2">
                  <c:v>0.1779</c:v>
                </c:pt>
                <c:pt idx="3">
                  <c:v>0.1807</c:v>
                </c:pt>
                <c:pt idx="4" formatCode="0.0000">
                  <c:v>0.183</c:v>
                </c:pt>
                <c:pt idx="5">
                  <c:v>0.18490000000000001</c:v>
                </c:pt>
                <c:pt idx="6">
                  <c:v>0.18659999999999999</c:v>
                </c:pt>
                <c:pt idx="7" formatCode="0.0000">
                  <c:v>0.188</c:v>
                </c:pt>
                <c:pt idx="8">
                  <c:v>0.1893</c:v>
                </c:pt>
                <c:pt idx="9">
                  <c:v>0.19040000000000001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A4F-4C15-9CB3-6E1884A1DE8C}"/>
            </c:ext>
          </c:extLst>
        </c:ser>
        <c:ser>
          <c:idx val="4"/>
          <c:order val="4"/>
          <c:tx>
            <c:strRef>
              <c:f>FAHP!$J$55</c:f>
              <c:strCache>
                <c:ptCount val="1"/>
                <c:pt idx="0">
                  <c:v>NTEA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FAHP!$K$50:$T$50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FAHP!$K$55:$T$55</c:f>
              <c:numCache>
                <c:formatCode>General</c:formatCode>
                <c:ptCount val="10"/>
                <c:pt idx="0">
                  <c:v>0.1197</c:v>
                </c:pt>
                <c:pt idx="1">
                  <c:v>0.11559999999999999</c:v>
                </c:pt>
                <c:pt idx="2">
                  <c:v>0.11269999999999999</c:v>
                </c:pt>
                <c:pt idx="3">
                  <c:v>0.1104</c:v>
                </c:pt>
                <c:pt idx="4">
                  <c:v>0.1085</c:v>
                </c:pt>
                <c:pt idx="5">
                  <c:v>0.1069</c:v>
                </c:pt>
                <c:pt idx="6">
                  <c:v>0.10539999999999999</c:v>
                </c:pt>
                <c:pt idx="7">
                  <c:v>0.1042</c:v>
                </c:pt>
                <c:pt idx="8" formatCode="0.0000">
                  <c:v>0.10299999999999999</c:v>
                </c:pt>
                <c:pt idx="9" formatCode="0.0000">
                  <c:v>0.10199999999999999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A4F-4C15-9CB3-6E1884A1D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9535831"/>
        <c:axId val="629536823"/>
      </c:lineChart>
      <c:catAx>
        <c:axId val="6295358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Weight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536823"/>
        <c:crosses val="autoZero"/>
        <c:auto val="1"/>
        <c:lblAlgn val="ctr"/>
        <c:lblOffset val="100"/>
        <c:noMultiLvlLbl val="0"/>
      </c:catAx>
      <c:valAx>
        <c:axId val="629536823"/>
        <c:scaling>
          <c:orientation val="minMax"/>
          <c:max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Ci+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535831"/>
        <c:crosses val="autoZero"/>
        <c:crossBetween val="between"/>
        <c:majorUnit val="0.0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Econ (B)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FAHP!$J$58</c:f>
              <c:strCache>
                <c:ptCount val="1"/>
                <c:pt idx="0">
                  <c:v>WGEA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FAHP!$K$57:$T$57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FAHP!$K$58:$T$58</c:f>
              <c:numCache>
                <c:formatCode>General</c:formatCode>
                <c:ptCount val="10"/>
                <c:pt idx="0">
                  <c:v>0.2329</c:v>
                </c:pt>
                <c:pt idx="1">
                  <c:v>0.2334</c:v>
                </c:pt>
                <c:pt idx="2">
                  <c:v>0.23369999999999999</c:v>
                </c:pt>
                <c:pt idx="3" formatCode="0.0000">
                  <c:v>0.23398535405922799</c:v>
                </c:pt>
                <c:pt idx="4" formatCode="0.0000">
                  <c:v>0.234227437222646</c:v>
                </c:pt>
                <c:pt idx="5" formatCode="0.0000">
                  <c:v>0.234438157736267</c:v>
                </c:pt>
                <c:pt idx="6" formatCode="0.0000">
                  <c:v>0.234624420588983</c:v>
                </c:pt>
                <c:pt idx="7" formatCode="0.0000">
                  <c:v>0.23479109935891199</c:v>
                </c:pt>
                <c:pt idx="8" formatCode="0.0000">
                  <c:v>0.23494175833046499</c:v>
                </c:pt>
                <c:pt idx="9" formatCode="0.0000">
                  <c:v>0.23507908009915901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D-4EB4-94AF-D2D39C795F8E}"/>
            </c:ext>
          </c:extLst>
        </c:ser>
        <c:ser>
          <c:idx val="1"/>
          <c:order val="1"/>
          <c:tx>
            <c:strRef>
              <c:f>FAHP!$J$59</c:f>
              <c:strCache>
                <c:ptCount val="1"/>
                <c:pt idx="0">
                  <c:v>PVEA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FAHP!$K$57:$T$57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FAHP!$K$59:$T$59</c:f>
              <c:numCache>
                <c:formatCode>General</c:formatCode>
                <c:ptCount val="10"/>
                <c:pt idx="0">
                  <c:v>0.1699</c:v>
                </c:pt>
                <c:pt idx="1">
                  <c:v>0.1721</c:v>
                </c:pt>
                <c:pt idx="2">
                  <c:v>0.1739</c:v>
                </c:pt>
                <c:pt idx="3" formatCode="0.0000">
                  <c:v>0.17546884142255501</c:v>
                </c:pt>
                <c:pt idx="4" formatCode="0.0000">
                  <c:v>0.17680913335808701</c:v>
                </c:pt>
                <c:pt idx="5" formatCode="0.0000">
                  <c:v>0.177991037023254</c:v>
                </c:pt>
                <c:pt idx="6" formatCode="0.0000">
                  <c:v>0.17904657728883</c:v>
                </c:pt>
                <c:pt idx="7" formatCode="0.0000">
                  <c:v>0.17999898685992499</c:v>
                </c:pt>
                <c:pt idx="8" formatCode="0.0000">
                  <c:v>0.18086565982698199</c:v>
                </c:pt>
                <c:pt idx="9" formatCode="0.0000">
                  <c:v>0.18165995954199099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D-4EB4-94AF-D2D39C795F8E}"/>
            </c:ext>
          </c:extLst>
        </c:ser>
        <c:ser>
          <c:idx val="2"/>
          <c:order val="2"/>
          <c:tx>
            <c:strRef>
              <c:f>FAHP!$J$60</c:f>
              <c:strCache>
                <c:ptCount val="1"/>
                <c:pt idx="0">
                  <c:v>HPEA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FAHP!$K$57:$T$57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FAHP!$K$60:$T$60</c:f>
              <c:numCache>
                <c:formatCode>General</c:formatCode>
                <c:ptCount val="10"/>
                <c:pt idx="0">
                  <c:v>0.30880000000000002</c:v>
                </c:pt>
                <c:pt idx="1">
                  <c:v>0.30480000000000002</c:v>
                </c:pt>
                <c:pt idx="2">
                  <c:v>0.30149999999999999</c:v>
                </c:pt>
                <c:pt idx="3" formatCode="0.0000">
                  <c:v>0.29876662542052601</c:v>
                </c:pt>
                <c:pt idx="4" formatCode="0.0000">
                  <c:v>0.29638202935819302</c:v>
                </c:pt>
                <c:pt idx="5" formatCode="0.0000">
                  <c:v>0.29428581524212499</c:v>
                </c:pt>
                <c:pt idx="6" formatCode="0.0000">
                  <c:v>0.29241852843615701</c:v>
                </c:pt>
                <c:pt idx="7" formatCode="0.0000">
                  <c:v>0.29073729866440501</c:v>
                </c:pt>
                <c:pt idx="8" formatCode="0.0000">
                  <c:v>0.28921019488115202</c:v>
                </c:pt>
                <c:pt idx="9" formatCode="0.0000">
                  <c:v>0.28781279516568697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59D-4EB4-94AF-D2D39C795F8E}"/>
            </c:ext>
          </c:extLst>
        </c:ser>
        <c:ser>
          <c:idx val="3"/>
          <c:order val="3"/>
          <c:tx>
            <c:strRef>
              <c:f>FAHP!$J$61</c:f>
              <c:strCache>
                <c:ptCount val="1"/>
                <c:pt idx="0">
                  <c:v>BGEA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FAHP!$K$57:$T$57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FAHP!$K$61:$T$61</c:f>
              <c:numCache>
                <c:formatCode>0.0000</c:formatCode>
                <c:ptCount val="10"/>
                <c:pt idx="0" formatCode="General">
                  <c:v>0.16869999999999999</c:v>
                </c:pt>
                <c:pt idx="1">
                  <c:v>0.16900000000000001</c:v>
                </c:pt>
                <c:pt idx="2" formatCode="General">
                  <c:v>0.16930000000000001</c:v>
                </c:pt>
                <c:pt idx="3">
                  <c:v>0.169566000424129</c:v>
                </c:pt>
                <c:pt idx="4">
                  <c:v>0.16976996424889601</c:v>
                </c:pt>
                <c:pt idx="5">
                  <c:v>0.16994700020072401</c:v>
                </c:pt>
                <c:pt idx="6">
                  <c:v>0.17010302191559001</c:v>
                </c:pt>
                <c:pt idx="7">
                  <c:v>0.17024221536124801</c:v>
                </c:pt>
                <c:pt idx="8">
                  <c:v>0.17036764730367701</c:v>
                </c:pt>
                <c:pt idx="9">
                  <c:v>0.17048162971373701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59D-4EB4-94AF-D2D39C795F8E}"/>
            </c:ext>
          </c:extLst>
        </c:ser>
        <c:ser>
          <c:idx val="4"/>
          <c:order val="4"/>
          <c:tx>
            <c:strRef>
              <c:f>FAHP!$J$62</c:f>
              <c:strCache>
                <c:ptCount val="1"/>
                <c:pt idx="0">
                  <c:v>NTEA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FAHP!$K$57:$T$57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FAHP!$K$62:$T$62</c:f>
              <c:numCache>
                <c:formatCode>General</c:formatCode>
                <c:ptCount val="10"/>
                <c:pt idx="0">
                  <c:v>0.1197</c:v>
                </c:pt>
                <c:pt idx="1">
                  <c:v>0.1207</c:v>
                </c:pt>
                <c:pt idx="2">
                  <c:v>0.1215</c:v>
                </c:pt>
                <c:pt idx="3" formatCode="0.0000">
                  <c:v>0.122213178673562</c:v>
                </c:pt>
                <c:pt idx="4" formatCode="0.0000">
                  <c:v>0.122811435812178</c:v>
                </c:pt>
                <c:pt idx="5" formatCode="0.0000">
                  <c:v>0.12333798979763</c:v>
                </c:pt>
                <c:pt idx="6" formatCode="0.0000">
                  <c:v>0.123807451770439</c:v>
                </c:pt>
                <c:pt idx="7" formatCode="0.0000">
                  <c:v>0.12423039975550999</c:v>
                </c:pt>
                <c:pt idx="8" formatCode="0.0000">
                  <c:v>0.124614739657723</c:v>
                </c:pt>
                <c:pt idx="9" formatCode="0.0000">
                  <c:v>0.124966535479426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59D-4EB4-94AF-D2D39C795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122839"/>
        <c:axId val="722108455"/>
      </c:lineChart>
      <c:catAx>
        <c:axId val="72212283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Weight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2108455"/>
        <c:crosses val="autoZero"/>
        <c:auto val="1"/>
        <c:lblAlgn val="ctr"/>
        <c:lblOffset val="100"/>
        <c:noMultiLvlLbl val="0"/>
      </c:catAx>
      <c:valAx>
        <c:axId val="722108455"/>
        <c:scaling>
          <c:orientation val="minMax"/>
          <c:max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Ci+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2122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Soc (C)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FAHP!$J$65</c:f>
              <c:strCache>
                <c:ptCount val="1"/>
                <c:pt idx="0">
                  <c:v>WGEA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FAHP!$K$64:$T$64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FAHP!$K$65:$T$65</c:f>
              <c:numCache>
                <c:formatCode>0.0000</c:formatCode>
                <c:ptCount val="10"/>
                <c:pt idx="0" formatCode="General">
                  <c:v>0.2329</c:v>
                </c:pt>
                <c:pt idx="1">
                  <c:v>0.23455706201453599</c:v>
                </c:pt>
                <c:pt idx="2">
                  <c:v>0.235903715846076</c:v>
                </c:pt>
                <c:pt idx="3">
                  <c:v>0.237061102282207</c:v>
                </c:pt>
                <c:pt idx="4">
                  <c:v>0.23807940974929001</c:v>
                </c:pt>
                <c:pt idx="5">
                  <c:v>0.23899055582029899</c:v>
                </c:pt>
                <c:pt idx="6">
                  <c:v>0.23981624849102401</c:v>
                </c:pt>
                <c:pt idx="7">
                  <c:v>0.24057199642287599</c:v>
                </c:pt>
                <c:pt idx="8">
                  <c:v>0.241269305881188</c:v>
                </c:pt>
                <c:pt idx="9">
                  <c:v>0.24191697379052199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88-4D3B-93EF-CC2970BAF6B1}"/>
            </c:ext>
          </c:extLst>
        </c:ser>
        <c:ser>
          <c:idx val="1"/>
          <c:order val="1"/>
          <c:tx>
            <c:strRef>
              <c:f>FAHP!$J$66</c:f>
              <c:strCache>
                <c:ptCount val="1"/>
                <c:pt idx="0">
                  <c:v>PVEA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FAHP!$K$64:$T$64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FAHP!$K$66:$T$66</c:f>
              <c:numCache>
                <c:formatCode>0.0000</c:formatCode>
                <c:ptCount val="10"/>
                <c:pt idx="0" formatCode="General">
                  <c:v>0.1699</c:v>
                </c:pt>
                <c:pt idx="1">
                  <c:v>0.171922263635962</c:v>
                </c:pt>
                <c:pt idx="2">
                  <c:v>0.17359625779524501</c:v>
                </c:pt>
                <c:pt idx="3">
                  <c:v>0.175033426463098</c:v>
                </c:pt>
                <c:pt idx="4">
                  <c:v>0.17629687428464599</c:v>
                </c:pt>
                <c:pt idx="5">
                  <c:v>0.17742666269247501</c:v>
                </c:pt>
                <c:pt idx="6">
                  <c:v>0.17844999739706199</c:v>
                </c:pt>
                <c:pt idx="7">
                  <c:v>0.17938628849198399</c:v>
                </c:pt>
                <c:pt idx="8">
                  <c:v>0.18024992016918201</c:v>
                </c:pt>
                <c:pt idx="9">
                  <c:v>0.18105187885288401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88-4D3B-93EF-CC2970BAF6B1}"/>
            </c:ext>
          </c:extLst>
        </c:ser>
        <c:ser>
          <c:idx val="2"/>
          <c:order val="2"/>
          <c:tx>
            <c:strRef>
              <c:f>FAHP!$J$67</c:f>
              <c:strCache>
                <c:ptCount val="1"/>
                <c:pt idx="0">
                  <c:v>HPEA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FAHP!$K$64:$T$64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FAHP!$K$67:$T$67</c:f>
              <c:numCache>
                <c:formatCode>0.0000</c:formatCode>
                <c:ptCount val="10"/>
                <c:pt idx="0" formatCode="General">
                  <c:v>0.30880000000000002</c:v>
                </c:pt>
                <c:pt idx="1">
                  <c:v>0.30864825124822898</c:v>
                </c:pt>
                <c:pt idx="2">
                  <c:v>0.30856848132792802</c:v>
                </c:pt>
                <c:pt idx="3">
                  <c:v>0.30851696297112202</c:v>
                </c:pt>
                <c:pt idx="4">
                  <c:v>0.30848466926245199</c:v>
                </c:pt>
                <c:pt idx="5">
                  <c:v>0.30846612313273702</c:v>
                </c:pt>
                <c:pt idx="6">
                  <c:v>0.30845776276651699</c:v>
                </c:pt>
                <c:pt idx="7">
                  <c:v>0.30845715391056</c:v>
                </c:pt>
                <c:pt idx="8">
                  <c:v>0.308462567009199</c:v>
                </c:pt>
                <c:pt idx="9">
                  <c:v>0.30847273300869799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788-4D3B-93EF-CC2970BAF6B1}"/>
            </c:ext>
          </c:extLst>
        </c:ser>
        <c:ser>
          <c:idx val="3"/>
          <c:order val="3"/>
          <c:tx>
            <c:strRef>
              <c:f>FAHP!$J$68</c:f>
              <c:strCache>
                <c:ptCount val="1"/>
                <c:pt idx="0">
                  <c:v>BGEA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FAHP!$K$64:$T$64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FAHP!$K$68:$T$68</c:f>
              <c:numCache>
                <c:formatCode>0.0000</c:formatCode>
                <c:ptCount val="10"/>
                <c:pt idx="0" formatCode="General">
                  <c:v>0.16869999999999999</c:v>
                </c:pt>
                <c:pt idx="1">
                  <c:v>0.167063198004688</c:v>
                </c:pt>
                <c:pt idx="2">
                  <c:v>0.16571606452905499</c:v>
                </c:pt>
                <c:pt idx="3">
                  <c:v>0.16455184840133399</c:v>
                </c:pt>
                <c:pt idx="4">
                  <c:v>0.16352255364042301</c:v>
                </c:pt>
                <c:pt idx="5">
                  <c:v>0.16259757937041</c:v>
                </c:pt>
                <c:pt idx="6">
                  <c:v>0.16175606479962601</c:v>
                </c:pt>
                <c:pt idx="7">
                  <c:v>0.16098307183642899</c:v>
                </c:pt>
                <c:pt idx="8">
                  <c:v>0.16026749342166499</c:v>
                </c:pt>
                <c:pt idx="9">
                  <c:v>0.15960082058783201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788-4D3B-93EF-CC2970BAF6B1}"/>
            </c:ext>
          </c:extLst>
        </c:ser>
        <c:ser>
          <c:idx val="4"/>
          <c:order val="4"/>
          <c:tx>
            <c:strRef>
              <c:f>FAHP!$J$69</c:f>
              <c:strCache>
                <c:ptCount val="1"/>
                <c:pt idx="0">
                  <c:v>NTEA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FAHP!$K$64:$T$64</c:f>
              <c:numCache>
                <c:formatCode>General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</c:numCache>
            </c:numRef>
          </c:cat>
          <c:val>
            <c:numRef>
              <c:f>FAHP!$K$69:$T$69</c:f>
              <c:numCache>
                <c:formatCode>0.0000</c:formatCode>
                <c:ptCount val="10"/>
                <c:pt idx="0" formatCode="General">
                  <c:v>0.1197</c:v>
                </c:pt>
                <c:pt idx="1">
                  <c:v>0.11780922509658499</c:v>
                </c:pt>
                <c:pt idx="2">
                  <c:v>0.116215480501696</c:v>
                </c:pt>
                <c:pt idx="3">
                  <c:v>0.114836659882239</c:v>
                </c:pt>
                <c:pt idx="4">
                  <c:v>0.11361649306318899</c:v>
                </c:pt>
                <c:pt idx="5">
                  <c:v>0.11251907898408001</c:v>
                </c:pt>
                <c:pt idx="6">
                  <c:v>0.111519926545771</c:v>
                </c:pt>
                <c:pt idx="7">
                  <c:v>0.110601489338151</c:v>
                </c:pt>
                <c:pt idx="8">
                  <c:v>0.109750713518766</c:v>
                </c:pt>
                <c:pt idx="9">
                  <c:v>0.108957593760064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788-4D3B-93EF-CC2970BAF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113911"/>
        <c:axId val="722109943"/>
      </c:lineChart>
      <c:catAx>
        <c:axId val="7221139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Weight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2109943"/>
        <c:crosses val="autoZero"/>
        <c:auto val="1"/>
        <c:lblAlgn val="ctr"/>
        <c:lblOffset val="100"/>
        <c:noMultiLvlLbl val="0"/>
      </c:catAx>
      <c:valAx>
        <c:axId val="722109943"/>
        <c:scaling>
          <c:orientation val="minMax"/>
          <c:max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Ci+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2113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image" Target="../media/image2.png"/><Relationship Id="rId4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5" Type="http://schemas.openxmlformats.org/officeDocument/2006/relationships/image" Target="../media/image3.png"/><Relationship Id="rId4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436245</xdr:colOff>
      <xdr:row>1</xdr:row>
      <xdr:rowOff>49530</xdr:rowOff>
    </xdr:from>
    <xdr:ext cx="7362238" cy="2957851"/>
    <xdr:pic>
      <xdr:nvPicPr>
        <xdr:cNvPr id="2" name="图片 1">
          <a:extLst>
            <a:ext uri="{FF2B5EF4-FFF2-40B4-BE49-F238E27FC236}">
              <a16:creationId xmlns:a16="http://schemas.microsoft.com/office/drawing/2014/main" id="{07E236E1-D66D-4C72-8076-9341EF373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07395" y="233680"/>
          <a:ext cx="7362238" cy="2957851"/>
        </a:xfrm>
        <a:prstGeom prst="rect">
          <a:avLst/>
        </a:prstGeom>
      </xdr:spPr>
    </xdr:pic>
    <xdr:clientData/>
  </xdr:oneCellAnchor>
  <xdr:oneCellAnchor>
    <xdr:from>
      <xdr:col>18</xdr:col>
      <xdr:colOff>0</xdr:colOff>
      <xdr:row>27</xdr:row>
      <xdr:rowOff>15240</xdr:rowOff>
    </xdr:from>
    <xdr:ext cx="7298738" cy="2959756"/>
    <xdr:pic>
      <xdr:nvPicPr>
        <xdr:cNvPr id="3" name="图片 2">
          <a:extLst>
            <a:ext uri="{FF2B5EF4-FFF2-40B4-BE49-F238E27FC236}">
              <a16:creationId xmlns:a16="http://schemas.microsoft.com/office/drawing/2014/main" id="{1A92A499-4463-4B4C-BA98-EA9C17379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87100" y="4987290"/>
          <a:ext cx="7298738" cy="295975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311504</xdr:colOff>
      <xdr:row>12</xdr:row>
      <xdr:rowOff>130880</xdr:rowOff>
    </xdr:from>
    <xdr:to>
      <xdr:col>27</xdr:col>
      <xdr:colOff>264584</xdr:colOff>
      <xdr:row>21</xdr:row>
      <xdr:rowOff>23636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0E9488-8214-44FC-B192-AF286E058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07948" y="2769658"/>
          <a:ext cx="5011914" cy="2094089"/>
        </a:xfrm>
        <a:prstGeom prst="rect">
          <a:avLst/>
        </a:prstGeom>
      </xdr:spPr>
    </xdr:pic>
    <xdr:clientData/>
  </xdr:twoCellAnchor>
  <xdr:twoCellAnchor>
    <xdr:from>
      <xdr:col>25</xdr:col>
      <xdr:colOff>225425</xdr:colOff>
      <xdr:row>36</xdr:row>
      <xdr:rowOff>174625</xdr:rowOff>
    </xdr:from>
    <xdr:to>
      <xdr:col>33</xdr:col>
      <xdr:colOff>234950</xdr:colOff>
      <xdr:row>53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DD23429-6B90-4595-A49D-DAEDBDD78B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358774</xdr:colOff>
      <xdr:row>36</xdr:row>
      <xdr:rowOff>177801</xdr:rowOff>
    </xdr:from>
    <xdr:to>
      <xdr:col>41</xdr:col>
      <xdr:colOff>558799</xdr:colOff>
      <xdr:row>53</xdr:row>
      <xdr:rowOff>44451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0F1300D-3764-43DD-9CB3-0E1FAE1EC3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219074</xdr:colOff>
      <xdr:row>53</xdr:row>
      <xdr:rowOff>149224</xdr:rowOff>
    </xdr:from>
    <xdr:to>
      <xdr:col>33</xdr:col>
      <xdr:colOff>234949</xdr:colOff>
      <xdr:row>69</xdr:row>
      <xdr:rowOff>12699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4BAB2E6-82D2-4E70-A526-75F290CB70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82550</xdr:colOff>
      <xdr:row>21</xdr:row>
      <xdr:rowOff>31750</xdr:rowOff>
    </xdr:from>
    <xdr:to>
      <xdr:col>27</xdr:col>
      <xdr:colOff>365125</xdr:colOff>
      <xdr:row>33</xdr:row>
      <xdr:rowOff>174625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FF0CDC-5ADF-4E44-BB2C-41192806C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2250" y="3898900"/>
          <a:ext cx="5768975" cy="23526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263524</xdr:colOff>
      <xdr:row>47</xdr:row>
      <xdr:rowOff>117474</xdr:rowOff>
    </xdr:from>
    <xdr:to>
      <xdr:col>43</xdr:col>
      <xdr:colOff>31750</xdr:colOff>
      <xdr:row>62</xdr:row>
      <xdr:rowOff>234950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38AE23-D777-4A1C-8507-535C7A3D7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43</xdr:col>
      <xdr:colOff>161924</xdr:colOff>
      <xdr:row>47</xdr:row>
      <xdr:rowOff>127000</xdr:rowOff>
    </xdr:from>
    <xdr:to>
      <xdr:col>51</xdr:col>
      <xdr:colOff>552450</xdr:colOff>
      <xdr:row>62</xdr:row>
      <xdr:rowOff>234951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96CD8AD-D992-45E7-A277-1577E534E3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45</xdr:col>
      <xdr:colOff>193675</xdr:colOff>
      <xdr:row>63</xdr:row>
      <xdr:rowOff>3174</xdr:rowOff>
    </xdr:from>
    <xdr:to>
      <xdr:col>53</xdr:col>
      <xdr:colOff>571500</xdr:colOff>
      <xdr:row>78</xdr:row>
      <xdr:rowOff>88899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5CB0DBC-4AE1-4211-A5DE-945AFF0D97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695325</xdr:colOff>
      <xdr:row>79</xdr:row>
      <xdr:rowOff>180975</xdr:rowOff>
    </xdr:from>
    <xdr:to>
      <xdr:col>9</xdr:col>
      <xdr:colOff>0</xdr:colOff>
      <xdr:row>98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22435C9-216C-D43C-D218-18FF2CAE9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590550</xdr:colOff>
      <xdr:row>80</xdr:row>
      <xdr:rowOff>28575</xdr:rowOff>
    </xdr:from>
    <xdr:to>
      <xdr:col>18</xdr:col>
      <xdr:colOff>66675</xdr:colOff>
      <xdr:row>99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EA4ACB7-AC54-4A09-BDD2-E54F381B4D65}"/>
            </a:ext>
            <a:ext uri="{147F2762-F138-4A5C-976F-8EAC2B608ADB}">
              <a16:predDERef xmlns:a16="http://schemas.microsoft.com/office/drawing/2014/main" pred="{322435C9-216C-D43C-D218-18FF2CAE9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704850</xdr:colOff>
      <xdr:row>99</xdr:row>
      <xdr:rowOff>152400</xdr:rowOff>
    </xdr:from>
    <xdr:to>
      <xdr:col>8</xdr:col>
      <xdr:colOff>609600</xdr:colOff>
      <xdr:row>118</xdr:row>
      <xdr:rowOff>57150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522C6C5-46B1-3CF2-B38F-9D868EE14003}"/>
            </a:ext>
            <a:ext uri="{147F2762-F138-4A5C-976F-8EAC2B608ADB}">
              <a16:predDERef xmlns:a16="http://schemas.microsoft.com/office/drawing/2014/main" pred="{9EA4ACB7-AC54-4A09-BDD2-E54F381B4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142875</xdr:colOff>
      <xdr:row>99</xdr:row>
      <xdr:rowOff>133350</xdr:rowOff>
    </xdr:from>
    <xdr:to>
      <xdr:col>17</xdr:col>
      <xdr:colOff>228600</xdr:colOff>
      <xdr:row>118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7FCCDDC-C6EE-A487-DAF7-5AF4A878C393}"/>
            </a:ext>
            <a:ext uri="{147F2762-F138-4A5C-976F-8EAC2B608ADB}">
              <a16:predDERef xmlns:a16="http://schemas.microsoft.com/office/drawing/2014/main" pred="{F522C6C5-46B1-3CF2-B38F-9D868EE14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457200</xdr:colOff>
      <xdr:row>57</xdr:row>
      <xdr:rowOff>66675</xdr:rowOff>
    </xdr:from>
    <xdr:to>
      <xdr:col>18</xdr:col>
      <xdr:colOff>200025</xdr:colOff>
      <xdr:row>74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6EFF715-CEF0-CD2D-2CCF-E571A3DCF7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304800</xdr:colOff>
      <xdr:row>57</xdr:row>
      <xdr:rowOff>76200</xdr:rowOff>
    </xdr:from>
    <xdr:to>
      <xdr:col>26</xdr:col>
      <xdr:colOff>200025</xdr:colOff>
      <xdr:row>74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DCD541B-2A59-D566-4C4D-3FE0A54B5105}"/>
            </a:ext>
            <a:ext uri="{147F2762-F138-4A5C-976F-8EAC2B608ADB}">
              <a16:predDERef xmlns:a16="http://schemas.microsoft.com/office/drawing/2014/main" pred="{66EFF715-CEF0-CD2D-2CCF-E571A3DCF7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428625</xdr:colOff>
      <xdr:row>74</xdr:row>
      <xdr:rowOff>161925</xdr:rowOff>
    </xdr:from>
    <xdr:to>
      <xdr:col>18</xdr:col>
      <xdr:colOff>200025</xdr:colOff>
      <xdr:row>91</xdr:row>
      <xdr:rowOff>171450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90B43D6-6C9E-3BF5-4D5F-5B8931A5793D}"/>
            </a:ext>
            <a:ext uri="{147F2762-F138-4A5C-976F-8EAC2B608ADB}">
              <a16:predDERef xmlns:a16="http://schemas.microsoft.com/office/drawing/2014/main" pred="{8DCD541B-2A59-D566-4C4D-3FE0A54B51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323850</xdr:colOff>
      <xdr:row>74</xdr:row>
      <xdr:rowOff>161925</xdr:rowOff>
    </xdr:from>
    <xdr:to>
      <xdr:col>26</xdr:col>
      <xdr:colOff>209550</xdr:colOff>
      <xdr:row>92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4B0699C-8614-F707-7FD3-BCCC67C4849F}"/>
            </a:ext>
            <a:ext uri="{147F2762-F138-4A5C-976F-8EAC2B608ADB}">
              <a16:predDERef xmlns:a16="http://schemas.microsoft.com/office/drawing/2014/main" pred="{D90B43D6-6C9E-3BF5-4D5F-5B8931A579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24</xdr:col>
      <xdr:colOff>0</xdr:colOff>
      <xdr:row>7</xdr:row>
      <xdr:rowOff>0</xdr:rowOff>
    </xdr:from>
    <xdr:to>
      <xdr:col>39</xdr:col>
      <xdr:colOff>488515</xdr:colOff>
      <xdr:row>41</xdr:row>
      <xdr:rowOff>88961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A2A597-5099-4733-29B2-A3B537E38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154400" y="1333500"/>
          <a:ext cx="9632515" cy="656596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400050</xdr:colOff>
      <xdr:row>15</xdr:row>
      <xdr:rowOff>42862</xdr:rowOff>
    </xdr:from>
    <xdr:to>
      <xdr:col>40</xdr:col>
      <xdr:colOff>561975</xdr:colOff>
      <xdr:row>36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249349-E5A9-67D9-9820-36E648742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390525</xdr:colOff>
      <xdr:row>36</xdr:row>
      <xdr:rowOff>114300</xdr:rowOff>
    </xdr:from>
    <xdr:to>
      <xdr:col>40</xdr:col>
      <xdr:colOff>552450</xdr:colOff>
      <xdr:row>57</xdr:row>
      <xdr:rowOff>71438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6A1B81-74E5-4DA6-9976-4FACC7FEE056}"/>
            </a:ext>
            <a:ext uri="{147F2762-F138-4A5C-976F-8EAC2B608ADB}">
              <a16:predDERef xmlns:a16="http://schemas.microsoft.com/office/drawing/2014/main" pred="{5F249349-E5A9-67D9-9820-36E648742A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41</xdr:col>
      <xdr:colOff>47625</xdr:colOff>
      <xdr:row>15</xdr:row>
      <xdr:rowOff>38100</xdr:rowOff>
    </xdr:from>
    <xdr:to>
      <xdr:col>50</xdr:col>
      <xdr:colOff>209550</xdr:colOff>
      <xdr:row>35</xdr:row>
      <xdr:rowOff>185738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E6D5C5E-0C9F-46F0-8485-9840F08EE0B0}"/>
            </a:ext>
            <a:ext uri="{147F2762-F138-4A5C-976F-8EAC2B608ADB}">
              <a16:predDERef xmlns:a16="http://schemas.microsoft.com/office/drawing/2014/main" pred="{4F6A1B81-74E5-4DA6-9976-4FACC7FEE0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41</xdr:col>
      <xdr:colOff>66675</xdr:colOff>
      <xdr:row>36</xdr:row>
      <xdr:rowOff>104775</xdr:rowOff>
    </xdr:from>
    <xdr:to>
      <xdr:col>50</xdr:col>
      <xdr:colOff>228600</xdr:colOff>
      <xdr:row>57</xdr:row>
      <xdr:rowOff>61913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9DCB1EC-2B41-4588-9D30-B102C692E6B8}"/>
            </a:ext>
            <a:ext uri="{147F2762-F138-4A5C-976F-8EAC2B608ADB}">
              <a16:predDERef xmlns:a16="http://schemas.microsoft.com/office/drawing/2014/main" pred="{1E6D5C5E-0C9F-46F0-8485-9840F08EE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32</xdr:col>
      <xdr:colOff>0</xdr:colOff>
      <xdr:row>61</xdr:row>
      <xdr:rowOff>0</xdr:rowOff>
    </xdr:from>
    <xdr:to>
      <xdr:col>47</xdr:col>
      <xdr:colOff>262943</xdr:colOff>
      <xdr:row>95</xdr:row>
      <xdr:rowOff>143830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5DDDFBE-3B6D-EAD8-3862-8065AB2BC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564475" y="11620500"/>
          <a:ext cx="9406943" cy="6620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6A8A5-5CE4-41C7-ABC8-287511CC0E40}">
  <dimension ref="A1:Q60"/>
  <sheetViews>
    <sheetView workbookViewId="0">
      <selection activeCell="C13" sqref="C13"/>
    </sheetView>
  </sheetViews>
  <sheetFormatPr defaultColWidth="8.81640625" defaultRowHeight="14.5"/>
  <cols>
    <col min="1" max="1" width="10.26953125" style="99" customWidth="1"/>
    <col min="2" max="2" width="8.81640625" style="99"/>
    <col min="3" max="3" width="11" style="99" customWidth="1"/>
    <col min="4" max="4" width="12.1796875" style="99" customWidth="1"/>
    <col min="5" max="5" width="9.81640625" style="99" customWidth="1"/>
    <col min="6" max="7" width="8.81640625" style="99"/>
    <col min="8" max="8" width="11.1796875" style="99" customWidth="1"/>
    <col min="9" max="10" width="10.7265625" style="99" customWidth="1"/>
    <col min="11" max="13" width="8.81640625" style="99"/>
    <col min="14" max="14" width="11.81640625" style="99" customWidth="1"/>
    <col min="15" max="15" width="8.81640625" style="99"/>
    <col min="16" max="16" width="12.54296875" style="99" customWidth="1"/>
    <col min="17" max="16384" width="8.81640625" style="99"/>
  </cols>
  <sheetData>
    <row r="1" spans="1:17" ht="29.5" thickBot="1">
      <c r="A1" s="433" t="s">
        <v>374</v>
      </c>
    </row>
    <row r="2" spans="1:17" ht="42">
      <c r="B2" s="423" t="s">
        <v>373</v>
      </c>
      <c r="C2" s="422" t="s">
        <v>385</v>
      </c>
      <c r="D2" s="422" t="s">
        <v>384</v>
      </c>
      <c r="E2" s="421" t="s">
        <v>391</v>
      </c>
      <c r="G2" s="423" t="s">
        <v>370</v>
      </c>
      <c r="H2" s="422" t="s">
        <v>382</v>
      </c>
      <c r="I2" s="422" t="s">
        <v>381</v>
      </c>
      <c r="J2" s="421" t="s">
        <v>380</v>
      </c>
      <c r="M2" s="432"/>
      <c r="N2" s="431" t="s">
        <v>366</v>
      </c>
      <c r="O2" s="431" t="s">
        <v>365</v>
      </c>
      <c r="P2" s="431" t="s">
        <v>364</v>
      </c>
      <c r="Q2" s="430" t="s">
        <v>363</v>
      </c>
    </row>
    <row r="3" spans="1:17">
      <c r="B3" s="419" t="s">
        <v>362</v>
      </c>
      <c r="C3" s="24" t="s">
        <v>338</v>
      </c>
      <c r="D3" s="24" t="s">
        <v>388</v>
      </c>
      <c r="E3" s="418" t="s">
        <v>341</v>
      </c>
      <c r="G3" s="419" t="s">
        <v>361</v>
      </c>
      <c r="H3" s="24" t="s">
        <v>338</v>
      </c>
      <c r="I3" s="24" t="s">
        <v>388</v>
      </c>
      <c r="J3" s="418" t="s">
        <v>388</v>
      </c>
      <c r="M3" s="429" t="s">
        <v>241</v>
      </c>
      <c r="N3" s="414" t="s">
        <v>20</v>
      </c>
      <c r="O3" s="414" t="s">
        <v>390</v>
      </c>
      <c r="P3" s="414" t="s">
        <v>360</v>
      </c>
      <c r="Q3" s="428" t="s">
        <v>341</v>
      </c>
    </row>
    <row r="4" spans="1:17">
      <c r="B4" s="419" t="s">
        <v>359</v>
      </c>
      <c r="C4" s="24"/>
      <c r="D4" s="24" t="s">
        <v>338</v>
      </c>
      <c r="E4" s="418" t="s">
        <v>341</v>
      </c>
      <c r="G4" s="419" t="s">
        <v>358</v>
      </c>
      <c r="H4" s="24"/>
      <c r="I4" s="24" t="s">
        <v>338</v>
      </c>
      <c r="J4" s="418" t="s">
        <v>344</v>
      </c>
      <c r="M4" s="429" t="s">
        <v>242</v>
      </c>
      <c r="N4" s="414"/>
      <c r="O4" s="414" t="s">
        <v>20</v>
      </c>
      <c r="P4" s="414" t="s">
        <v>344</v>
      </c>
      <c r="Q4" s="428" t="s">
        <v>389</v>
      </c>
    </row>
    <row r="5" spans="1:17" ht="15" thickBot="1">
      <c r="B5" s="417" t="s">
        <v>356</v>
      </c>
      <c r="C5" s="416"/>
      <c r="D5" s="416"/>
      <c r="E5" s="415" t="s">
        <v>338</v>
      </c>
      <c r="G5" s="417" t="s">
        <v>355</v>
      </c>
      <c r="H5" s="416"/>
      <c r="I5" s="416"/>
      <c r="J5" s="415" t="s">
        <v>338</v>
      </c>
      <c r="M5" s="429" t="s">
        <v>243</v>
      </c>
      <c r="N5" s="414"/>
      <c r="O5" s="414"/>
      <c r="P5" s="414" t="s">
        <v>20</v>
      </c>
      <c r="Q5" s="428" t="s">
        <v>344</v>
      </c>
    </row>
    <row r="6" spans="1:17" ht="15" thickBot="1">
      <c r="B6" s="24"/>
      <c r="C6" s="24"/>
      <c r="D6" s="24"/>
      <c r="E6" s="24"/>
      <c r="G6" s="24"/>
      <c r="H6" s="24"/>
      <c r="I6" s="24"/>
      <c r="J6" s="24"/>
      <c r="M6" s="427" t="s">
        <v>244</v>
      </c>
      <c r="N6" s="426"/>
      <c r="O6" s="426"/>
      <c r="P6" s="426"/>
      <c r="Q6" s="425" t="s">
        <v>20</v>
      </c>
    </row>
    <row r="7" spans="1:17" ht="15" thickBot="1">
      <c r="B7" s="24"/>
      <c r="C7" s="24"/>
      <c r="D7" s="24"/>
      <c r="E7" s="24"/>
      <c r="G7" s="24"/>
      <c r="H7" s="24"/>
      <c r="I7" s="24"/>
      <c r="J7" s="24"/>
      <c r="M7" s="414"/>
      <c r="N7" s="414"/>
      <c r="O7" s="414"/>
      <c r="P7" s="414"/>
      <c r="Q7" s="414"/>
    </row>
    <row r="8" spans="1:17" ht="42">
      <c r="B8" s="423" t="s">
        <v>354</v>
      </c>
      <c r="C8" s="422" t="s">
        <v>379</v>
      </c>
      <c r="D8" s="422" t="s">
        <v>378</v>
      </c>
      <c r="E8" s="421" t="s">
        <v>377</v>
      </c>
      <c r="G8" s="423" t="s">
        <v>351</v>
      </c>
      <c r="H8" s="422" t="s">
        <v>376</v>
      </c>
      <c r="I8" s="422" t="s">
        <v>349</v>
      </c>
      <c r="J8" s="421" t="s">
        <v>375</v>
      </c>
      <c r="M8" s="414"/>
      <c r="N8" s="420"/>
      <c r="O8" s="420"/>
      <c r="P8" s="420"/>
      <c r="Q8" s="420"/>
    </row>
    <row r="9" spans="1:17">
      <c r="B9" s="419" t="s">
        <v>347</v>
      </c>
      <c r="C9" s="24" t="s">
        <v>338</v>
      </c>
      <c r="D9" s="24" t="s">
        <v>344</v>
      </c>
      <c r="E9" s="418" t="s">
        <v>344</v>
      </c>
      <c r="G9" s="419" t="s">
        <v>345</v>
      </c>
      <c r="H9" s="24" t="s">
        <v>338</v>
      </c>
      <c r="I9" s="24" t="s">
        <v>344</v>
      </c>
      <c r="J9" s="418" t="s">
        <v>388</v>
      </c>
      <c r="M9" s="414"/>
      <c r="N9" s="414"/>
      <c r="O9" s="414"/>
      <c r="P9" s="414"/>
      <c r="Q9" s="414"/>
    </row>
    <row r="10" spans="1:17">
      <c r="B10" s="419" t="s">
        <v>343</v>
      </c>
      <c r="C10" s="24"/>
      <c r="D10" s="24" t="s">
        <v>338</v>
      </c>
      <c r="E10" s="418" t="s">
        <v>341</v>
      </c>
      <c r="G10" s="419" t="s">
        <v>342</v>
      </c>
      <c r="H10" s="24"/>
      <c r="I10" s="24" t="s">
        <v>338</v>
      </c>
      <c r="J10" s="418" t="s">
        <v>344</v>
      </c>
      <c r="M10" s="414"/>
      <c r="N10" s="414"/>
      <c r="O10" s="414"/>
      <c r="P10" s="414"/>
      <c r="Q10" s="414"/>
    </row>
    <row r="11" spans="1:17" ht="15" thickBot="1">
      <c r="B11" s="417" t="s">
        <v>340</v>
      </c>
      <c r="C11" s="416"/>
      <c r="D11" s="416"/>
      <c r="E11" s="415" t="s">
        <v>338</v>
      </c>
      <c r="G11" s="417" t="s">
        <v>339</v>
      </c>
      <c r="H11" s="416"/>
      <c r="I11" s="416"/>
      <c r="J11" s="415" t="s">
        <v>338</v>
      </c>
      <c r="M11" s="414"/>
      <c r="N11" s="414"/>
      <c r="O11" s="414"/>
      <c r="P11" s="414"/>
      <c r="Q11" s="414"/>
    </row>
    <row r="12" spans="1:17">
      <c r="B12" s="24"/>
      <c r="C12" s="24"/>
      <c r="D12" s="24"/>
      <c r="E12" s="24"/>
      <c r="M12" s="414"/>
      <c r="N12" s="414"/>
      <c r="O12" s="414"/>
      <c r="P12" s="414"/>
      <c r="Q12" s="414"/>
    </row>
    <row r="14" spans="1:17" ht="29.5" thickBot="1">
      <c r="A14" s="436" t="s">
        <v>387</v>
      </c>
    </row>
    <row r="15" spans="1:17" ht="42">
      <c r="B15" s="423" t="s">
        <v>373</v>
      </c>
      <c r="C15" s="422" t="s">
        <v>385</v>
      </c>
      <c r="D15" s="422" t="s">
        <v>384</v>
      </c>
      <c r="E15" s="421" t="s">
        <v>383</v>
      </c>
      <c r="G15" s="423" t="s">
        <v>370</v>
      </c>
      <c r="H15" s="422" t="s">
        <v>382</v>
      </c>
      <c r="I15" s="422" t="s">
        <v>381</v>
      </c>
      <c r="J15" s="421" t="s">
        <v>380</v>
      </c>
      <c r="M15" s="432"/>
      <c r="N15" s="431" t="s">
        <v>366</v>
      </c>
      <c r="O15" s="431" t="s">
        <v>365</v>
      </c>
      <c r="P15" s="431" t="s">
        <v>364</v>
      </c>
      <c r="Q15" s="430" t="s">
        <v>363</v>
      </c>
    </row>
    <row r="16" spans="1:17">
      <c r="B16" s="419" t="s">
        <v>362</v>
      </c>
      <c r="C16" s="24" t="s">
        <v>338</v>
      </c>
      <c r="D16" s="24"/>
      <c r="E16" s="418"/>
      <c r="G16" s="419" t="s">
        <v>361</v>
      </c>
      <c r="H16" s="24" t="s">
        <v>338</v>
      </c>
      <c r="I16" s="24"/>
      <c r="J16" s="418"/>
      <c r="M16" s="429" t="s">
        <v>241</v>
      </c>
      <c r="N16" s="414" t="s">
        <v>20</v>
      </c>
      <c r="O16" s="414"/>
      <c r="P16" s="414"/>
      <c r="Q16" s="428"/>
    </row>
    <row r="17" spans="1:17">
      <c r="B17" s="419" t="s">
        <v>359</v>
      </c>
      <c r="C17" s="24"/>
      <c r="D17" s="24" t="s">
        <v>338</v>
      </c>
      <c r="E17" s="418"/>
      <c r="G17" s="419" t="s">
        <v>358</v>
      </c>
      <c r="H17" s="24"/>
      <c r="I17" s="24" t="s">
        <v>338</v>
      </c>
      <c r="J17" s="418"/>
      <c r="M17" s="429" t="s">
        <v>242</v>
      </c>
      <c r="N17" s="414"/>
      <c r="O17" s="414" t="s">
        <v>20</v>
      </c>
      <c r="P17" s="414"/>
      <c r="Q17" s="428"/>
    </row>
    <row r="18" spans="1:17" ht="15" thickBot="1">
      <c r="B18" s="417" t="s">
        <v>356</v>
      </c>
      <c r="C18" s="416"/>
      <c r="D18" s="416"/>
      <c r="E18" s="415" t="s">
        <v>338</v>
      </c>
      <c r="G18" s="417" t="s">
        <v>355</v>
      </c>
      <c r="H18" s="416"/>
      <c r="I18" s="416"/>
      <c r="J18" s="415" t="s">
        <v>338</v>
      </c>
      <c r="M18" s="429" t="s">
        <v>243</v>
      </c>
      <c r="N18" s="414"/>
      <c r="O18" s="414"/>
      <c r="P18" s="414" t="s">
        <v>20</v>
      </c>
      <c r="Q18" s="428"/>
    </row>
    <row r="19" spans="1:17" ht="15" thickBot="1">
      <c r="B19" s="24"/>
      <c r="C19" s="24"/>
      <c r="D19" s="24"/>
      <c r="E19" s="24"/>
      <c r="G19" s="24"/>
      <c r="H19" s="24"/>
      <c r="I19" s="24"/>
      <c r="J19" s="24"/>
      <c r="M19" s="427" t="s">
        <v>244</v>
      </c>
      <c r="N19" s="426"/>
      <c r="O19" s="426"/>
      <c r="P19" s="426"/>
      <c r="Q19" s="425" t="s">
        <v>20</v>
      </c>
    </row>
    <row r="20" spans="1:17" ht="15" thickBot="1">
      <c r="M20" s="414"/>
      <c r="N20" s="414"/>
      <c r="O20" s="414"/>
      <c r="P20" s="414"/>
      <c r="Q20" s="414"/>
    </row>
    <row r="21" spans="1:17" ht="42">
      <c r="B21" s="423" t="s">
        <v>354</v>
      </c>
      <c r="C21" s="422" t="s">
        <v>379</v>
      </c>
      <c r="D21" s="422" t="s">
        <v>378</v>
      </c>
      <c r="E21" s="421" t="s">
        <v>377</v>
      </c>
      <c r="G21" s="423" t="s">
        <v>351</v>
      </c>
      <c r="H21" s="422" t="s">
        <v>376</v>
      </c>
      <c r="I21" s="422" t="s">
        <v>349</v>
      </c>
      <c r="J21" s="421" t="s">
        <v>375</v>
      </c>
      <c r="M21" s="414"/>
      <c r="N21" s="420"/>
      <c r="O21" s="420"/>
      <c r="P21" s="420"/>
      <c r="Q21" s="420"/>
    </row>
    <row r="22" spans="1:17">
      <c r="B22" s="419" t="s">
        <v>347</v>
      </c>
      <c r="C22" s="24" t="s">
        <v>338</v>
      </c>
      <c r="D22" s="24"/>
      <c r="E22" s="418"/>
      <c r="G22" s="419" t="s">
        <v>345</v>
      </c>
      <c r="H22" s="24" t="s">
        <v>338</v>
      </c>
      <c r="I22" s="24"/>
      <c r="J22" s="418"/>
      <c r="M22" s="414"/>
      <c r="N22" s="414"/>
      <c r="O22" s="414"/>
      <c r="P22" s="414"/>
      <c r="Q22" s="414"/>
    </row>
    <row r="23" spans="1:17">
      <c r="B23" s="419" t="s">
        <v>343</v>
      </c>
      <c r="C23" s="24"/>
      <c r="D23" s="24" t="s">
        <v>338</v>
      </c>
      <c r="E23" s="418"/>
      <c r="G23" s="419" t="s">
        <v>342</v>
      </c>
      <c r="H23" s="24"/>
      <c r="I23" s="24" t="s">
        <v>338</v>
      </c>
      <c r="J23" s="418"/>
      <c r="M23" s="414"/>
      <c r="N23" s="414"/>
      <c r="O23" s="414"/>
      <c r="P23" s="414"/>
      <c r="Q23" s="414"/>
    </row>
    <row r="24" spans="1:17" ht="15" thickBot="1">
      <c r="B24" s="417" t="s">
        <v>340</v>
      </c>
      <c r="C24" s="416"/>
      <c r="D24" s="416"/>
      <c r="E24" s="415" t="s">
        <v>338</v>
      </c>
      <c r="G24" s="417" t="s">
        <v>339</v>
      </c>
      <c r="H24" s="416"/>
      <c r="I24" s="416"/>
      <c r="J24" s="415" t="s">
        <v>338</v>
      </c>
      <c r="M24" s="414"/>
      <c r="N24" s="414"/>
      <c r="O24" s="414"/>
      <c r="P24" s="414"/>
      <c r="Q24" s="414"/>
    </row>
    <row r="25" spans="1:17">
      <c r="M25" s="414"/>
      <c r="N25" s="414"/>
      <c r="O25" s="414"/>
      <c r="P25" s="414"/>
      <c r="Q25" s="414"/>
    </row>
    <row r="26" spans="1:17">
      <c r="M26" s="414"/>
      <c r="N26" s="414"/>
      <c r="O26" s="414"/>
      <c r="P26" s="414"/>
      <c r="Q26" s="414"/>
    </row>
    <row r="27" spans="1:17" ht="29.5" thickBot="1">
      <c r="A27" s="435" t="s">
        <v>386</v>
      </c>
    </row>
    <row r="28" spans="1:17" ht="42">
      <c r="B28" s="423" t="s">
        <v>373</v>
      </c>
      <c r="C28" s="422" t="s">
        <v>385</v>
      </c>
      <c r="D28" s="422" t="s">
        <v>384</v>
      </c>
      <c r="E28" s="421" t="s">
        <v>383</v>
      </c>
      <c r="G28" s="423" t="s">
        <v>370</v>
      </c>
      <c r="H28" s="422" t="s">
        <v>382</v>
      </c>
      <c r="I28" s="422" t="s">
        <v>381</v>
      </c>
      <c r="J28" s="421" t="s">
        <v>380</v>
      </c>
      <c r="M28" s="432" t="s">
        <v>242</v>
      </c>
      <c r="N28" s="431" t="s">
        <v>366</v>
      </c>
      <c r="O28" s="431" t="s">
        <v>365</v>
      </c>
      <c r="P28" s="431" t="s">
        <v>364</v>
      </c>
      <c r="Q28" s="430" t="s">
        <v>363</v>
      </c>
    </row>
    <row r="29" spans="1:17">
      <c r="A29" s="434"/>
      <c r="B29" s="419" t="s">
        <v>362</v>
      </c>
      <c r="C29" s="24" t="s">
        <v>338</v>
      </c>
      <c r="D29" s="24"/>
      <c r="E29" s="418"/>
      <c r="G29" s="419" t="s">
        <v>361</v>
      </c>
      <c r="H29" s="24" t="s">
        <v>338</v>
      </c>
      <c r="I29" s="24"/>
      <c r="J29" s="418"/>
      <c r="M29" s="429" t="s">
        <v>241</v>
      </c>
      <c r="N29" s="414" t="s">
        <v>20</v>
      </c>
      <c r="O29" s="414"/>
      <c r="P29" s="414"/>
      <c r="Q29" s="428"/>
    </row>
    <row r="30" spans="1:17">
      <c r="B30" s="419" t="s">
        <v>359</v>
      </c>
      <c r="C30" s="24"/>
      <c r="D30" s="24" t="s">
        <v>338</v>
      </c>
      <c r="E30" s="418"/>
      <c r="G30" s="419" t="s">
        <v>358</v>
      </c>
      <c r="H30" s="24"/>
      <c r="I30" s="24" t="s">
        <v>338</v>
      </c>
      <c r="J30" s="418"/>
      <c r="M30" s="429" t="s">
        <v>242</v>
      </c>
      <c r="N30" s="414"/>
      <c r="O30" s="414" t="s">
        <v>20</v>
      </c>
      <c r="P30" s="414"/>
      <c r="Q30" s="428"/>
    </row>
    <row r="31" spans="1:17" ht="15" thickBot="1">
      <c r="B31" s="417" t="s">
        <v>356</v>
      </c>
      <c r="C31" s="416"/>
      <c r="D31" s="416"/>
      <c r="E31" s="415" t="s">
        <v>338</v>
      </c>
      <c r="G31" s="417" t="s">
        <v>355</v>
      </c>
      <c r="H31" s="416"/>
      <c r="I31" s="416"/>
      <c r="J31" s="415" t="s">
        <v>338</v>
      </c>
      <c r="M31" s="429" t="s">
        <v>243</v>
      </c>
      <c r="N31" s="414"/>
      <c r="O31" s="414"/>
      <c r="P31" s="414" t="s">
        <v>20</v>
      </c>
      <c r="Q31" s="428"/>
    </row>
    <row r="32" spans="1:17" ht="15" thickBot="1">
      <c r="B32" s="24"/>
      <c r="C32" s="24"/>
      <c r="D32" s="24"/>
      <c r="E32" s="24"/>
      <c r="G32" s="24"/>
      <c r="H32" s="24"/>
      <c r="I32" s="24"/>
      <c r="J32" s="24"/>
      <c r="M32" s="427" t="s">
        <v>244</v>
      </c>
      <c r="N32" s="426"/>
      <c r="O32" s="426"/>
      <c r="P32" s="426"/>
      <c r="Q32" s="425" t="s">
        <v>20</v>
      </c>
    </row>
    <row r="33" spans="2:17" ht="15" thickBot="1">
      <c r="M33" s="414"/>
      <c r="N33" s="414"/>
      <c r="O33" s="414"/>
      <c r="P33" s="414"/>
      <c r="Q33" s="414"/>
    </row>
    <row r="34" spans="2:17" ht="42">
      <c r="B34" s="423" t="s">
        <v>354</v>
      </c>
      <c r="C34" s="422" t="s">
        <v>379</v>
      </c>
      <c r="D34" s="422" t="s">
        <v>378</v>
      </c>
      <c r="E34" s="421" t="s">
        <v>377</v>
      </c>
      <c r="G34" s="423" t="s">
        <v>351</v>
      </c>
      <c r="H34" s="422" t="s">
        <v>376</v>
      </c>
      <c r="I34" s="422" t="s">
        <v>349</v>
      </c>
      <c r="J34" s="421" t="s">
        <v>375</v>
      </c>
      <c r="M34" s="414"/>
      <c r="N34" s="420"/>
      <c r="O34" s="420"/>
      <c r="P34" s="420"/>
      <c r="Q34" s="420"/>
    </row>
    <row r="35" spans="2:17">
      <c r="B35" s="419" t="s">
        <v>347</v>
      </c>
      <c r="C35" s="24" t="s">
        <v>338</v>
      </c>
      <c r="D35" s="24"/>
      <c r="E35" s="418"/>
      <c r="G35" s="419" t="s">
        <v>345</v>
      </c>
      <c r="H35" s="24" t="s">
        <v>338</v>
      </c>
      <c r="I35" s="24"/>
      <c r="J35" s="418"/>
      <c r="M35" s="414"/>
      <c r="N35" s="414"/>
      <c r="O35" s="414"/>
      <c r="P35" s="414"/>
      <c r="Q35" s="414"/>
    </row>
    <row r="36" spans="2:17">
      <c r="B36" s="419" t="s">
        <v>343</v>
      </c>
      <c r="C36" s="24"/>
      <c r="D36" s="24" t="s">
        <v>338</v>
      </c>
      <c r="E36" s="418"/>
      <c r="G36" s="419" t="s">
        <v>342</v>
      </c>
      <c r="H36" s="24"/>
      <c r="I36" s="24" t="s">
        <v>338</v>
      </c>
      <c r="J36" s="418"/>
      <c r="M36" s="414"/>
      <c r="N36" s="414"/>
      <c r="O36" s="414"/>
      <c r="P36" s="414"/>
      <c r="Q36" s="414"/>
    </row>
    <row r="37" spans="2:17" ht="15" thickBot="1">
      <c r="B37" s="417" t="s">
        <v>340</v>
      </c>
      <c r="C37" s="416"/>
      <c r="D37" s="416"/>
      <c r="E37" s="415" t="s">
        <v>338</v>
      </c>
      <c r="G37" s="417" t="s">
        <v>339</v>
      </c>
      <c r="H37" s="416"/>
      <c r="I37" s="416"/>
      <c r="J37" s="415" t="s">
        <v>338</v>
      </c>
      <c r="M37" s="414"/>
      <c r="N37" s="414"/>
      <c r="O37" s="414"/>
      <c r="P37" s="414"/>
      <c r="Q37" s="414"/>
    </row>
    <row r="38" spans="2:17">
      <c r="M38" s="414"/>
      <c r="N38" s="414"/>
      <c r="O38" s="414"/>
      <c r="P38" s="414"/>
      <c r="Q38" s="414"/>
    </row>
    <row r="49" spans="1:17" ht="29.5" thickBot="1">
      <c r="A49" s="433" t="s">
        <v>374</v>
      </c>
    </row>
    <row r="50" spans="1:17" ht="56">
      <c r="B50" s="423" t="s">
        <v>373</v>
      </c>
      <c r="C50" s="422" t="s">
        <v>372</v>
      </c>
      <c r="D50" s="421" t="s">
        <v>371</v>
      </c>
      <c r="E50" s="424"/>
      <c r="G50" s="423" t="s">
        <v>370</v>
      </c>
      <c r="H50" s="422" t="s">
        <v>369</v>
      </c>
      <c r="I50" s="422" t="s">
        <v>368</v>
      </c>
      <c r="J50" s="421" t="s">
        <v>367</v>
      </c>
      <c r="M50" s="432" t="s">
        <v>242</v>
      </c>
      <c r="N50" s="431" t="s">
        <v>366</v>
      </c>
      <c r="O50" s="431" t="s">
        <v>365</v>
      </c>
      <c r="P50" s="431" t="s">
        <v>364</v>
      </c>
      <c r="Q50" s="430" t="s">
        <v>363</v>
      </c>
    </row>
    <row r="51" spans="1:17">
      <c r="B51" s="419" t="s">
        <v>362</v>
      </c>
      <c r="C51" s="24" t="s">
        <v>338</v>
      </c>
      <c r="D51" s="418" t="s">
        <v>341</v>
      </c>
      <c r="E51" s="24"/>
      <c r="G51" s="419" t="s">
        <v>361</v>
      </c>
      <c r="H51" s="24" t="s">
        <v>338</v>
      </c>
      <c r="I51" s="24" t="s">
        <v>360</v>
      </c>
      <c r="J51" s="418" t="s">
        <v>346</v>
      </c>
      <c r="M51" s="429" t="s">
        <v>241</v>
      </c>
      <c r="N51" s="414" t="s">
        <v>20</v>
      </c>
      <c r="O51" s="414" t="s">
        <v>341</v>
      </c>
      <c r="P51" s="414" t="s">
        <v>360</v>
      </c>
      <c r="Q51" s="428" t="s">
        <v>341</v>
      </c>
    </row>
    <row r="52" spans="1:17">
      <c r="B52" s="419" t="s">
        <v>359</v>
      </c>
      <c r="C52" s="24"/>
      <c r="D52" s="418" t="s">
        <v>338</v>
      </c>
      <c r="E52" s="24"/>
      <c r="G52" s="419" t="s">
        <v>358</v>
      </c>
      <c r="H52" s="24"/>
      <c r="I52" s="24" t="s">
        <v>338</v>
      </c>
      <c r="J52" s="418" t="s">
        <v>344</v>
      </c>
      <c r="M52" s="429" t="s">
        <v>242</v>
      </c>
      <c r="N52" s="414"/>
      <c r="O52" s="414" t="s">
        <v>20</v>
      </c>
      <c r="P52" s="414" t="s">
        <v>344</v>
      </c>
      <c r="Q52" s="428" t="s">
        <v>357</v>
      </c>
    </row>
    <row r="53" spans="1:17" ht="15" thickBot="1">
      <c r="B53" s="417" t="s">
        <v>356</v>
      </c>
      <c r="C53" s="416"/>
      <c r="D53" s="415"/>
      <c r="E53" s="24"/>
      <c r="G53" s="417" t="s">
        <v>355</v>
      </c>
      <c r="H53" s="416"/>
      <c r="I53" s="416"/>
      <c r="J53" s="415" t="s">
        <v>338</v>
      </c>
      <c r="M53" s="429" t="s">
        <v>243</v>
      </c>
      <c r="N53" s="414"/>
      <c r="O53" s="414"/>
      <c r="P53" s="414" t="s">
        <v>20</v>
      </c>
      <c r="Q53" s="428" t="s">
        <v>344</v>
      </c>
    </row>
    <row r="54" spans="1:17" ht="15" thickBot="1">
      <c r="B54" s="24"/>
      <c r="C54" s="24"/>
      <c r="D54" s="24"/>
      <c r="E54" s="24"/>
      <c r="G54" s="24"/>
      <c r="H54" s="24"/>
      <c r="I54" s="24"/>
      <c r="J54" s="24"/>
      <c r="M54" s="427" t="s">
        <v>244</v>
      </c>
      <c r="N54" s="426"/>
      <c r="O54" s="426"/>
      <c r="P54" s="426"/>
      <c r="Q54" s="425" t="s">
        <v>20</v>
      </c>
    </row>
    <row r="55" spans="1:17" ht="15" thickBot="1">
      <c r="M55" s="414"/>
      <c r="N55" s="414"/>
      <c r="O55" s="414"/>
      <c r="P55" s="414"/>
      <c r="Q55" s="414"/>
    </row>
    <row r="56" spans="1:17" ht="42">
      <c r="B56" s="423" t="s">
        <v>354</v>
      </c>
      <c r="C56" s="422" t="s">
        <v>353</v>
      </c>
      <c r="D56" s="421" t="s">
        <v>352</v>
      </c>
      <c r="E56" s="424"/>
      <c r="G56" s="423" t="s">
        <v>351</v>
      </c>
      <c r="H56" s="422" t="s">
        <v>350</v>
      </c>
      <c r="I56" s="422" t="s">
        <v>349</v>
      </c>
      <c r="J56" s="421" t="s">
        <v>348</v>
      </c>
      <c r="M56" s="414"/>
      <c r="N56" s="420"/>
      <c r="O56" s="420"/>
      <c r="P56" s="420"/>
      <c r="Q56" s="420"/>
    </row>
    <row r="57" spans="1:17">
      <c r="B57" s="419" t="s">
        <v>347</v>
      </c>
      <c r="C57" s="24" t="s">
        <v>338</v>
      </c>
      <c r="D57" s="418" t="s">
        <v>346</v>
      </c>
      <c r="E57" s="24"/>
      <c r="G57" s="419" t="s">
        <v>345</v>
      </c>
      <c r="H57" s="24" t="s">
        <v>338</v>
      </c>
      <c r="I57" s="24" t="s">
        <v>344</v>
      </c>
      <c r="J57" s="418" t="s">
        <v>344</v>
      </c>
      <c r="M57" s="414"/>
      <c r="N57" s="414"/>
      <c r="O57" s="414"/>
      <c r="P57" s="414"/>
      <c r="Q57" s="414"/>
    </row>
    <row r="58" spans="1:17">
      <c r="B58" s="419" t="s">
        <v>343</v>
      </c>
      <c r="C58" s="24"/>
      <c r="D58" s="418" t="s">
        <v>338</v>
      </c>
      <c r="E58" s="24"/>
      <c r="G58" s="419" t="s">
        <v>342</v>
      </c>
      <c r="H58" s="24"/>
      <c r="I58" s="24" t="s">
        <v>338</v>
      </c>
      <c r="J58" s="418" t="s">
        <v>341</v>
      </c>
      <c r="M58" s="414"/>
      <c r="N58" s="414"/>
      <c r="O58" s="414"/>
      <c r="P58" s="414"/>
      <c r="Q58" s="414"/>
    </row>
    <row r="59" spans="1:17" ht="15" thickBot="1">
      <c r="B59" s="417" t="s">
        <v>340</v>
      </c>
      <c r="C59" s="416"/>
      <c r="D59" s="415"/>
      <c r="E59" s="24"/>
      <c r="G59" s="417" t="s">
        <v>339</v>
      </c>
      <c r="H59" s="416"/>
      <c r="I59" s="416"/>
      <c r="J59" s="415" t="s">
        <v>338</v>
      </c>
      <c r="M59" s="414"/>
      <c r="N59" s="414"/>
      <c r="O59" s="414"/>
      <c r="P59" s="414"/>
      <c r="Q59" s="414"/>
    </row>
    <row r="60" spans="1:17">
      <c r="M60" s="414"/>
      <c r="N60" s="414"/>
      <c r="O60" s="414"/>
      <c r="P60" s="414"/>
      <c r="Q60" s="414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96"/>
  <sheetViews>
    <sheetView workbookViewId="0">
      <selection activeCell="I1" sqref="I1"/>
    </sheetView>
  </sheetViews>
  <sheetFormatPr defaultRowHeight="14.5"/>
  <cols>
    <col min="1" max="1" width="20.453125" customWidth="1"/>
    <col min="2" max="3" width="11.453125" bestFit="1" customWidth="1"/>
    <col min="4" max="4" width="11.81640625" customWidth="1"/>
    <col min="5" max="5" width="12.1796875" customWidth="1"/>
    <col min="6" max="8" width="11.453125" bestFit="1" customWidth="1"/>
    <col min="9" max="9" width="12.81640625" bestFit="1" customWidth="1"/>
    <col min="10" max="10" width="15.7265625" customWidth="1"/>
    <col min="11" max="13" width="11.453125" bestFit="1" customWidth="1"/>
    <col min="17" max="17" width="11.1796875" customWidth="1"/>
    <col min="18" max="18" width="9.453125" customWidth="1"/>
    <col min="21" max="21" width="12.453125" customWidth="1"/>
    <col min="27" max="27" width="21.26953125" customWidth="1"/>
  </cols>
  <sheetData>
    <row r="1" spans="1:46">
      <c r="A1" s="1" t="s">
        <v>200</v>
      </c>
      <c r="B1" s="2">
        <v>0.16300000000000001</v>
      </c>
      <c r="C1" s="2">
        <v>3.9E-2</v>
      </c>
      <c r="D1" s="2">
        <v>4.1000000000000002E-2</v>
      </c>
      <c r="E1" s="2">
        <v>0.11600000000000001</v>
      </c>
      <c r="F1" s="2">
        <v>0.04</v>
      </c>
      <c r="G1" s="2">
        <v>0.18099999999999999</v>
      </c>
      <c r="H1" s="2">
        <v>7.0999999999999994E-2</v>
      </c>
      <c r="I1" s="2">
        <v>0.06</v>
      </c>
      <c r="J1" s="2">
        <v>7.9000000000000001E-2</v>
      </c>
      <c r="K1" s="2">
        <v>0.14599999999999999</v>
      </c>
      <c r="L1" s="2">
        <v>3.1E-2</v>
      </c>
      <c r="M1" s="2">
        <v>3.2000000000000001E-2</v>
      </c>
    </row>
    <row r="2" spans="1:46">
      <c r="A2" s="1" t="s">
        <v>201</v>
      </c>
      <c r="B2" s="2">
        <v>6.0999999999999999E-2</v>
      </c>
      <c r="C2" s="2">
        <v>2.1999999999999999E-2</v>
      </c>
      <c r="D2" s="2">
        <v>2.9000000000000001E-2</v>
      </c>
      <c r="E2" s="2">
        <v>0.13300000000000001</v>
      </c>
      <c r="F2" s="2">
        <v>5.8000000000000003E-2</v>
      </c>
      <c r="G2" s="2">
        <v>9.8000000000000004E-2</v>
      </c>
      <c r="H2" s="2">
        <v>6.0999999999999999E-2</v>
      </c>
      <c r="I2" s="2">
        <v>0.05</v>
      </c>
      <c r="J2" s="2">
        <v>0.11600000000000001</v>
      </c>
      <c r="K2" s="2">
        <v>0.16400000000000001</v>
      </c>
      <c r="L2" s="2">
        <v>0.192</v>
      </c>
      <c r="M2" s="2">
        <v>1.7000000000000001E-2</v>
      </c>
    </row>
    <row r="3" spans="1:46">
      <c r="A3" s="1" t="s">
        <v>202</v>
      </c>
      <c r="B3" s="2">
        <v>0.30399999999999999</v>
      </c>
      <c r="C3" s="2">
        <v>4.7E-2</v>
      </c>
      <c r="D3" s="2">
        <v>4.1000000000000002E-2</v>
      </c>
      <c r="E3" s="2">
        <v>7.0999999999999994E-2</v>
      </c>
      <c r="F3" s="2">
        <v>1.9E-2</v>
      </c>
      <c r="G3" s="2">
        <v>0.23300000000000001</v>
      </c>
      <c r="H3" s="2">
        <v>5.8000000000000003E-2</v>
      </c>
      <c r="I3" s="2">
        <v>5.0999999999999997E-2</v>
      </c>
      <c r="J3" s="2">
        <v>3.7999999999999999E-2</v>
      </c>
      <c r="K3" s="2">
        <v>9.0999999999999998E-2</v>
      </c>
      <c r="L3" s="2">
        <v>4.0000000000000001E-3</v>
      </c>
      <c r="M3" s="2">
        <v>4.2999999999999997E-2</v>
      </c>
    </row>
    <row r="6" spans="1:46">
      <c r="J6" s="402" t="s">
        <v>203</v>
      </c>
      <c r="K6" s="402"/>
      <c r="L6" s="402"/>
      <c r="M6" s="402"/>
      <c r="N6" s="403"/>
      <c r="O6" s="402" t="s">
        <v>175</v>
      </c>
      <c r="P6" s="402"/>
      <c r="Q6" s="402"/>
      <c r="R6" s="402"/>
      <c r="S6" s="402"/>
      <c r="T6" s="403"/>
      <c r="U6" s="402" t="s">
        <v>61</v>
      </c>
      <c r="V6" s="402"/>
      <c r="W6" s="402"/>
      <c r="X6" s="402"/>
      <c r="Y6" s="402"/>
      <c r="AB6" s="402" t="s">
        <v>204</v>
      </c>
      <c r="AC6" s="402"/>
      <c r="AD6" s="402"/>
      <c r="AE6" s="402"/>
      <c r="AF6" s="402"/>
    </row>
    <row r="7" spans="1:46">
      <c r="B7" s="9" t="s">
        <v>205</v>
      </c>
      <c r="C7" s="9" t="s">
        <v>206</v>
      </c>
      <c r="D7" s="9" t="s">
        <v>207</v>
      </c>
      <c r="E7" s="9" t="s">
        <v>208</v>
      </c>
      <c r="F7" s="12" t="s">
        <v>209</v>
      </c>
      <c r="G7" s="9" t="s">
        <v>177</v>
      </c>
      <c r="H7" s="9" t="s">
        <v>178</v>
      </c>
      <c r="I7" s="12" t="s">
        <v>179</v>
      </c>
      <c r="J7" s="15" t="s">
        <v>205</v>
      </c>
      <c r="K7" s="16" t="s">
        <v>206</v>
      </c>
      <c r="L7" s="16" t="s">
        <v>207</v>
      </c>
      <c r="M7" s="15" t="s">
        <v>208</v>
      </c>
      <c r="N7" s="18" t="s">
        <v>209</v>
      </c>
      <c r="O7" s="17" t="s">
        <v>205</v>
      </c>
      <c r="P7" s="17" t="s">
        <v>206</v>
      </c>
      <c r="Q7" s="17" t="s">
        <v>207</v>
      </c>
      <c r="R7" s="17" t="s">
        <v>208</v>
      </c>
      <c r="S7" s="18" t="s">
        <v>209</v>
      </c>
      <c r="T7" s="20" t="s">
        <v>180</v>
      </c>
      <c r="U7" s="19" t="s">
        <v>205</v>
      </c>
      <c r="V7" s="19" t="s">
        <v>206</v>
      </c>
      <c r="W7" s="19" t="s">
        <v>207</v>
      </c>
      <c r="X7" s="19" t="s">
        <v>208</v>
      </c>
      <c r="Y7" s="19" t="s">
        <v>209</v>
      </c>
      <c r="AA7" s="42" t="s">
        <v>210</v>
      </c>
      <c r="AB7" s="33" t="s">
        <v>205</v>
      </c>
      <c r="AC7" s="19" t="s">
        <v>206</v>
      </c>
      <c r="AD7" s="19" t="s">
        <v>207</v>
      </c>
      <c r="AE7" s="19" t="s">
        <v>208</v>
      </c>
      <c r="AF7" s="19" t="s">
        <v>209</v>
      </c>
      <c r="AI7" s="11">
        <v>0.82</v>
      </c>
      <c r="AJ7" s="11">
        <v>0.47</v>
      </c>
      <c r="AK7" s="11">
        <v>0.35</v>
      </c>
      <c r="AL7" s="11">
        <v>3.3180000000000001</v>
      </c>
      <c r="AM7" s="11">
        <v>0.23100000000000001</v>
      </c>
      <c r="AN7" s="11">
        <v>27.3</v>
      </c>
      <c r="AO7" s="11">
        <v>16</v>
      </c>
      <c r="AP7" s="11">
        <v>0.26700000000000002</v>
      </c>
      <c r="AQ7" s="11">
        <v>0.247</v>
      </c>
      <c r="AR7" s="11">
        <v>16.399999999999999</v>
      </c>
      <c r="AS7" s="11">
        <v>0.20399999999999999</v>
      </c>
      <c r="AT7" s="11">
        <v>0.17899999999999999</v>
      </c>
    </row>
    <row r="8" spans="1:46">
      <c r="A8" s="3" t="s">
        <v>211</v>
      </c>
      <c r="B8" s="11">
        <v>0.82</v>
      </c>
      <c r="C8" s="11">
        <v>0.87</v>
      </c>
      <c r="D8" s="11">
        <v>0.13</v>
      </c>
      <c r="E8" s="11">
        <v>0.09</v>
      </c>
      <c r="F8" s="13">
        <v>0.95</v>
      </c>
      <c r="G8" s="11">
        <f>MAX(B8:F8)</f>
        <v>0.95</v>
      </c>
      <c r="H8" s="11">
        <f>MIN(B8:F8)</f>
        <v>0.09</v>
      </c>
      <c r="I8" s="13">
        <f>G8-H8</f>
        <v>0.86</v>
      </c>
      <c r="J8" s="13">
        <f>(G$8-B$8)/I$8</f>
        <v>0.15116279069767444</v>
      </c>
      <c r="K8" s="13">
        <f>(G$8-C$8)/I$8</f>
        <v>9.3023255813953445E-2</v>
      </c>
      <c r="L8" s="13">
        <f>(G8-D8)/I8</f>
        <v>0.95348837209302317</v>
      </c>
      <c r="M8" s="13">
        <f>(G8-E8)/I8</f>
        <v>1</v>
      </c>
      <c r="N8" s="13">
        <f>(G8-F8)/I8</f>
        <v>0</v>
      </c>
      <c r="O8" s="11">
        <f>J8+0.0001</f>
        <v>0.15126279069767443</v>
      </c>
      <c r="P8" s="11">
        <f>K8+0.0001</f>
        <v>9.3123255813953448E-2</v>
      </c>
      <c r="Q8" s="11">
        <f>L8+0.0001</f>
        <v>0.95358837209302316</v>
      </c>
      <c r="R8" s="11">
        <f>M8+0.0001</f>
        <v>1.0001</v>
      </c>
      <c r="S8" s="13">
        <f>N8+0.0001</f>
        <v>1E-4</v>
      </c>
      <c r="T8" s="13">
        <f>SUM(O8:S8)</f>
        <v>2.1981744186046512</v>
      </c>
      <c r="U8" s="11">
        <f>O8/T8</f>
        <v>6.8812915580053216E-2</v>
      </c>
      <c r="V8" s="11">
        <f>P8/T8</f>
        <v>4.2363906624418766E-2</v>
      </c>
      <c r="W8" s="11">
        <f>Q8/T8</f>
        <v>0.43380923916780834</v>
      </c>
      <c r="X8" s="11">
        <f>R8/T8</f>
        <v>0.45496844633231592</v>
      </c>
      <c r="Y8" s="11">
        <f>S8/T8</f>
        <v>4.5492295403691225E-5</v>
      </c>
      <c r="AA8" s="34" t="s">
        <v>211</v>
      </c>
      <c r="AB8" s="41">
        <v>0.15126279069767443</v>
      </c>
      <c r="AC8" s="11">
        <v>9.3123255813953448E-2</v>
      </c>
      <c r="AD8" s="11">
        <v>0.95358837209302316</v>
      </c>
      <c r="AE8" s="11">
        <v>1.0001</v>
      </c>
      <c r="AF8" s="11">
        <v>1E-4</v>
      </c>
      <c r="AI8" s="11">
        <v>0.87</v>
      </c>
      <c r="AJ8" s="11">
        <v>0.86</v>
      </c>
      <c r="AK8" s="11">
        <v>0.63</v>
      </c>
      <c r="AL8" s="11">
        <v>4.5490000000000004</v>
      </c>
      <c r="AM8" s="11">
        <v>0.27900000000000003</v>
      </c>
      <c r="AN8" s="11">
        <v>14</v>
      </c>
      <c r="AO8" s="11">
        <v>16</v>
      </c>
      <c r="AP8" s="11">
        <v>0.26700000000000002</v>
      </c>
      <c r="AQ8" s="11">
        <v>0.21099999999999999</v>
      </c>
      <c r="AR8" s="11">
        <v>9.4</v>
      </c>
      <c r="AS8" s="11">
        <v>0.17899999999999999</v>
      </c>
      <c r="AT8" s="11">
        <v>0.17899999999999999</v>
      </c>
    </row>
    <row r="9" spans="1:46">
      <c r="A9" s="28" t="s">
        <v>212</v>
      </c>
      <c r="B9" s="11">
        <v>0.47</v>
      </c>
      <c r="C9" s="11">
        <v>0.86</v>
      </c>
      <c r="D9" s="11">
        <v>0.37</v>
      </c>
      <c r="E9" s="11">
        <v>0.85</v>
      </c>
      <c r="F9" s="13">
        <v>0.84</v>
      </c>
      <c r="G9" s="11">
        <f t="shared" ref="G9:G19" si="0">MAX(B9:F9)</f>
        <v>0.86</v>
      </c>
      <c r="H9" s="11">
        <f t="shared" ref="H9:H19" si="1">MIN(B9:F9)</f>
        <v>0.37</v>
      </c>
      <c r="I9" s="13">
        <f t="shared" ref="I9:I19" si="2">G9-H9</f>
        <v>0.49</v>
      </c>
      <c r="J9" s="13">
        <f>(G9-B9)/I9</f>
        <v>0.79591836734693877</v>
      </c>
      <c r="K9" s="13">
        <f>(G9-C9)/I9</f>
        <v>0</v>
      </c>
      <c r="L9" s="13">
        <f>(G9-D9)/I9</f>
        <v>1</v>
      </c>
      <c r="M9" s="13">
        <f>(G9-E9)/I9</f>
        <v>2.0408163265306142E-2</v>
      </c>
      <c r="N9" s="13">
        <f t="shared" ref="N9:N11" si="3">(G9-F9)/I9</f>
        <v>4.0816326530612283E-2</v>
      </c>
      <c r="O9" s="11">
        <f>J9+0.0001</f>
        <v>0.79601836734693876</v>
      </c>
      <c r="P9" s="11">
        <f t="shared" ref="P9:P19" si="4">K9+0.0001</f>
        <v>1E-4</v>
      </c>
      <c r="Q9" s="11">
        <f t="shared" ref="Q9:Q19" si="5">L9+0.0001</f>
        <v>1.0001</v>
      </c>
      <c r="R9" s="11">
        <f t="shared" ref="R9:R19" si="6">M9+0.0001</f>
        <v>2.0508163265306141E-2</v>
      </c>
      <c r="S9" s="13">
        <f t="shared" ref="S9:S19" si="7">N9+0.0001</f>
        <v>4.0916326530612286E-2</v>
      </c>
      <c r="T9" s="13">
        <f>SUM(O9:S9)</f>
        <v>1.8576428571428572</v>
      </c>
      <c r="U9" s="11">
        <f t="shared" ref="U9:U19" si="8">O9/T9</f>
        <v>0.42850990667347799</v>
      </c>
      <c r="V9" s="11">
        <f t="shared" ref="V9:V19" si="9">P9/T9</f>
        <v>5.3831660706732808E-5</v>
      </c>
      <c r="W9" s="11">
        <f t="shared" ref="W9:W19" si="10">Q9/T9</f>
        <v>0.53837043872803481</v>
      </c>
      <c r="X9" s="11">
        <f t="shared" ref="X9:X19" si="11">R9/T9</f>
        <v>1.1039884866162418E-2</v>
      </c>
      <c r="Y9" s="11">
        <f t="shared" ref="Y9:Y19" si="12">S9/T9</f>
        <v>2.2025938071618102E-2</v>
      </c>
      <c r="AA9" s="35" t="s">
        <v>212</v>
      </c>
      <c r="AB9" s="41">
        <v>0.79601836734693876</v>
      </c>
      <c r="AC9" s="11">
        <v>1E-4</v>
      </c>
      <c r="AD9" s="11">
        <v>1.0001</v>
      </c>
      <c r="AE9" s="11">
        <v>2.0508163265306141E-2</v>
      </c>
      <c r="AF9" s="11">
        <v>4.0916326530612286E-2</v>
      </c>
      <c r="AI9" s="11">
        <v>0.13</v>
      </c>
      <c r="AJ9" s="11">
        <v>0.37</v>
      </c>
      <c r="AK9" s="11">
        <v>0.28999999999999998</v>
      </c>
      <c r="AL9" s="11">
        <v>3.6150000000000002</v>
      </c>
      <c r="AM9" s="11">
        <v>0.16500000000000001</v>
      </c>
      <c r="AN9" s="11">
        <v>47.9</v>
      </c>
      <c r="AO9" s="11">
        <v>16</v>
      </c>
      <c r="AP9" s="11">
        <v>0.23400000000000001</v>
      </c>
      <c r="AQ9" s="11">
        <v>0.28899999999999998</v>
      </c>
      <c r="AR9" s="11">
        <v>42.7</v>
      </c>
      <c r="AS9" s="11">
        <v>0.23400000000000001</v>
      </c>
      <c r="AT9" s="11">
        <v>0.33</v>
      </c>
    </row>
    <row r="10" spans="1:46">
      <c r="A10" s="4" t="s">
        <v>213</v>
      </c>
      <c r="B10" s="11">
        <v>0.35</v>
      </c>
      <c r="C10" s="11">
        <v>0.63</v>
      </c>
      <c r="D10" s="11">
        <v>0.28999999999999998</v>
      </c>
      <c r="E10" s="11">
        <v>0.28000000000000003</v>
      </c>
      <c r="F10" s="13">
        <v>0.64</v>
      </c>
      <c r="G10" s="11">
        <f t="shared" si="0"/>
        <v>0.64</v>
      </c>
      <c r="H10" s="11">
        <f t="shared" si="1"/>
        <v>0.28000000000000003</v>
      </c>
      <c r="I10" s="13">
        <f t="shared" si="2"/>
        <v>0.36</v>
      </c>
      <c r="J10" s="13">
        <f>(G10-B10)/I10</f>
        <v>0.80555555555555569</v>
      </c>
      <c r="K10" s="13">
        <f>(G10-C10)/I10</f>
        <v>2.7777777777777804E-2</v>
      </c>
      <c r="L10" s="13">
        <f t="shared" ref="L10:L11" si="13">(G10-D10)/I10</f>
        <v>0.97222222222222232</v>
      </c>
      <c r="M10" s="13">
        <f t="shared" ref="M10:M11" si="14">(G10-E10)/I10</f>
        <v>1</v>
      </c>
      <c r="N10" s="13">
        <f t="shared" si="3"/>
        <v>0</v>
      </c>
      <c r="O10" s="11">
        <f t="shared" ref="O10:O19" si="15">J10+0.0001</f>
        <v>0.80565555555555568</v>
      </c>
      <c r="P10" s="11">
        <f t="shared" si="4"/>
        <v>2.7877777777777803E-2</v>
      </c>
      <c r="Q10" s="11">
        <f t="shared" si="5"/>
        <v>0.97232222222222231</v>
      </c>
      <c r="R10" s="11">
        <f t="shared" si="6"/>
        <v>1.0001</v>
      </c>
      <c r="S10" s="13">
        <f t="shared" si="7"/>
        <v>1E-4</v>
      </c>
      <c r="T10" s="13">
        <f t="shared" ref="T10:T19" si="16">SUM(O10:S10)</f>
        <v>2.806055555555556</v>
      </c>
      <c r="U10" s="11">
        <f t="shared" si="8"/>
        <v>0.28711318774871808</v>
      </c>
      <c r="V10" s="11">
        <f t="shared" si="9"/>
        <v>9.9348630937060797E-3</v>
      </c>
      <c r="W10" s="11">
        <f t="shared" si="10"/>
        <v>0.3465085430319349</v>
      </c>
      <c r="X10" s="11">
        <f t="shared" si="11"/>
        <v>0.356407768912471</v>
      </c>
      <c r="Y10" s="11">
        <f t="shared" si="12"/>
        <v>3.5637213169930111E-5</v>
      </c>
      <c r="AA10" s="34" t="s">
        <v>213</v>
      </c>
      <c r="AB10" s="41">
        <v>0.80565555555555568</v>
      </c>
      <c r="AC10" s="11">
        <v>2.7877777777777803E-2</v>
      </c>
      <c r="AD10" s="11">
        <v>0.97232222222222231</v>
      </c>
      <c r="AE10" s="11">
        <v>1.0001</v>
      </c>
      <c r="AF10" s="11">
        <v>1E-4</v>
      </c>
      <c r="AI10" s="11">
        <v>0.09</v>
      </c>
      <c r="AJ10" s="11">
        <v>0.85</v>
      </c>
      <c r="AK10" s="11">
        <v>0.28000000000000003</v>
      </c>
      <c r="AL10" s="11">
        <v>1.341</v>
      </c>
      <c r="AM10" s="11">
        <v>0.17299999999999999</v>
      </c>
      <c r="AN10" s="11">
        <v>1.9</v>
      </c>
      <c r="AO10" s="11">
        <v>33</v>
      </c>
      <c r="AP10" s="11">
        <v>0.14899999999999999</v>
      </c>
      <c r="AQ10" s="11">
        <v>0.126</v>
      </c>
      <c r="AR10" s="11">
        <v>15.4</v>
      </c>
      <c r="AS10" s="11">
        <v>0.17899999999999999</v>
      </c>
      <c r="AT10" s="11">
        <v>0.20200000000000001</v>
      </c>
    </row>
    <row r="11" spans="1:46">
      <c r="A11" s="5" t="s">
        <v>214</v>
      </c>
      <c r="B11" s="11">
        <v>3.3180000000000001</v>
      </c>
      <c r="C11" s="11">
        <v>4.5490000000000004</v>
      </c>
      <c r="D11" s="11">
        <v>3.6150000000000002</v>
      </c>
      <c r="E11" s="11">
        <v>1.341</v>
      </c>
      <c r="F11" s="13">
        <v>2.23</v>
      </c>
      <c r="G11" s="11">
        <f t="shared" si="0"/>
        <v>4.5490000000000004</v>
      </c>
      <c r="H11" s="11">
        <f t="shared" si="1"/>
        <v>1.341</v>
      </c>
      <c r="I11" s="13">
        <f t="shared" si="2"/>
        <v>3.2080000000000002</v>
      </c>
      <c r="J11" s="13">
        <f>(G11-B11)/I11</f>
        <v>0.38372817955112226</v>
      </c>
      <c r="K11" s="13">
        <f>(G11-C11)/I11</f>
        <v>0</v>
      </c>
      <c r="L11" s="13">
        <f t="shared" si="13"/>
        <v>0.29114713216957611</v>
      </c>
      <c r="M11" s="13">
        <f t="shared" si="14"/>
        <v>1</v>
      </c>
      <c r="N11" s="13">
        <f t="shared" si="3"/>
        <v>0.72288029925187036</v>
      </c>
      <c r="O11" s="11">
        <f t="shared" si="15"/>
        <v>0.38382817955112225</v>
      </c>
      <c r="P11" s="11">
        <f t="shared" si="4"/>
        <v>1E-4</v>
      </c>
      <c r="Q11" s="11">
        <f t="shared" si="5"/>
        <v>0.2912471321695761</v>
      </c>
      <c r="R11" s="11">
        <f t="shared" si="6"/>
        <v>1.0001</v>
      </c>
      <c r="S11" s="13">
        <f t="shared" si="7"/>
        <v>0.72298029925187035</v>
      </c>
      <c r="T11" s="13">
        <f t="shared" si="16"/>
        <v>2.3982556109725683</v>
      </c>
      <c r="U11" s="11">
        <f t="shared" si="8"/>
        <v>0.1600447332615508</v>
      </c>
      <c r="V11" s="11">
        <f t="shared" si="9"/>
        <v>4.1696973226071945E-5</v>
      </c>
      <c r="W11" s="11">
        <f t="shared" si="10"/>
        <v>0.12144123872245052</v>
      </c>
      <c r="X11" s="11">
        <f t="shared" si="11"/>
        <v>0.41701142923394552</v>
      </c>
      <c r="Y11" s="11">
        <f t="shared" si="12"/>
        <v>0.30146090180882723</v>
      </c>
      <c r="AA11" s="36" t="s">
        <v>214</v>
      </c>
      <c r="AB11" s="41">
        <v>0.38382817955112225</v>
      </c>
      <c r="AC11" s="11">
        <v>1E-4</v>
      </c>
      <c r="AD11" s="11">
        <v>0.2912471321695761</v>
      </c>
      <c r="AE11" s="11">
        <v>1.0001</v>
      </c>
      <c r="AF11" s="11">
        <v>0.72298029925187035</v>
      </c>
      <c r="AI11" s="13">
        <v>0.95</v>
      </c>
      <c r="AJ11" s="13">
        <v>0.84</v>
      </c>
      <c r="AK11" s="13">
        <v>0.64</v>
      </c>
      <c r="AL11" s="13">
        <v>2.23</v>
      </c>
      <c r="AM11" s="13">
        <v>0.151</v>
      </c>
      <c r="AN11" s="13">
        <v>9</v>
      </c>
      <c r="AO11" s="13">
        <v>49</v>
      </c>
      <c r="AP11" s="13">
        <v>8.4000000000000005E-2</v>
      </c>
      <c r="AQ11" s="13">
        <v>0.126</v>
      </c>
      <c r="AR11" s="13">
        <v>23.8</v>
      </c>
      <c r="AS11" s="13">
        <v>0.20399999999999999</v>
      </c>
      <c r="AT11" s="13">
        <v>0.11</v>
      </c>
    </row>
    <row r="12" spans="1:46">
      <c r="A12" s="6" t="s">
        <v>215</v>
      </c>
      <c r="B12" s="11">
        <v>0.23100000000000001</v>
      </c>
      <c r="C12" s="11">
        <v>0.27900000000000003</v>
      </c>
      <c r="D12" s="11">
        <v>0.16500000000000001</v>
      </c>
      <c r="E12" s="11">
        <v>0.17299999999999999</v>
      </c>
      <c r="F12" s="13">
        <v>0.151</v>
      </c>
      <c r="G12" s="11">
        <f t="shared" si="0"/>
        <v>0.27900000000000003</v>
      </c>
      <c r="H12" s="11">
        <f t="shared" si="1"/>
        <v>0.151</v>
      </c>
      <c r="I12" s="13">
        <f t="shared" si="2"/>
        <v>0.12800000000000003</v>
      </c>
      <c r="J12" s="13">
        <f>(B$12-H$12)/I$12</f>
        <v>0.625</v>
      </c>
      <c r="K12" s="13">
        <f>(C$12-H$12)/I$12</f>
        <v>1</v>
      </c>
      <c r="L12" s="13">
        <f t="shared" ref="L12:L19" si="17">(D12-H12)/I12</f>
        <v>0.10937500000000007</v>
      </c>
      <c r="M12" s="13">
        <f t="shared" ref="M12:M19" si="18">(E12-H12)/I12</f>
        <v>0.17187499999999989</v>
      </c>
      <c r="N12" s="13">
        <f t="shared" ref="N12:N19" si="19">(F12-H12)/I12</f>
        <v>0</v>
      </c>
      <c r="O12" s="11">
        <f t="shared" si="15"/>
        <v>0.62509999999999999</v>
      </c>
      <c r="P12" s="11">
        <f t="shared" si="4"/>
        <v>1.0001</v>
      </c>
      <c r="Q12" s="11">
        <f t="shared" si="5"/>
        <v>0.10947500000000007</v>
      </c>
      <c r="R12" s="11">
        <f t="shared" si="6"/>
        <v>0.17197499999999988</v>
      </c>
      <c r="S12" s="13">
        <f t="shared" si="7"/>
        <v>1E-4</v>
      </c>
      <c r="T12" s="13">
        <f t="shared" si="16"/>
        <v>1.9067499999999999</v>
      </c>
      <c r="U12" s="11">
        <f t="shared" si="8"/>
        <v>0.32783532188278486</v>
      </c>
      <c r="V12" s="11">
        <f t="shared" si="9"/>
        <v>0.52450504785630003</v>
      </c>
      <c r="W12" s="11">
        <f t="shared" si="10"/>
        <v>5.7414448669201562E-2</v>
      </c>
      <c r="X12" s="11">
        <f t="shared" si="11"/>
        <v>9.0192736331453985E-2</v>
      </c>
      <c r="Y12" s="11">
        <f t="shared" si="12"/>
        <v>5.2445260259604039E-5</v>
      </c>
      <c r="AA12" s="36" t="s">
        <v>215</v>
      </c>
      <c r="AB12" s="41">
        <v>0.62509999999999999</v>
      </c>
      <c r="AC12" s="11">
        <v>1.0001</v>
      </c>
      <c r="AD12" s="11">
        <v>0.10947500000000007</v>
      </c>
      <c r="AE12" s="11">
        <v>0.17197499999999988</v>
      </c>
      <c r="AF12" s="11">
        <v>1E-4</v>
      </c>
    </row>
    <row r="13" spans="1:46">
      <c r="A13" s="29" t="s">
        <v>216</v>
      </c>
      <c r="B13" s="11">
        <v>27.3</v>
      </c>
      <c r="C13" s="11">
        <v>14</v>
      </c>
      <c r="D13" s="11">
        <v>47.9</v>
      </c>
      <c r="E13" s="11">
        <v>1.9</v>
      </c>
      <c r="F13" s="13">
        <v>9</v>
      </c>
      <c r="G13" s="11">
        <f t="shared" si="0"/>
        <v>47.9</v>
      </c>
      <c r="H13" s="11">
        <f t="shared" si="1"/>
        <v>1.9</v>
      </c>
      <c r="I13" s="13">
        <f>G13-H13</f>
        <v>46</v>
      </c>
      <c r="J13" s="13">
        <f>(B$13-H$13)/I$13</f>
        <v>0.55217391304347829</v>
      </c>
      <c r="K13" s="13">
        <f>(C$13-H$13)/I$13</f>
        <v>0.26304347826086955</v>
      </c>
      <c r="L13" s="13">
        <f t="shared" si="17"/>
        <v>1</v>
      </c>
      <c r="M13" s="13">
        <f t="shared" si="18"/>
        <v>0</v>
      </c>
      <c r="N13" s="13">
        <f t="shared" si="19"/>
        <v>0.15434782608695652</v>
      </c>
      <c r="O13" s="11">
        <f t="shared" si="15"/>
        <v>0.55227391304347828</v>
      </c>
      <c r="P13" s="11">
        <f t="shared" si="4"/>
        <v>0.26314347826086953</v>
      </c>
      <c r="Q13" s="11">
        <f t="shared" si="5"/>
        <v>1.0001</v>
      </c>
      <c r="R13" s="11">
        <f t="shared" si="6"/>
        <v>1E-4</v>
      </c>
      <c r="S13" s="13">
        <f t="shared" si="7"/>
        <v>0.15444782608695651</v>
      </c>
      <c r="T13" s="13">
        <f t="shared" si="16"/>
        <v>1.9700652173913045</v>
      </c>
      <c r="U13" s="11">
        <f t="shared" si="8"/>
        <v>0.28033280734471383</v>
      </c>
      <c r="V13" s="11">
        <f t="shared" si="9"/>
        <v>0.13357094777264047</v>
      </c>
      <c r="W13" s="11">
        <f t="shared" si="10"/>
        <v>0.50764816878717323</v>
      </c>
      <c r="X13" s="11">
        <f t="shared" si="11"/>
        <v>5.0759740904626862E-5</v>
      </c>
      <c r="Y13" s="11">
        <f t="shared" si="12"/>
        <v>7.8397316354567814E-2</v>
      </c>
      <c r="AA13" s="37" t="s">
        <v>216</v>
      </c>
      <c r="AB13" s="41">
        <v>0.55227391304347828</v>
      </c>
      <c r="AC13" s="11">
        <v>0.26314347826086953</v>
      </c>
      <c r="AD13" s="11">
        <v>1.0001</v>
      </c>
      <c r="AE13" s="11">
        <v>1E-4</v>
      </c>
      <c r="AF13" s="11">
        <v>0.15444782608695651</v>
      </c>
    </row>
    <row r="14" spans="1:46">
      <c r="A14" s="31" t="s">
        <v>217</v>
      </c>
      <c r="B14" s="11">
        <v>16</v>
      </c>
      <c r="C14" s="11">
        <v>16</v>
      </c>
      <c r="D14" s="11">
        <v>16</v>
      </c>
      <c r="E14" s="11">
        <v>33</v>
      </c>
      <c r="F14" s="13">
        <v>49</v>
      </c>
      <c r="G14" s="11">
        <f t="shared" si="0"/>
        <v>49</v>
      </c>
      <c r="H14" s="11">
        <f t="shared" si="1"/>
        <v>16</v>
      </c>
      <c r="I14" s="13">
        <f>G14-H14</f>
        <v>33</v>
      </c>
      <c r="J14" s="13">
        <f>(G$14-B$14)/I$14</f>
        <v>1</v>
      </c>
      <c r="K14" s="13">
        <f>(G$14-C$14)/I$14</f>
        <v>1</v>
      </c>
      <c r="L14" s="13">
        <f>(G14-D14)/I14</f>
        <v>1</v>
      </c>
      <c r="M14" s="13">
        <f>(G14-E14)/I14</f>
        <v>0.48484848484848486</v>
      </c>
      <c r="N14" s="13">
        <f>(G14-F14)/I14</f>
        <v>0</v>
      </c>
      <c r="O14" s="11">
        <f t="shared" si="15"/>
        <v>1.0001</v>
      </c>
      <c r="P14" s="11">
        <f t="shared" si="4"/>
        <v>1.0001</v>
      </c>
      <c r="Q14" s="11">
        <f t="shared" si="5"/>
        <v>1.0001</v>
      </c>
      <c r="R14" s="11">
        <f t="shared" si="6"/>
        <v>0.48494848484848485</v>
      </c>
      <c r="S14" s="13">
        <f t="shared" si="7"/>
        <v>1E-4</v>
      </c>
      <c r="T14" s="13">
        <f t="shared" si="16"/>
        <v>3.4853484848484855</v>
      </c>
      <c r="U14" s="11">
        <f t="shared" si="8"/>
        <v>0.28694404715845112</v>
      </c>
      <c r="V14" s="11">
        <f t="shared" si="9"/>
        <v>0.28694404715845112</v>
      </c>
      <c r="W14" s="11">
        <f t="shared" si="10"/>
        <v>0.28694404715845112</v>
      </c>
      <c r="X14" s="11">
        <f t="shared" si="11"/>
        <v>0.13913916698908416</v>
      </c>
      <c r="Y14" s="11">
        <f t="shared" si="12"/>
        <v>2.8691535562288884E-5</v>
      </c>
      <c r="AA14" s="38" t="s">
        <v>217</v>
      </c>
      <c r="AB14" s="41">
        <v>1.0001</v>
      </c>
      <c r="AC14" s="11">
        <v>1.0001</v>
      </c>
      <c r="AD14" s="11">
        <v>1.0001</v>
      </c>
      <c r="AE14" s="11">
        <v>0.48494848484848485</v>
      </c>
      <c r="AF14" s="11">
        <v>1E-4</v>
      </c>
    </row>
    <row r="15" spans="1:46">
      <c r="A15" s="32" t="s">
        <v>218</v>
      </c>
      <c r="B15" s="11">
        <v>0.26700000000000002</v>
      </c>
      <c r="C15" s="11">
        <v>0.26700000000000002</v>
      </c>
      <c r="D15" s="11">
        <v>0.23400000000000001</v>
      </c>
      <c r="E15" s="11">
        <v>0.14899999999999999</v>
      </c>
      <c r="F15" s="13">
        <v>8.4000000000000005E-2</v>
      </c>
      <c r="G15" s="11">
        <f>MAX(B15:F15)</f>
        <v>0.26700000000000002</v>
      </c>
      <c r="H15" s="11">
        <f t="shared" si="1"/>
        <v>8.4000000000000005E-2</v>
      </c>
      <c r="I15" s="13">
        <f>G15-H15</f>
        <v>0.183</v>
      </c>
      <c r="J15" s="13">
        <f>(B$15-H$15)/I$15</f>
        <v>1</v>
      </c>
      <c r="K15" s="13">
        <f>(C$15-H$15)/I$15</f>
        <v>1</v>
      </c>
      <c r="L15" s="13">
        <f t="shared" si="17"/>
        <v>0.81967213114754112</v>
      </c>
      <c r="M15" s="13">
        <f t="shared" si="18"/>
        <v>0.35519125683060104</v>
      </c>
      <c r="N15" s="13">
        <f t="shared" si="19"/>
        <v>0</v>
      </c>
      <c r="O15" s="11">
        <f t="shared" si="15"/>
        <v>1.0001</v>
      </c>
      <c r="P15" s="11">
        <f t="shared" si="4"/>
        <v>1.0001</v>
      </c>
      <c r="Q15" s="11">
        <f t="shared" si="5"/>
        <v>0.81977213114754111</v>
      </c>
      <c r="R15" s="11">
        <f t="shared" si="6"/>
        <v>0.35529125683060103</v>
      </c>
      <c r="S15" s="13">
        <f t="shared" si="7"/>
        <v>1E-4</v>
      </c>
      <c r="T15" s="13">
        <f t="shared" si="16"/>
        <v>3.1753633879781424</v>
      </c>
      <c r="U15" s="11">
        <f t="shared" si="8"/>
        <v>0.31495607834566497</v>
      </c>
      <c r="V15" s="11">
        <f t="shared" si="9"/>
        <v>0.31495607834566497</v>
      </c>
      <c r="W15" s="11">
        <f t="shared" si="10"/>
        <v>0.25816639892340537</v>
      </c>
      <c r="X15" s="11">
        <f t="shared" si="11"/>
        <v>0.11188995192667589</v>
      </c>
      <c r="Y15" s="11">
        <f t="shared" si="12"/>
        <v>3.1492458588707626E-5</v>
      </c>
      <c r="AA15" s="38" t="s">
        <v>218</v>
      </c>
      <c r="AB15" s="41">
        <v>1.0001</v>
      </c>
      <c r="AC15" s="11">
        <v>1.0001</v>
      </c>
      <c r="AD15" s="11">
        <v>0.81977213114754111</v>
      </c>
      <c r="AE15" s="11">
        <v>0.35529125683060103</v>
      </c>
      <c r="AF15" s="11">
        <v>1E-4</v>
      </c>
    </row>
    <row r="16" spans="1:46">
      <c r="A16" s="32" t="s">
        <v>219</v>
      </c>
      <c r="B16" s="11">
        <v>0.247</v>
      </c>
      <c r="C16" s="11">
        <v>0.21099999999999999</v>
      </c>
      <c r="D16" s="11">
        <v>0.28899999999999998</v>
      </c>
      <c r="E16" s="11">
        <v>0.126</v>
      </c>
      <c r="F16" s="13">
        <v>0.126</v>
      </c>
      <c r="G16" s="11">
        <f t="shared" si="0"/>
        <v>0.28899999999999998</v>
      </c>
      <c r="H16" s="11">
        <f t="shared" si="1"/>
        <v>0.126</v>
      </c>
      <c r="I16" s="13">
        <f t="shared" si="2"/>
        <v>0.16299999999999998</v>
      </c>
      <c r="J16" s="13">
        <f>(B16-H$16)/I$16</f>
        <v>0.74233128834355833</v>
      </c>
      <c r="K16" s="13">
        <f>(C$16-H$16)/I$16</f>
        <v>0.5214723926380368</v>
      </c>
      <c r="L16" s="13">
        <f t="shared" si="17"/>
        <v>1</v>
      </c>
      <c r="M16" s="13">
        <f t="shared" si="18"/>
        <v>0</v>
      </c>
      <c r="N16" s="13">
        <f t="shared" si="19"/>
        <v>0</v>
      </c>
      <c r="O16" s="11">
        <f t="shared" si="15"/>
        <v>0.74243128834355832</v>
      </c>
      <c r="P16" s="11">
        <f t="shared" si="4"/>
        <v>0.52157239263803679</v>
      </c>
      <c r="Q16" s="11">
        <f t="shared" si="5"/>
        <v>1.0001</v>
      </c>
      <c r="R16" s="11">
        <f t="shared" si="6"/>
        <v>1E-4</v>
      </c>
      <c r="S16" s="13">
        <f t="shared" si="7"/>
        <v>1E-4</v>
      </c>
      <c r="T16" s="13">
        <f t="shared" si="16"/>
        <v>2.2643036809815955</v>
      </c>
      <c r="U16" s="11">
        <f t="shared" si="8"/>
        <v>0.32788503352240628</v>
      </c>
      <c r="V16" s="11">
        <f t="shared" si="9"/>
        <v>0.23034560117480823</v>
      </c>
      <c r="W16" s="11">
        <f t="shared" si="10"/>
        <v>0.44168103792793723</v>
      </c>
      <c r="X16" s="11">
        <f t="shared" si="11"/>
        <v>4.4163687424051321E-5</v>
      </c>
      <c r="Y16" s="11">
        <f t="shared" si="12"/>
        <v>4.4163687424051321E-5</v>
      </c>
      <c r="AA16" s="38" t="s">
        <v>219</v>
      </c>
      <c r="AB16" s="41">
        <v>0.74243128834355832</v>
      </c>
      <c r="AC16" s="11">
        <v>0.52157239263803679</v>
      </c>
      <c r="AD16" s="11">
        <v>1.0001</v>
      </c>
      <c r="AE16" s="11">
        <v>1E-4</v>
      </c>
      <c r="AF16" s="11">
        <v>1E-4</v>
      </c>
    </row>
    <row r="17" spans="1:32">
      <c r="A17" s="30" t="s">
        <v>220</v>
      </c>
      <c r="B17" s="11">
        <v>16.399999999999999</v>
      </c>
      <c r="C17" s="11">
        <v>9.4</v>
      </c>
      <c r="D17" s="11">
        <v>42.7</v>
      </c>
      <c r="E17" s="11">
        <v>15.4</v>
      </c>
      <c r="F17" s="13">
        <v>23.8</v>
      </c>
      <c r="G17" s="11">
        <f t="shared" si="0"/>
        <v>42.7</v>
      </c>
      <c r="H17" s="11">
        <f t="shared" si="1"/>
        <v>9.4</v>
      </c>
      <c r="I17" s="13">
        <f t="shared" si="2"/>
        <v>33.300000000000004</v>
      </c>
      <c r="J17" s="13">
        <f>(B17-H$17)/I$17</f>
        <v>0.21021021021021014</v>
      </c>
      <c r="K17" s="13">
        <f>(C$17-H$17)/I$17</f>
        <v>0</v>
      </c>
      <c r="L17" s="13">
        <f t="shared" si="17"/>
        <v>1</v>
      </c>
      <c r="M17" s="13">
        <f t="shared" si="18"/>
        <v>0.18018018018018014</v>
      </c>
      <c r="N17" s="13">
        <f t="shared" si="19"/>
        <v>0.4324324324324324</v>
      </c>
      <c r="O17" s="11">
        <f t="shared" si="15"/>
        <v>0.21031021021021012</v>
      </c>
      <c r="P17" s="11">
        <f t="shared" si="4"/>
        <v>1E-4</v>
      </c>
      <c r="Q17" s="11">
        <f t="shared" si="5"/>
        <v>1.0001</v>
      </c>
      <c r="R17" s="11">
        <f t="shared" si="6"/>
        <v>0.18028018018018013</v>
      </c>
      <c r="S17" s="13">
        <f t="shared" si="7"/>
        <v>0.43253243243243239</v>
      </c>
      <c r="T17" s="13">
        <f t="shared" si="16"/>
        <v>1.8233228228228227</v>
      </c>
      <c r="U17" s="11">
        <f t="shared" si="8"/>
        <v>0.11534447305640212</v>
      </c>
      <c r="V17" s="11">
        <f t="shared" si="9"/>
        <v>5.4844923097700558E-5</v>
      </c>
      <c r="W17" s="11">
        <f t="shared" si="10"/>
        <v>0.54850407590010319</v>
      </c>
      <c r="X17" s="11">
        <f t="shared" si="11"/>
        <v>9.8874526180215791E-2</v>
      </c>
      <c r="Y17" s="11">
        <f t="shared" si="12"/>
        <v>0.23722207994018116</v>
      </c>
      <c r="AA17" s="39" t="s">
        <v>220</v>
      </c>
      <c r="AB17" s="41">
        <v>0.21031021021021012</v>
      </c>
      <c r="AC17" s="11">
        <v>1E-4</v>
      </c>
      <c r="AD17" s="11">
        <v>1.0001</v>
      </c>
      <c r="AE17" s="11">
        <v>0.18028018018018013</v>
      </c>
      <c r="AF17" s="11">
        <v>0.43253243243243239</v>
      </c>
    </row>
    <row r="18" spans="1:32">
      <c r="A18" s="7" t="s">
        <v>221</v>
      </c>
      <c r="B18" s="11">
        <v>0.20399999999999999</v>
      </c>
      <c r="C18" s="11">
        <v>0.17899999999999999</v>
      </c>
      <c r="D18" s="11">
        <v>0.23400000000000001</v>
      </c>
      <c r="E18" s="11">
        <v>0.17899999999999999</v>
      </c>
      <c r="F18" s="13">
        <v>0.20399999999999999</v>
      </c>
      <c r="G18" s="11">
        <f t="shared" si="0"/>
        <v>0.23400000000000001</v>
      </c>
      <c r="H18" s="11">
        <f t="shared" si="1"/>
        <v>0.17899999999999999</v>
      </c>
      <c r="I18" s="13">
        <f t="shared" si="2"/>
        <v>5.5000000000000021E-2</v>
      </c>
      <c r="J18" s="13">
        <f>(B18-H$18)/I$18</f>
        <v>0.45454545454545425</v>
      </c>
      <c r="K18" s="13">
        <f>(C$18-H$18)/I$18</f>
        <v>0</v>
      </c>
      <c r="L18" s="13">
        <f t="shared" si="17"/>
        <v>1</v>
      </c>
      <c r="M18" s="13">
        <f t="shared" si="18"/>
        <v>0</v>
      </c>
      <c r="N18" s="13">
        <f t="shared" si="19"/>
        <v>0.45454545454545425</v>
      </c>
      <c r="O18" s="11">
        <f t="shared" si="15"/>
        <v>0.45464545454545424</v>
      </c>
      <c r="P18" s="11">
        <f t="shared" si="4"/>
        <v>1E-4</v>
      </c>
      <c r="Q18" s="11">
        <f t="shared" si="5"/>
        <v>1.0001</v>
      </c>
      <c r="R18" s="11">
        <f t="shared" si="6"/>
        <v>1E-4</v>
      </c>
      <c r="S18" s="13">
        <f t="shared" si="7"/>
        <v>0.45464545454545424</v>
      </c>
      <c r="T18" s="13">
        <f t="shared" si="16"/>
        <v>1.9095909090909085</v>
      </c>
      <c r="U18" s="11">
        <f t="shared" si="8"/>
        <v>0.2380852633833995</v>
      </c>
      <c r="V18" s="11">
        <f t="shared" si="9"/>
        <v>5.2367237152174453E-5</v>
      </c>
      <c r="W18" s="11">
        <f t="shared" si="10"/>
        <v>0.52372473875889669</v>
      </c>
      <c r="X18" s="11">
        <f t="shared" si="11"/>
        <v>5.2367237152174453E-5</v>
      </c>
      <c r="Y18" s="11">
        <f t="shared" si="12"/>
        <v>0.2380852633833995</v>
      </c>
      <c r="AA18" s="40" t="s">
        <v>221</v>
      </c>
      <c r="AB18" s="41">
        <v>0.45464545454545424</v>
      </c>
      <c r="AC18" s="11">
        <v>1E-4</v>
      </c>
      <c r="AD18" s="11">
        <v>1.0001</v>
      </c>
      <c r="AE18" s="11">
        <v>1E-4</v>
      </c>
      <c r="AF18" s="11">
        <v>0.45464545454545424</v>
      </c>
    </row>
    <row r="19" spans="1:32">
      <c r="A19" s="8" t="s">
        <v>222</v>
      </c>
      <c r="B19" s="11">
        <v>0.17899999999999999</v>
      </c>
      <c r="C19" s="11">
        <v>0.17899999999999999</v>
      </c>
      <c r="D19" s="11">
        <v>0.33</v>
      </c>
      <c r="E19" s="11">
        <v>0.20200000000000001</v>
      </c>
      <c r="F19" s="13">
        <v>0.11</v>
      </c>
      <c r="G19" s="11">
        <f t="shared" si="0"/>
        <v>0.33</v>
      </c>
      <c r="H19" s="11">
        <f t="shared" si="1"/>
        <v>0.11</v>
      </c>
      <c r="I19" s="13">
        <f t="shared" si="2"/>
        <v>0.22000000000000003</v>
      </c>
      <c r="J19" s="13">
        <f>(B19-H$19)/I$19</f>
        <v>0.31363636363636355</v>
      </c>
      <c r="K19" s="13">
        <f>(C$19-H$19)/I$19</f>
        <v>0.31363636363636355</v>
      </c>
      <c r="L19" s="13">
        <f t="shared" si="17"/>
        <v>1</v>
      </c>
      <c r="M19" s="13">
        <f t="shared" si="18"/>
        <v>0.41818181818181821</v>
      </c>
      <c r="N19" s="13">
        <f t="shared" si="19"/>
        <v>0</v>
      </c>
      <c r="O19" s="11">
        <f t="shared" si="15"/>
        <v>0.31373636363636354</v>
      </c>
      <c r="P19" s="11">
        <f t="shared" si="4"/>
        <v>0.31373636363636354</v>
      </c>
      <c r="Q19" s="11">
        <f t="shared" si="5"/>
        <v>1.0001</v>
      </c>
      <c r="R19" s="11">
        <f t="shared" si="6"/>
        <v>0.4182818181818182</v>
      </c>
      <c r="S19" s="13">
        <f t="shared" si="7"/>
        <v>1E-4</v>
      </c>
      <c r="T19" s="13">
        <f t="shared" si="16"/>
        <v>2.0459545454545456</v>
      </c>
      <c r="U19" s="11">
        <f t="shared" si="8"/>
        <v>0.15334473795294479</v>
      </c>
      <c r="V19" s="11">
        <f t="shared" si="9"/>
        <v>0.15334473795294479</v>
      </c>
      <c r="W19" s="11">
        <f t="shared" si="10"/>
        <v>0.48881828886272238</v>
      </c>
      <c r="X19" s="11">
        <f t="shared" si="11"/>
        <v>0.20444335829019572</v>
      </c>
      <c r="Y19" s="11">
        <f t="shared" si="12"/>
        <v>4.8876941192153027E-5</v>
      </c>
      <c r="AA19" s="40" t="s">
        <v>222</v>
      </c>
      <c r="AB19" s="41">
        <v>0.31373636363636354</v>
      </c>
      <c r="AC19" s="11">
        <v>0.31373636363636354</v>
      </c>
      <c r="AD19" s="11">
        <v>1.0001</v>
      </c>
      <c r="AE19" s="11">
        <v>0.4182818181818182</v>
      </c>
      <c r="AF19" s="11">
        <v>1E-4</v>
      </c>
    </row>
    <row r="22" spans="1:32">
      <c r="A22" s="402" t="s">
        <v>223</v>
      </c>
      <c r="B22" s="402"/>
      <c r="C22" s="402"/>
      <c r="D22" s="402"/>
      <c r="E22" s="403"/>
      <c r="F22" s="402" t="s">
        <v>62</v>
      </c>
      <c r="G22" s="402"/>
      <c r="H22" s="402"/>
      <c r="I22" s="402"/>
      <c r="J22" s="403"/>
      <c r="K22" s="402" t="s">
        <v>63</v>
      </c>
      <c r="L22" s="402"/>
      <c r="M22" s="402"/>
      <c r="N22" s="402"/>
      <c r="O22" s="402"/>
      <c r="P22" s="402"/>
    </row>
    <row r="23" spans="1:32">
      <c r="A23" s="16" t="s">
        <v>205</v>
      </c>
      <c r="B23" s="16" t="s">
        <v>206</v>
      </c>
      <c r="C23" s="16" t="s">
        <v>207</v>
      </c>
      <c r="D23" s="16" t="s">
        <v>208</v>
      </c>
      <c r="E23" s="15" t="s">
        <v>209</v>
      </c>
      <c r="F23" s="17" t="s">
        <v>205</v>
      </c>
      <c r="G23" s="17" t="s">
        <v>206</v>
      </c>
      <c r="H23" s="17" t="s">
        <v>207</v>
      </c>
      <c r="I23" s="17" t="s">
        <v>208</v>
      </c>
      <c r="J23" s="18" t="s">
        <v>209</v>
      </c>
      <c r="K23" s="17" t="s">
        <v>205</v>
      </c>
      <c r="L23" s="17" t="s">
        <v>206</v>
      </c>
      <c r="M23" s="17" t="s">
        <v>207</v>
      </c>
      <c r="N23" s="17" t="s">
        <v>208</v>
      </c>
      <c r="O23" s="18" t="s">
        <v>209</v>
      </c>
      <c r="P23" s="20" t="s">
        <v>180</v>
      </c>
      <c r="Q23" s="9" t="s">
        <v>64</v>
      </c>
      <c r="R23" s="12" t="s">
        <v>65</v>
      </c>
      <c r="S23" s="19" t="s">
        <v>51</v>
      </c>
      <c r="U23" s="43" t="s">
        <v>224</v>
      </c>
      <c r="V23" s="19" t="s">
        <v>64</v>
      </c>
      <c r="W23" s="19" t="s">
        <v>65</v>
      </c>
      <c r="X23" s="33" t="s">
        <v>51</v>
      </c>
    </row>
    <row r="24" spans="1:32">
      <c r="A24" s="11">
        <v>6.8812915580053216E-2</v>
      </c>
      <c r="B24" s="11">
        <v>4.2363906624418766E-2</v>
      </c>
      <c r="C24" s="11">
        <v>0.43380923916780834</v>
      </c>
      <c r="D24" s="11">
        <v>0.45496844633231592</v>
      </c>
      <c r="E24" s="13">
        <v>4.5492295403691225E-5</v>
      </c>
      <c r="F24" s="11">
        <f>LN(A24)</f>
        <v>-2.676363825206983</v>
      </c>
      <c r="G24" s="11">
        <f>LN(B24)</f>
        <v>-3.1614585381288451</v>
      </c>
      <c r="H24" s="11">
        <f>LN(C24)</f>
        <v>-0.83515038259623064</v>
      </c>
      <c r="I24" s="11">
        <f>LN(D24)</f>
        <v>-0.78752721115610513</v>
      </c>
      <c r="J24" s="13">
        <f>LN(E24)</f>
        <v>-9.9979675781326218</v>
      </c>
      <c r="K24" s="10">
        <f>A24*F24</f>
        <v>-0.18416839796547643</v>
      </c>
      <c r="L24" s="10">
        <f>B24*G24</f>
        <v>-0.13393173430626185</v>
      </c>
      <c r="M24" s="10">
        <f>C24*H24</f>
        <v>-0.36229595206477483</v>
      </c>
      <c r="N24" s="10">
        <f>D24*I24</f>
        <v>-0.35830003170411484</v>
      </c>
      <c r="O24" s="14">
        <f>E24*J24</f>
        <v>-4.5483049450093654E-4</v>
      </c>
      <c r="P24" s="14">
        <f>SUM(K24:O24)</f>
        <v>-1.039150946535129</v>
      </c>
      <c r="Q24" s="10">
        <f>P24*B$38</f>
        <v>0.64566078536296312</v>
      </c>
      <c r="R24" s="13">
        <f>1-Q24</f>
        <v>0.35433921463703688</v>
      </c>
      <c r="S24" s="11">
        <f>R24/R$36</f>
        <v>0.101609413997378</v>
      </c>
      <c r="U24" s="46" t="s">
        <v>225</v>
      </c>
      <c r="V24" s="11">
        <v>0.64566078536296312</v>
      </c>
      <c r="W24" s="11">
        <v>0.35433921463703688</v>
      </c>
      <c r="X24" s="45">
        <v>0.101609413997378</v>
      </c>
    </row>
    <row r="25" spans="1:32">
      <c r="A25" s="11">
        <v>0.42850990667347799</v>
      </c>
      <c r="B25" s="11">
        <v>5.3831660706732808E-5</v>
      </c>
      <c r="C25" s="11">
        <v>0.53837043872803481</v>
      </c>
      <c r="D25" s="11">
        <v>1.1039884866162418E-2</v>
      </c>
      <c r="E25" s="13">
        <v>2.2025938071618102E-2</v>
      </c>
      <c r="F25" s="11">
        <f t="shared" ref="F25:F35" si="20">LN(A25)</f>
        <v>-0.84744142178686621</v>
      </c>
      <c r="G25" s="11">
        <f t="shared" ref="G25:G35" si="21">LN(B25)</f>
        <v>-9.8296487749155368</v>
      </c>
      <c r="H25" s="11">
        <f t="shared" ref="H25:H35" si="22">LN(C25)</f>
        <v>-0.61920840793902099</v>
      </c>
      <c r="I25" s="11">
        <f t="shared" ref="I25:I35" si="23">LN(D25)</f>
        <v>-4.5062406669772042</v>
      </c>
      <c r="J25" s="13">
        <f t="shared" ref="J25:J35" si="24">LN(E25)</f>
        <v>-3.815534516846983</v>
      </c>
      <c r="K25" s="10">
        <f t="shared" ref="K25:K35" si="25">A25*F25</f>
        <v>-0.36313704456112955</v>
      </c>
      <c r="L25" s="10">
        <f t="shared" ref="L25:L35" si="26">B25*G25</f>
        <v>-5.2914631771760502E-4</v>
      </c>
      <c r="M25" s="10">
        <f t="shared" ref="M25:M35" si="27">C25*H25</f>
        <v>-0.33336350224621869</v>
      </c>
      <c r="N25" s="10">
        <f t="shared" ref="N25:N35" si="28">D25*I25</f>
        <v>-4.9748378142647272E-2</v>
      </c>
      <c r="O25" s="14">
        <f t="shared" ref="O25:O35" si="29">E25*J25</f>
        <v>-8.4040726978192939E-2</v>
      </c>
      <c r="P25" s="14">
        <f>SUM(K25:O25)</f>
        <v>-0.83081879824590621</v>
      </c>
      <c r="Q25" s="10">
        <f>P25*B$38</f>
        <v>0.51621674363901549</v>
      </c>
      <c r="R25" s="13">
        <f t="shared" ref="R25:R35" si="30">1-Q25</f>
        <v>0.48378325636098451</v>
      </c>
      <c r="S25" s="11">
        <f>R25/R$36</f>
        <v>0.13872845891735761</v>
      </c>
      <c r="U25" s="47" t="s">
        <v>226</v>
      </c>
      <c r="V25" s="11">
        <v>0.51621674363901549</v>
      </c>
      <c r="W25" s="11">
        <v>0.48378325636098451</v>
      </c>
      <c r="X25" s="45">
        <v>0.13872845891735761</v>
      </c>
    </row>
    <row r="26" spans="1:32">
      <c r="A26" s="11">
        <v>0.28711318774871808</v>
      </c>
      <c r="B26" s="11">
        <v>9.9348630937060797E-3</v>
      </c>
      <c r="C26" s="11">
        <v>0.3465085430319349</v>
      </c>
      <c r="D26" s="11">
        <v>0.356407768912471</v>
      </c>
      <c r="E26" s="13">
        <v>3.5637213169930111E-5</v>
      </c>
      <c r="F26" s="11">
        <f t="shared" si="20"/>
        <v>-1.2478787585710989</v>
      </c>
      <c r="G26" s="11">
        <f t="shared" si="21"/>
        <v>-4.611705183274001</v>
      </c>
      <c r="H26" s="11">
        <f t="shared" si="22"/>
        <v>-1.0598478054412945</v>
      </c>
      <c r="I26" s="11">
        <f t="shared" si="23"/>
        <v>-1.0316797853276891</v>
      </c>
      <c r="J26" s="13">
        <f t="shared" si="24"/>
        <v>-10.242120152304205</v>
      </c>
      <c r="K26" s="10">
        <f t="shared" si="25"/>
        <v>-0.35828244829726114</v>
      </c>
      <c r="L26" s="10">
        <f t="shared" si="26"/>
        <v>-4.5816659624361905E-2</v>
      </c>
      <c r="M26" s="10">
        <f t="shared" si="27"/>
        <v>-0.36724631889905657</v>
      </c>
      <c r="N26" s="10">
        <f t="shared" si="28"/>
        <v>-0.36769869052073872</v>
      </c>
      <c r="O26" s="14">
        <f t="shared" si="29"/>
        <v>-3.6500061917970201E-4</v>
      </c>
      <c r="P26" s="14">
        <f t="shared" ref="P26:P35" si="31">SUM(K26:O26)</f>
        <v>-1.1394091179605981</v>
      </c>
      <c r="Q26" s="10">
        <f t="shared" ref="Q26:Q35" si="32">P26*B$38</f>
        <v>0.70795468974467324</v>
      </c>
      <c r="R26" s="13">
        <f t="shared" si="30"/>
        <v>0.29204531025532676</v>
      </c>
      <c r="S26" s="11">
        <f t="shared" ref="S26:S35" si="33">R26/R$36</f>
        <v>8.3746172057538065E-2</v>
      </c>
      <c r="U26" s="48" t="s">
        <v>227</v>
      </c>
      <c r="V26" s="11">
        <v>0.70795468974467324</v>
      </c>
      <c r="W26" s="11">
        <v>0.29204531025532676</v>
      </c>
      <c r="X26" s="45">
        <v>8.3746172057538065E-2</v>
      </c>
    </row>
    <row r="27" spans="1:32">
      <c r="A27" s="11">
        <v>0.1600447332615508</v>
      </c>
      <c r="B27" s="11">
        <v>4.1696973226071945E-5</v>
      </c>
      <c r="C27" s="11">
        <v>0.12144123872245052</v>
      </c>
      <c r="D27" s="11">
        <v>0.41701142923394552</v>
      </c>
      <c r="E27" s="13">
        <v>0.30146090180882723</v>
      </c>
      <c r="F27" s="11">
        <f t="shared" si="20"/>
        <v>-1.8323019199396291</v>
      </c>
      <c r="G27" s="11">
        <f t="shared" si="21"/>
        <v>-10.08508201630057</v>
      </c>
      <c r="H27" s="11">
        <f t="shared" si="22"/>
        <v>-2.1083247651031565</v>
      </c>
      <c r="I27" s="11">
        <f t="shared" si="23"/>
        <v>-0.87464164932405308</v>
      </c>
      <c r="J27" s="13">
        <f t="shared" si="24"/>
        <v>-1.1991149501332961</v>
      </c>
      <c r="K27" s="10">
        <f t="shared" si="25"/>
        <v>-0.29325027203136533</v>
      </c>
      <c r="L27" s="10">
        <f t="shared" si="26"/>
        <v>-4.2051739481642453E-4</v>
      </c>
      <c r="M27" s="10">
        <f t="shared" si="27"/>
        <v>-0.25603757110334685</v>
      </c>
      <c r="N27" s="10">
        <f t="shared" si="28"/>
        <v>-0.36473556425215875</v>
      </c>
      <c r="O27" s="14">
        <f t="shared" si="29"/>
        <v>-0.36148627423963031</v>
      </c>
      <c r="P27" s="14">
        <f t="shared" si="31"/>
        <v>-1.2759301990213177</v>
      </c>
      <c r="Q27" s="10">
        <f t="shared" si="32"/>
        <v>0.79278000671154292</v>
      </c>
      <c r="R27" s="13">
        <f t="shared" si="30"/>
        <v>0.20721999328845708</v>
      </c>
      <c r="S27" s="11">
        <f t="shared" si="33"/>
        <v>5.9421879421809626E-2</v>
      </c>
      <c r="U27" s="49" t="s">
        <v>228</v>
      </c>
      <c r="V27" s="11">
        <v>0.79278000671154292</v>
      </c>
      <c r="W27" s="11">
        <v>0.20721999328845708</v>
      </c>
      <c r="X27" s="45">
        <v>5.9421879421809626E-2</v>
      </c>
    </row>
    <row r="28" spans="1:32">
      <c r="A28" s="11">
        <v>0.32783532188278486</v>
      </c>
      <c r="B28" s="11">
        <v>0.52450504785630003</v>
      </c>
      <c r="C28" s="11">
        <v>5.7414448669201562E-2</v>
      </c>
      <c r="D28" s="11">
        <v>9.0192736331453985E-2</v>
      </c>
      <c r="E28" s="13">
        <v>5.2445260259604039E-5</v>
      </c>
      <c r="F28" s="11">
        <f t="shared" si="20"/>
        <v>-1.1152438641065812</v>
      </c>
      <c r="G28" s="11">
        <f t="shared" si="21"/>
        <v>-0.64530022706187751</v>
      </c>
      <c r="H28" s="11">
        <f t="shared" si="22"/>
        <v>-2.857459288356885</v>
      </c>
      <c r="I28" s="11">
        <f t="shared" si="23"/>
        <v>-2.405806383632271</v>
      </c>
      <c r="J28" s="13">
        <f t="shared" si="24"/>
        <v>-9.8557405940383944</v>
      </c>
      <c r="K28" s="10">
        <f t="shared" si="25"/>
        <v>-0.36561633116718179</v>
      </c>
      <c r="L28" s="10">
        <f t="shared" si="26"/>
        <v>-0.33846322647677135</v>
      </c>
      <c r="M28" s="10">
        <f t="shared" si="27"/>
        <v>-0.1640594496356996</v>
      </c>
      <c r="N28" s="10">
        <f t="shared" si="28"/>
        <v>-0.21698626082347425</v>
      </c>
      <c r="O28" s="14">
        <f t="shared" si="29"/>
        <v>-5.1688688050548811E-4</v>
      </c>
      <c r="P28" s="14">
        <f t="shared" si="31"/>
        <v>-1.0856421549836324</v>
      </c>
      <c r="Q28" s="10">
        <f t="shared" si="32"/>
        <v>0.67454739732191127</v>
      </c>
      <c r="R28" s="13">
        <f t="shared" si="30"/>
        <v>0.32545260267808873</v>
      </c>
      <c r="S28" s="11">
        <f t="shared" si="33"/>
        <v>9.3325962456387926E-2</v>
      </c>
      <c r="U28" s="49" t="s">
        <v>229</v>
      </c>
      <c r="V28" s="11">
        <v>0.67454739732191127</v>
      </c>
      <c r="W28" s="11">
        <v>0.32545260267808873</v>
      </c>
      <c r="X28" s="45">
        <v>9.3325962456387926E-2</v>
      </c>
    </row>
    <row r="29" spans="1:32">
      <c r="A29" s="11">
        <v>0.28033280734471383</v>
      </c>
      <c r="B29" s="11">
        <v>0.13357094777264047</v>
      </c>
      <c r="C29" s="11">
        <v>0.50764816878717323</v>
      </c>
      <c r="D29" s="11">
        <v>5.0759740904626862E-5</v>
      </c>
      <c r="E29" s="13">
        <v>7.8397316354567814E-2</v>
      </c>
      <c r="F29" s="11">
        <f t="shared" si="20"/>
        <v>-1.2717777839761559</v>
      </c>
      <c r="G29" s="11">
        <f t="shared" si="21"/>
        <v>-2.0131224983183613</v>
      </c>
      <c r="H29" s="11">
        <f t="shared" si="22"/>
        <v>-0.67796665247637011</v>
      </c>
      <c r="I29" s="11">
        <f t="shared" si="23"/>
        <v>-9.8884070194528864</v>
      </c>
      <c r="J29" s="13">
        <f t="shared" si="24"/>
        <v>-2.5459655823829697</v>
      </c>
      <c r="K29" s="10">
        <f t="shared" si="25"/>
        <v>-0.35652103650067479</v>
      </c>
      <c r="L29" s="10">
        <f t="shared" si="26"/>
        <v>-0.26889468008280937</v>
      </c>
      <c r="M29" s="10">
        <f t="shared" si="27"/>
        <v>-0.34416852962839917</v>
      </c>
      <c r="N29" s="10">
        <f t="shared" si="28"/>
        <v>-5.0193297826692208E-4</v>
      </c>
      <c r="O29" s="14">
        <f t="shared" si="29"/>
        <v>-0.19959686918991915</v>
      </c>
      <c r="P29" s="14">
        <f t="shared" si="31"/>
        <v>-1.1696830483800693</v>
      </c>
      <c r="Q29" s="10">
        <f t="shared" si="32"/>
        <v>0.7267649403207177</v>
      </c>
      <c r="R29" s="13">
        <f t="shared" si="30"/>
        <v>0.2732350596792823</v>
      </c>
      <c r="S29" s="11">
        <f>R29/R$36</f>
        <v>7.8352192336344814E-2</v>
      </c>
      <c r="U29" s="50" t="s">
        <v>230</v>
      </c>
      <c r="V29" s="11">
        <v>0.7267649403207177</v>
      </c>
      <c r="W29" s="11">
        <v>0.2732350596792823</v>
      </c>
      <c r="X29" s="45">
        <v>7.8352192336344814E-2</v>
      </c>
    </row>
    <row r="30" spans="1:32">
      <c r="A30" s="11">
        <v>0.28694404715845112</v>
      </c>
      <c r="B30" s="11">
        <v>0.28694404715845112</v>
      </c>
      <c r="C30" s="11">
        <v>0.28694404715845112</v>
      </c>
      <c r="D30" s="11">
        <v>0.13913916698908416</v>
      </c>
      <c r="E30" s="13">
        <v>2.8691535562288884E-5</v>
      </c>
      <c r="F30" s="11">
        <f t="shared" si="20"/>
        <v>-1.248468039865285</v>
      </c>
      <c r="G30" s="11">
        <f t="shared" si="21"/>
        <v>-1.248468039865285</v>
      </c>
      <c r="H30" s="11">
        <f t="shared" si="22"/>
        <v>-1.248468039865285</v>
      </c>
      <c r="I30" s="11">
        <f t="shared" si="23"/>
        <v>-1.9722806453589243</v>
      </c>
      <c r="J30" s="13">
        <f t="shared" si="24"/>
        <v>-10.4589084068418</v>
      </c>
      <c r="K30" s="10">
        <f t="shared" si="25"/>
        <v>-0.35824047210692339</v>
      </c>
      <c r="L30" s="10">
        <f t="shared" si="26"/>
        <v>-0.35824047210692339</v>
      </c>
      <c r="M30" s="10">
        <f t="shared" si="27"/>
        <v>-0.35824047210692339</v>
      </c>
      <c r="N30" s="10">
        <f t="shared" si="28"/>
        <v>-0.27442148606393402</v>
      </c>
      <c r="O30" s="14">
        <f t="shared" si="29"/>
        <v>-3.0008214249762369E-4</v>
      </c>
      <c r="P30" s="14">
        <f t="shared" si="31"/>
        <v>-1.3494429845272018</v>
      </c>
      <c r="Q30" s="10">
        <f t="shared" si="32"/>
        <v>0.83845606848313625</v>
      </c>
      <c r="R30" s="13">
        <f t="shared" si="30"/>
        <v>0.16154393151686375</v>
      </c>
      <c r="S30" s="11">
        <f t="shared" si="33"/>
        <v>4.6323927858436344E-2</v>
      </c>
      <c r="U30" s="51" t="s">
        <v>231</v>
      </c>
      <c r="V30" s="11">
        <v>0.83845606848313625</v>
      </c>
      <c r="W30" s="11">
        <v>0.16154393151686375</v>
      </c>
      <c r="X30" s="45">
        <v>4.6323927858436344E-2</v>
      </c>
    </row>
    <row r="31" spans="1:32">
      <c r="A31" s="11">
        <v>0.31495607834566497</v>
      </c>
      <c r="B31" s="11">
        <v>0.31495607834566497</v>
      </c>
      <c r="C31" s="11">
        <v>0.25816639892340537</v>
      </c>
      <c r="D31" s="11">
        <v>0.11188995192667589</v>
      </c>
      <c r="E31" s="13">
        <v>3.1492458588707626E-5</v>
      </c>
      <c r="F31" s="11">
        <f t="shared" si="20"/>
        <v>-1.155322083701589</v>
      </c>
      <c r="G31" s="11">
        <f t="shared" si="21"/>
        <v>-1.155322083701589</v>
      </c>
      <c r="H31" s="11">
        <f t="shared" si="22"/>
        <v>-1.3541509448884821</v>
      </c>
      <c r="I31" s="11">
        <f t="shared" si="23"/>
        <v>-2.1902394628106836</v>
      </c>
      <c r="J31" s="13">
        <f t="shared" si="24"/>
        <v>-10.365762450678105</v>
      </c>
      <c r="K31" s="10">
        <f t="shared" si="25"/>
        <v>-0.36387571270879454</v>
      </c>
      <c r="L31" s="10">
        <f t="shared" si="26"/>
        <v>-0.36387571270879454</v>
      </c>
      <c r="M31" s="10">
        <f t="shared" si="27"/>
        <v>-0.34959627304058621</v>
      </c>
      <c r="N31" s="10">
        <f t="shared" si="28"/>
        <v>-0.24506578820179581</v>
      </c>
      <c r="O31" s="14">
        <f t="shared" si="29"/>
        <v>-3.2644334471836067E-4</v>
      </c>
      <c r="P31" s="14">
        <f t="shared" si="31"/>
        <v>-1.3227399300046894</v>
      </c>
      <c r="Q31" s="10">
        <f t="shared" si="32"/>
        <v>0.82186452784884922</v>
      </c>
      <c r="R31" s="13">
        <f t="shared" si="30"/>
        <v>0.17813547215115078</v>
      </c>
      <c r="S31" s="11">
        <f t="shared" si="33"/>
        <v>5.1081675947059493E-2</v>
      </c>
      <c r="U31" s="51" t="s">
        <v>232</v>
      </c>
      <c r="V31" s="11">
        <v>0.82186452784884922</v>
      </c>
      <c r="W31" s="11">
        <v>0.17813547215115078</v>
      </c>
      <c r="X31" s="45">
        <v>5.1081675947059493E-2</v>
      </c>
    </row>
    <row r="32" spans="1:32">
      <c r="A32" s="11">
        <v>0.32788503352240628</v>
      </c>
      <c r="B32" s="11">
        <v>0.23034560117480823</v>
      </c>
      <c r="C32" s="11">
        <v>0.44168103792793723</v>
      </c>
      <c r="D32" s="11">
        <v>4.4163687424051321E-5</v>
      </c>
      <c r="E32" s="13">
        <v>4.4163687424051321E-5</v>
      </c>
      <c r="F32" s="11">
        <f t="shared" si="20"/>
        <v>-1.115092239593763</v>
      </c>
      <c r="G32" s="11">
        <f t="shared" si="21"/>
        <v>-1.4681744840499305</v>
      </c>
      <c r="H32" s="11">
        <f t="shared" si="22"/>
        <v>-0.81716729105453279</v>
      </c>
      <c r="I32" s="11">
        <f t="shared" si="23"/>
        <v>-10.027607658031048</v>
      </c>
      <c r="J32" s="13">
        <f t="shared" si="24"/>
        <v>-10.027607658031048</v>
      </c>
      <c r="K32" s="10">
        <f t="shared" si="25"/>
        <v>-0.36562205635977607</v>
      </c>
      <c r="L32" s="10">
        <f t="shared" si="26"/>
        <v>-0.33818753415799513</v>
      </c>
      <c r="M32" s="10">
        <f t="shared" si="27"/>
        <v>-0.3609272972737268</v>
      </c>
      <c r="N32" s="10">
        <f t="shared" si="28"/>
        <v>-4.4285613022030653E-4</v>
      </c>
      <c r="O32" s="14">
        <f t="shared" si="29"/>
        <v>-4.4285613022030653E-4</v>
      </c>
      <c r="P32" s="14">
        <f t="shared" si="31"/>
        <v>-1.0656226000519387</v>
      </c>
      <c r="Q32" s="10">
        <f t="shared" si="32"/>
        <v>0.66210854846851475</v>
      </c>
      <c r="R32" s="13">
        <f t="shared" si="30"/>
        <v>0.33789145153148525</v>
      </c>
      <c r="S32" s="11">
        <f>R32/R$36</f>
        <v>9.6892895188036732E-2</v>
      </c>
      <c r="U32" s="51" t="s">
        <v>233</v>
      </c>
      <c r="V32" s="11">
        <v>0.66210854846851475</v>
      </c>
      <c r="W32" s="11">
        <v>0.33789145153148525</v>
      </c>
      <c r="X32" s="45">
        <v>9.6892895188036732E-2</v>
      </c>
    </row>
    <row r="33" spans="1:33">
      <c r="A33" s="11">
        <v>0.11534447305640212</v>
      </c>
      <c r="B33" s="11">
        <v>5.4844923097700558E-5</v>
      </c>
      <c r="C33" s="11">
        <v>0.54850407590010319</v>
      </c>
      <c r="D33" s="11">
        <v>9.8874526180215791E-2</v>
      </c>
      <c r="E33" s="13">
        <v>0.23722207994018116</v>
      </c>
      <c r="F33" s="11">
        <f t="shared" si="20"/>
        <v>-2.1598322100625271</v>
      </c>
      <c r="G33" s="11">
        <f t="shared" si="21"/>
        <v>-9.8110009352771712</v>
      </c>
      <c r="H33" s="11">
        <f t="shared" si="22"/>
        <v>-0.60056056830065474</v>
      </c>
      <c r="I33" s="11">
        <f t="shared" si="23"/>
        <v>-2.3139036450148702</v>
      </c>
      <c r="J33" s="13">
        <f t="shared" si="24"/>
        <v>-1.4387585304395911</v>
      </c>
      <c r="K33" s="10">
        <f t="shared" si="25"/>
        <v>-0.24912470815990662</v>
      </c>
      <c r="L33" s="10">
        <f t="shared" si="26"/>
        <v>-5.3808359180674474E-4</v>
      </c>
      <c r="M33" s="10">
        <f t="shared" si="27"/>
        <v>-0.32940991953779142</v>
      </c>
      <c r="N33" s="10">
        <f t="shared" si="28"/>
        <v>-0.22878612652751953</v>
      </c>
      <c r="O33" s="14">
        <f t="shared" si="29"/>
        <v>-0.34130529112255825</v>
      </c>
      <c r="P33" s="14">
        <f t="shared" si="31"/>
        <v>-1.1491641289395824</v>
      </c>
      <c r="Q33" s="10">
        <f t="shared" si="32"/>
        <v>0.71401581885292886</v>
      </c>
      <c r="R33" s="13">
        <f t="shared" si="30"/>
        <v>0.28598418114707114</v>
      </c>
      <c r="S33" s="11">
        <f t="shared" si="33"/>
        <v>8.2008098055530804E-2</v>
      </c>
      <c r="U33" s="52" t="s">
        <v>234</v>
      </c>
      <c r="V33" s="11">
        <v>0.71401581885292886</v>
      </c>
      <c r="W33" s="11">
        <v>0.28598418114707114</v>
      </c>
      <c r="X33" s="45">
        <v>8.2008098055530804E-2</v>
      </c>
    </row>
    <row r="34" spans="1:33">
      <c r="A34" s="11">
        <v>0.2380852633833995</v>
      </c>
      <c r="B34" s="11">
        <v>5.2367237152174453E-5</v>
      </c>
      <c r="C34" s="11">
        <v>0.52372473875889669</v>
      </c>
      <c r="D34" s="11">
        <v>5.2367237152174453E-5</v>
      </c>
      <c r="E34" s="13">
        <v>0.2380852633833995</v>
      </c>
      <c r="F34" s="11">
        <f t="shared" si="20"/>
        <v>-1.4351264199566141</v>
      </c>
      <c r="G34" s="11">
        <f t="shared" si="21"/>
        <v>-9.8572294073720741</v>
      </c>
      <c r="H34" s="11">
        <f t="shared" si="22"/>
        <v>-0.64678904039555851</v>
      </c>
      <c r="I34" s="11">
        <f t="shared" si="23"/>
        <v>-9.8572294073720741</v>
      </c>
      <c r="J34" s="13">
        <f t="shared" si="24"/>
        <v>-1.4351264199566141</v>
      </c>
      <c r="K34" s="10">
        <f t="shared" si="25"/>
        <v>-0.34168245168384564</v>
      </c>
      <c r="L34" s="10">
        <f t="shared" si="26"/>
        <v>-5.161958700392415E-4</v>
      </c>
      <c r="M34" s="10">
        <f t="shared" si="27"/>
        <v>-0.33873942121328138</v>
      </c>
      <c r="N34" s="10">
        <f t="shared" si="28"/>
        <v>-5.161958700392415E-4</v>
      </c>
      <c r="O34" s="14">
        <f t="shared" si="29"/>
        <v>-0.34168245168384564</v>
      </c>
      <c r="P34" s="14">
        <f t="shared" si="31"/>
        <v>-1.0231367163210512</v>
      </c>
      <c r="Q34" s="10">
        <f t="shared" si="32"/>
        <v>0.63571058468087649</v>
      </c>
      <c r="R34" s="13">
        <f t="shared" si="30"/>
        <v>0.36428941531912351</v>
      </c>
      <c r="S34" s="11">
        <f t="shared" si="33"/>
        <v>0.1044627082947613</v>
      </c>
      <c r="U34" s="53" t="s">
        <v>235</v>
      </c>
      <c r="V34" s="11">
        <v>0.63571058468087649</v>
      </c>
      <c r="W34" s="11">
        <v>0.36428941531912351</v>
      </c>
      <c r="X34" s="45">
        <v>0.1044627082947613</v>
      </c>
    </row>
    <row r="35" spans="1:33">
      <c r="A35" s="11">
        <v>0.15334473795294479</v>
      </c>
      <c r="B35" s="11">
        <v>0.15334473795294479</v>
      </c>
      <c r="C35" s="11">
        <v>0.48881828886272238</v>
      </c>
      <c r="D35" s="11">
        <v>0.20444335829019572</v>
      </c>
      <c r="E35" s="13">
        <v>4.8876941192153027E-5</v>
      </c>
      <c r="F35" s="11">
        <f t="shared" si="20"/>
        <v>-1.8750667029790211</v>
      </c>
      <c r="G35" s="11">
        <f t="shared" si="21"/>
        <v>-1.8750667029790211</v>
      </c>
      <c r="H35" s="11">
        <f t="shared" si="22"/>
        <v>-0.71576445598443983</v>
      </c>
      <c r="I35" s="11">
        <f t="shared" si="23"/>
        <v>-1.5874643184404369</v>
      </c>
      <c r="J35" s="13">
        <f t="shared" si="24"/>
        <v>-9.9262048229609565</v>
      </c>
      <c r="K35" s="10">
        <f t="shared" si="25"/>
        <v>-0.28753161221261014</v>
      </c>
      <c r="L35" s="10">
        <f t="shared" si="26"/>
        <v>-0.28753161221261014</v>
      </c>
      <c r="M35" s="10">
        <f t="shared" si="27"/>
        <v>-0.34987875660307127</v>
      </c>
      <c r="N35" s="10">
        <f t="shared" si="28"/>
        <v>-0.32454653642781961</v>
      </c>
      <c r="O35" s="14">
        <f t="shared" si="29"/>
        <v>-4.8516252939312843E-4</v>
      </c>
      <c r="P35" s="14">
        <f t="shared" si="31"/>
        <v>-1.2499736799855043</v>
      </c>
      <c r="Q35" s="10">
        <f t="shared" si="32"/>
        <v>0.7766523146550306</v>
      </c>
      <c r="R35" s="13">
        <f t="shared" si="30"/>
        <v>0.2233476853449694</v>
      </c>
      <c r="S35" s="11">
        <f t="shared" si="33"/>
        <v>6.4046615469359414E-2</v>
      </c>
      <c r="U35" s="53" t="s">
        <v>236</v>
      </c>
      <c r="V35" s="42">
        <v>0.7766523146550306</v>
      </c>
      <c r="W35" s="42">
        <v>0.2233476853449694</v>
      </c>
      <c r="X35" s="45">
        <v>6.4046615469359414E-2</v>
      </c>
    </row>
    <row r="36" spans="1:33">
      <c r="R36">
        <f>SUM(R24:R35)</f>
        <v>3.4872675739098398</v>
      </c>
      <c r="S36">
        <f>SUM(S24:S35)</f>
        <v>1</v>
      </c>
      <c r="V36" s="19" t="s">
        <v>48</v>
      </c>
      <c r="W36" s="10">
        <f>SUM(W24:W35)</f>
        <v>3.4872675739098398</v>
      </c>
    </row>
    <row r="38" spans="1:33">
      <c r="A38">
        <f>LN(5)</f>
        <v>1.6094379124341003</v>
      </c>
      <c r="B38">
        <f>-1/A38</f>
        <v>-0.62133493455961186</v>
      </c>
      <c r="D38" s="22" t="s">
        <v>60</v>
      </c>
    </row>
    <row r="39" spans="1:33">
      <c r="D39" s="10">
        <f>SUM(B8:F8)</f>
        <v>2.86</v>
      </c>
      <c r="AA39" s="43" t="s">
        <v>224</v>
      </c>
      <c r="AB39" s="19" t="s">
        <v>205</v>
      </c>
      <c r="AC39" s="19" t="s">
        <v>206</v>
      </c>
      <c r="AD39" s="19" t="s">
        <v>207</v>
      </c>
      <c r="AE39" s="19" t="s">
        <v>208</v>
      </c>
      <c r="AF39" s="19" t="s">
        <v>209</v>
      </c>
      <c r="AG39" s="19" t="s">
        <v>60</v>
      </c>
    </row>
    <row r="40" spans="1:33">
      <c r="D40" s="10">
        <f>SUM(B9:F9)</f>
        <v>3.39</v>
      </c>
      <c r="AA40" s="46" t="s">
        <v>225</v>
      </c>
      <c r="AB40" s="11">
        <v>-0.18416839796547643</v>
      </c>
      <c r="AC40" s="11">
        <v>-0.13393173430626185</v>
      </c>
      <c r="AD40" s="11">
        <v>-0.36229595206477483</v>
      </c>
      <c r="AE40" s="11">
        <v>-0.35830003170411484</v>
      </c>
      <c r="AF40" s="11">
        <v>-4.5483049450093654E-4</v>
      </c>
      <c r="AG40" s="11">
        <v>-1.039150946535129</v>
      </c>
    </row>
    <row r="41" spans="1:33">
      <c r="D41" s="10">
        <f>SUM(B10:F10)</f>
        <v>2.19</v>
      </c>
      <c r="F41" s="23">
        <v>0.101609413997378</v>
      </c>
      <c r="G41" s="23">
        <v>0.13872845891735761</v>
      </c>
      <c r="H41" s="23">
        <v>8.3746172057538065E-2</v>
      </c>
      <c r="I41" s="23">
        <v>5.9421879421809626E-2</v>
      </c>
      <c r="J41" s="23">
        <v>9.3325962456387926E-2</v>
      </c>
      <c r="K41" s="23">
        <v>7.8352192336344814E-2</v>
      </c>
      <c r="L41" s="23">
        <v>4.6323927858436344E-2</v>
      </c>
      <c r="M41" s="23">
        <v>5.1081675947059493E-2</v>
      </c>
      <c r="N41" s="23">
        <v>9.6892895188036732E-2</v>
      </c>
      <c r="O41" s="23">
        <v>8.2008098055530804E-2</v>
      </c>
      <c r="P41" s="23">
        <v>0.1044627082947613</v>
      </c>
      <c r="Q41" s="23">
        <v>6.4046615469359414E-2</v>
      </c>
      <c r="AA41" s="47" t="s">
        <v>226</v>
      </c>
      <c r="AB41" s="11">
        <v>-0.36313704456112955</v>
      </c>
      <c r="AC41" s="11">
        <v>-5.2914631771760502E-4</v>
      </c>
      <c r="AD41" s="11">
        <v>-0.33336350224621869</v>
      </c>
      <c r="AE41" s="11">
        <v>-4.9748378142647272E-2</v>
      </c>
      <c r="AF41" s="11">
        <v>-8.4040726978192939E-2</v>
      </c>
      <c r="AG41" s="11">
        <v>-0.83081879824590621</v>
      </c>
    </row>
    <row r="42" spans="1:33">
      <c r="D42" s="10">
        <f>SUM(B11:F11)</f>
        <v>15.053000000000001</v>
      </c>
      <c r="AA42" s="48" t="s">
        <v>227</v>
      </c>
      <c r="AB42" s="11">
        <v>-0.35828244829726114</v>
      </c>
      <c r="AC42" s="11">
        <v>-4.5816659624361905E-2</v>
      </c>
      <c r="AD42" s="11">
        <v>-0.36724631889905657</v>
      </c>
      <c r="AE42" s="11">
        <v>-0.36769869052073872</v>
      </c>
      <c r="AF42" s="11">
        <v>-3.6500061917970201E-4</v>
      </c>
      <c r="AG42" s="11">
        <v>-1.1394091179605981</v>
      </c>
    </row>
    <row r="43" spans="1:33">
      <c r="D43" s="10">
        <f t="shared" ref="D43:D50" si="34">SUM(B12:F12)</f>
        <v>0.99900000000000011</v>
      </c>
      <c r="AA43" s="49" t="s">
        <v>228</v>
      </c>
      <c r="AB43" s="11">
        <v>-0.29325027203136533</v>
      </c>
      <c r="AC43" s="11">
        <v>-4.2051739481642453E-4</v>
      </c>
      <c r="AD43" s="11">
        <v>-0.25603757110334685</v>
      </c>
      <c r="AE43" s="11">
        <v>-0.36473556425215875</v>
      </c>
      <c r="AF43" s="11">
        <v>-0.36148627423963031</v>
      </c>
      <c r="AG43" s="11">
        <v>-1.2759301990213177</v>
      </c>
    </row>
    <row r="44" spans="1:33">
      <c r="D44" s="14">
        <f t="shared" si="34"/>
        <v>100.1</v>
      </c>
      <c r="E44" s="67"/>
      <c r="F44" s="71" t="s">
        <v>237</v>
      </c>
      <c r="G44" s="35" t="s">
        <v>226</v>
      </c>
      <c r="H44" s="34" t="s">
        <v>227</v>
      </c>
      <c r="I44" s="36" t="s">
        <v>228</v>
      </c>
      <c r="J44" s="36" t="s">
        <v>229</v>
      </c>
      <c r="K44" s="37" t="s">
        <v>230</v>
      </c>
      <c r="L44" s="38" t="s">
        <v>231</v>
      </c>
      <c r="M44" s="38" t="s">
        <v>232</v>
      </c>
      <c r="N44" s="38" t="s">
        <v>233</v>
      </c>
      <c r="O44" s="39" t="s">
        <v>234</v>
      </c>
      <c r="P44" s="40" t="s">
        <v>235</v>
      </c>
      <c r="Q44" s="40" t="s">
        <v>236</v>
      </c>
      <c r="AA44" s="49" t="s">
        <v>229</v>
      </c>
      <c r="AB44" s="11">
        <v>-0.36561633116718179</v>
      </c>
      <c r="AC44" s="11">
        <v>-0.33846322647677135</v>
      </c>
      <c r="AD44" s="11">
        <v>-0.1640594496356996</v>
      </c>
      <c r="AE44" s="11">
        <v>-0.21698626082347425</v>
      </c>
      <c r="AF44" s="11">
        <v>-5.1688688050548811E-4</v>
      </c>
      <c r="AG44" s="11">
        <v>-1.0856421549836324</v>
      </c>
    </row>
    <row r="45" spans="1:33">
      <c r="D45" s="14">
        <f t="shared" si="34"/>
        <v>130</v>
      </c>
      <c r="E45" s="17" t="s">
        <v>205</v>
      </c>
      <c r="F45" s="56">
        <v>6.8812915580053216E-2</v>
      </c>
      <c r="G45" s="21">
        <v>0.42850990667347799</v>
      </c>
      <c r="H45" s="21">
        <v>0.28711318774871808</v>
      </c>
      <c r="I45" s="21">
        <v>0.1600447332615508</v>
      </c>
      <c r="J45" s="21">
        <v>0.32783532188278486</v>
      </c>
      <c r="K45" s="21">
        <v>0.28033280734471383</v>
      </c>
      <c r="L45" s="21">
        <v>0.28694404715845112</v>
      </c>
      <c r="M45" s="21">
        <v>0.31495607834566497</v>
      </c>
      <c r="N45" s="21">
        <v>0.32788503352240628</v>
      </c>
      <c r="O45" s="21">
        <v>0.11534447305640212</v>
      </c>
      <c r="P45" s="21">
        <v>0.2380852633833995</v>
      </c>
      <c r="Q45" s="21">
        <v>0.15334473795294479</v>
      </c>
      <c r="AA45" s="50" t="s">
        <v>230</v>
      </c>
      <c r="AB45" s="11">
        <v>-0.35652103650067479</v>
      </c>
      <c r="AC45" s="11">
        <v>-0.26889468008280937</v>
      </c>
      <c r="AD45" s="11">
        <v>-0.34416852962839917</v>
      </c>
      <c r="AE45" s="11">
        <v>-5.0193297826692208E-4</v>
      </c>
      <c r="AF45" s="11">
        <v>-0.19959686918991915</v>
      </c>
      <c r="AG45" s="11">
        <v>-1.1696830483800693</v>
      </c>
    </row>
    <row r="46" spans="1:33">
      <c r="D46" s="14">
        <f t="shared" si="34"/>
        <v>1.0010000000000001</v>
      </c>
      <c r="E46" s="19" t="s">
        <v>206</v>
      </c>
      <c r="F46" s="41">
        <v>4.2363906624418766E-2</v>
      </c>
      <c r="G46" s="11">
        <v>5.3831660706732808E-5</v>
      </c>
      <c r="H46" s="11">
        <v>9.9348630937060797E-3</v>
      </c>
      <c r="I46" s="11">
        <v>4.1696973226071945E-5</v>
      </c>
      <c r="J46" s="11">
        <v>0.52450504785630003</v>
      </c>
      <c r="K46" s="11">
        <v>0.13357094777264047</v>
      </c>
      <c r="L46" s="11">
        <v>0.28694404715845112</v>
      </c>
      <c r="M46" s="11">
        <v>0.31495607834566497</v>
      </c>
      <c r="N46" s="11">
        <v>0.23034560117480823</v>
      </c>
      <c r="O46" s="11">
        <v>5.4844923097700558E-5</v>
      </c>
      <c r="P46" s="11">
        <v>5.2367237152174453E-5</v>
      </c>
      <c r="Q46" s="11">
        <v>0.15334473795294479</v>
      </c>
      <c r="AA46" s="51" t="s">
        <v>231</v>
      </c>
      <c r="AB46" s="11">
        <v>-0.35824047210692339</v>
      </c>
      <c r="AC46" s="11">
        <v>-0.35824047210692339</v>
      </c>
      <c r="AD46" s="11">
        <v>-0.35824047210692339</v>
      </c>
      <c r="AE46" s="11">
        <v>-0.27442148606393402</v>
      </c>
      <c r="AF46" s="11">
        <v>-3.0008214249762369E-4</v>
      </c>
      <c r="AG46" s="11">
        <v>-1.3494429845272018</v>
      </c>
    </row>
    <row r="47" spans="1:33">
      <c r="D47" s="14">
        <f t="shared" si="34"/>
        <v>0.99899999999999989</v>
      </c>
      <c r="E47" s="19" t="s">
        <v>207</v>
      </c>
      <c r="F47" s="41">
        <v>0.43380923916780834</v>
      </c>
      <c r="G47" s="11">
        <v>0.53837043872803481</v>
      </c>
      <c r="H47" s="11">
        <v>0.3465085430319349</v>
      </c>
      <c r="I47" s="11">
        <v>0.12144123872245052</v>
      </c>
      <c r="J47" s="11">
        <v>5.7414448669201562E-2</v>
      </c>
      <c r="K47" s="11">
        <v>0.50764816878717323</v>
      </c>
      <c r="L47" s="11">
        <v>0.28694404715845112</v>
      </c>
      <c r="M47" s="11">
        <v>0.25816639892340537</v>
      </c>
      <c r="N47" s="11">
        <v>0.44168103792793723</v>
      </c>
      <c r="O47" s="11">
        <v>0.54850407590010319</v>
      </c>
      <c r="P47" s="11">
        <v>0.52372473875889669</v>
      </c>
      <c r="Q47" s="11">
        <v>0.48881828886272238</v>
      </c>
      <c r="AA47" s="51" t="s">
        <v>232</v>
      </c>
      <c r="AB47" s="11">
        <v>-0.36387571270879454</v>
      </c>
      <c r="AC47" s="11">
        <v>-0.36387571270879454</v>
      </c>
      <c r="AD47" s="11">
        <v>-0.34959627304058621</v>
      </c>
      <c r="AE47" s="11">
        <v>-0.24506578820179581</v>
      </c>
      <c r="AF47" s="11">
        <v>-3.2644334471836067E-4</v>
      </c>
      <c r="AG47" s="11">
        <v>-1.3227399300046894</v>
      </c>
    </row>
    <row r="48" spans="1:33">
      <c r="D48" s="14">
        <f t="shared" si="34"/>
        <v>107.7</v>
      </c>
      <c r="E48" s="19" t="s">
        <v>208</v>
      </c>
      <c r="F48" s="41">
        <v>0.45496844633231592</v>
      </c>
      <c r="G48" s="11">
        <v>1.1039884866162418E-2</v>
      </c>
      <c r="H48" s="11">
        <v>0.356407768912471</v>
      </c>
      <c r="I48" s="11">
        <v>0.41701142923394552</v>
      </c>
      <c r="J48" s="11">
        <v>9.0192736331453985E-2</v>
      </c>
      <c r="K48" s="11">
        <v>5.0759740904626862E-5</v>
      </c>
      <c r="L48" s="11">
        <v>0.13913916698908416</v>
      </c>
      <c r="M48" s="11">
        <v>0.11188995192667589</v>
      </c>
      <c r="N48" s="11">
        <v>4.4163687424051321E-5</v>
      </c>
      <c r="O48" s="11">
        <v>9.8874526180215791E-2</v>
      </c>
      <c r="P48" s="11">
        <v>5.2367237152174453E-5</v>
      </c>
      <c r="Q48" s="11">
        <v>0.20444335829019572</v>
      </c>
      <c r="AA48" s="51" t="s">
        <v>233</v>
      </c>
      <c r="AB48" s="11">
        <v>-0.36562205635977607</v>
      </c>
      <c r="AC48" s="11">
        <v>-0.33818753415799513</v>
      </c>
      <c r="AD48" s="11">
        <v>-0.3609272972737268</v>
      </c>
      <c r="AE48" s="11">
        <v>-4.4285613022030653E-4</v>
      </c>
      <c r="AF48" s="11">
        <v>-4.4285613022030653E-4</v>
      </c>
      <c r="AG48" s="11">
        <v>-1.0656226000519387</v>
      </c>
    </row>
    <row r="49" spans="1:33">
      <c r="D49" s="14">
        <f t="shared" si="34"/>
        <v>1</v>
      </c>
      <c r="E49" s="19" t="s">
        <v>209</v>
      </c>
      <c r="F49" s="70">
        <v>4.5492295403691225E-5</v>
      </c>
      <c r="G49" s="13">
        <v>2.2025938071618102E-2</v>
      </c>
      <c r="H49" s="13">
        <v>3.5637213169930111E-5</v>
      </c>
      <c r="I49" s="13">
        <v>0.30146090180882723</v>
      </c>
      <c r="J49" s="13">
        <v>5.2445260259604039E-5</v>
      </c>
      <c r="K49" s="13">
        <v>7.8397316354567814E-2</v>
      </c>
      <c r="L49" s="13">
        <v>2.8691535562288884E-5</v>
      </c>
      <c r="M49" s="13">
        <v>3.1492458588707626E-5</v>
      </c>
      <c r="N49" s="13">
        <v>4.4163687424051321E-5</v>
      </c>
      <c r="O49" s="13">
        <v>0.23722207994018116</v>
      </c>
      <c r="P49" s="13">
        <v>0.2380852633833995</v>
      </c>
      <c r="Q49" s="11">
        <v>4.8876941192153027E-5</v>
      </c>
      <c r="AA49" s="52" t="s">
        <v>234</v>
      </c>
      <c r="AB49" s="11">
        <v>-0.24912470815990662</v>
      </c>
      <c r="AC49" s="11">
        <v>-5.3808359180674474E-4</v>
      </c>
      <c r="AD49" s="11">
        <v>-0.32940991953779142</v>
      </c>
      <c r="AE49" s="11">
        <v>-0.22878612652751953</v>
      </c>
      <c r="AF49" s="11">
        <v>-0.34130529112255825</v>
      </c>
      <c r="AG49" s="11">
        <v>-1.1491641289395824</v>
      </c>
    </row>
    <row r="50" spans="1:33">
      <c r="D50" s="10">
        <f t="shared" si="34"/>
        <v>0.99999999999999989</v>
      </c>
      <c r="AA50" s="53" t="s">
        <v>235</v>
      </c>
      <c r="AB50" s="11">
        <v>-0.34168245168384564</v>
      </c>
      <c r="AC50" s="11">
        <v>-5.161958700392415E-4</v>
      </c>
      <c r="AD50" s="11">
        <v>-0.33873942121328138</v>
      </c>
      <c r="AE50" s="11">
        <v>-5.161958700392415E-4</v>
      </c>
      <c r="AF50" s="11">
        <v>-0.34168245168384564</v>
      </c>
      <c r="AG50" s="11">
        <v>-1.0231367163210512</v>
      </c>
    </row>
    <row r="51" spans="1:33">
      <c r="AA51" s="53" t="s">
        <v>236</v>
      </c>
      <c r="AB51" s="11">
        <v>-0.28753161221261014</v>
      </c>
      <c r="AC51" s="11">
        <v>-0.28753161221261014</v>
      </c>
      <c r="AD51" s="11">
        <v>-0.34987875660307127</v>
      </c>
      <c r="AE51" s="11">
        <v>-0.32454653642781961</v>
      </c>
      <c r="AF51" s="11">
        <v>-4.8516252939312843E-4</v>
      </c>
      <c r="AG51" s="11">
        <v>-1.2499736799855043</v>
      </c>
    </row>
    <row r="54" spans="1:33">
      <c r="A54" s="1" t="s">
        <v>238</v>
      </c>
      <c r="B54" s="1" t="s">
        <v>51</v>
      </c>
      <c r="C54" s="1" t="s">
        <v>200</v>
      </c>
      <c r="D54" s="1" t="s">
        <v>239</v>
      </c>
      <c r="I54" s="11">
        <v>6.8812915580053216E-2</v>
      </c>
      <c r="J54" s="11">
        <v>0.42850990667347799</v>
      </c>
      <c r="K54" s="11">
        <v>0.28711318774871808</v>
      </c>
      <c r="L54" s="11">
        <v>0.1600447332615508</v>
      </c>
      <c r="M54" s="11">
        <v>0.32783532188278486</v>
      </c>
      <c r="N54" s="11">
        <v>0.28033280734471383</v>
      </c>
      <c r="O54" s="11">
        <v>0.28694404715845112</v>
      </c>
      <c r="P54" s="11">
        <v>0.31495607834566497</v>
      </c>
      <c r="Q54" s="11">
        <v>0.32788503352240628</v>
      </c>
      <c r="R54" s="11">
        <v>0.11534447305640212</v>
      </c>
      <c r="S54" s="11">
        <v>0.2380852633833995</v>
      </c>
      <c r="T54" s="11">
        <v>0.15334473795294479</v>
      </c>
    </row>
    <row r="55" spans="1:33">
      <c r="A55" s="2">
        <v>6.0999999999999999E-2</v>
      </c>
      <c r="B55" s="2">
        <v>0.30399999999999999</v>
      </c>
      <c r="C55" s="2">
        <v>0.16300000000000001</v>
      </c>
      <c r="D55">
        <f>E55/E$67</f>
        <v>0.16258313178930825</v>
      </c>
      <c r="E55">
        <f>(A55)^0.5*(B55)^0.5</f>
        <v>0.13617635624439361</v>
      </c>
      <c r="I55" s="42">
        <v>4.2363906624418766E-2</v>
      </c>
      <c r="J55" s="42">
        <v>5.3831660706732808E-5</v>
      </c>
      <c r="K55" s="42">
        <v>9.9348630937060797E-3</v>
      </c>
      <c r="L55" s="42">
        <v>4.1696973226071945E-5</v>
      </c>
      <c r="M55" s="42">
        <v>0.52450504785630003</v>
      </c>
      <c r="N55" s="42">
        <v>0.13357094777264047</v>
      </c>
      <c r="O55" s="42">
        <v>0.28694404715845112</v>
      </c>
      <c r="P55" s="42">
        <v>0.31495607834566497</v>
      </c>
      <c r="Q55" s="42">
        <v>0.23034560117480823</v>
      </c>
      <c r="R55" s="42">
        <v>5.4844923097700558E-5</v>
      </c>
      <c r="S55" s="42">
        <v>5.2367237152174453E-5</v>
      </c>
      <c r="T55" s="42">
        <v>0.15334473795294479</v>
      </c>
    </row>
    <row r="56" spans="1:33">
      <c r="A56" s="2">
        <v>2.1999999999999999E-2</v>
      </c>
      <c r="B56" s="2">
        <v>4.7E-2</v>
      </c>
      <c r="C56" s="2">
        <v>3.9E-2</v>
      </c>
      <c r="D56">
        <f t="shared" ref="D56:D66" si="35">E56/E$67</f>
        <v>3.8391408437110551E-2</v>
      </c>
      <c r="E56">
        <f t="shared" ref="E56:E66" si="36">(A56)^0.5*(B56)^0.5</f>
        <v>3.2155870381627052E-2</v>
      </c>
      <c r="I56" s="11">
        <v>0.43380923916780834</v>
      </c>
      <c r="J56" s="11">
        <v>0.53837043872803481</v>
      </c>
      <c r="K56" s="11">
        <v>0.3465085430319349</v>
      </c>
      <c r="L56" s="11">
        <v>0.12144123872245052</v>
      </c>
      <c r="M56" s="11">
        <v>5.7414448669201562E-2</v>
      </c>
      <c r="N56" s="11">
        <v>0.50764816878717323</v>
      </c>
      <c r="O56" s="11">
        <v>0.28694404715845112</v>
      </c>
      <c r="P56" s="11">
        <v>0.25816639892340537</v>
      </c>
      <c r="Q56" s="11">
        <v>0.44168103792793723</v>
      </c>
      <c r="R56" s="11">
        <v>0.54850407590010319</v>
      </c>
      <c r="S56" s="11">
        <v>0.52372473875889669</v>
      </c>
      <c r="T56" s="11">
        <v>0.48881828886272238</v>
      </c>
    </row>
    <row r="57" spans="1:33">
      <c r="A57" s="2">
        <v>2.9000000000000001E-2</v>
      </c>
      <c r="B57" s="2">
        <v>4.1000000000000002E-2</v>
      </c>
      <c r="C57" s="2">
        <v>4.1000000000000002E-2</v>
      </c>
      <c r="D57">
        <f t="shared" si="35"/>
        <v>4.1168467721171109E-2</v>
      </c>
      <c r="E57">
        <f t="shared" si="36"/>
        <v>3.4481879299133343E-2</v>
      </c>
      <c r="I57" s="11">
        <v>0.45496844633231592</v>
      </c>
      <c r="J57" s="11">
        <v>1.1039884866162418E-2</v>
      </c>
      <c r="K57" s="11">
        <v>0.356407768912471</v>
      </c>
      <c r="L57" s="11">
        <v>0.41701142923394552</v>
      </c>
      <c r="M57" s="11">
        <v>9.0192736331453985E-2</v>
      </c>
      <c r="N57" s="11">
        <v>5.0759740904626862E-5</v>
      </c>
      <c r="O57" s="11">
        <v>0.13913916698908416</v>
      </c>
      <c r="P57" s="11">
        <v>0.11188995192667589</v>
      </c>
      <c r="Q57" s="11">
        <v>4.4163687424051321E-5</v>
      </c>
      <c r="R57" s="11">
        <v>9.8874526180215791E-2</v>
      </c>
      <c r="S57" s="11">
        <v>5.2367237152174453E-5</v>
      </c>
      <c r="T57" s="11">
        <v>0.20444335829019572</v>
      </c>
    </row>
    <row r="58" spans="1:33">
      <c r="A58" s="2">
        <v>0.13300000000000001</v>
      </c>
      <c r="B58" s="2">
        <v>7.0999999999999994E-2</v>
      </c>
      <c r="C58" s="2">
        <v>0.11600000000000001</v>
      </c>
      <c r="D58">
        <f t="shared" si="35"/>
        <v>0.11601890721311213</v>
      </c>
      <c r="E58">
        <f t="shared" si="36"/>
        <v>9.7175099691227479E-2</v>
      </c>
      <c r="I58" s="11">
        <v>4.5492295403691225E-5</v>
      </c>
      <c r="J58" s="11">
        <v>2.2025938071618102E-2</v>
      </c>
      <c r="K58" s="11">
        <v>3.5637213169930111E-5</v>
      </c>
      <c r="L58" s="11">
        <v>0.30146090180882723</v>
      </c>
      <c r="M58" s="11">
        <v>5.2445260259604039E-5</v>
      </c>
      <c r="N58" s="11">
        <v>7.8397316354567814E-2</v>
      </c>
      <c r="O58" s="11">
        <v>2.8691535562288884E-5</v>
      </c>
      <c r="P58" s="11">
        <v>3.1492458588707626E-5</v>
      </c>
      <c r="Q58" s="11">
        <v>4.4163687424051321E-5</v>
      </c>
      <c r="R58" s="11">
        <v>0.23722207994018116</v>
      </c>
      <c r="S58" s="11">
        <v>0.2380852633833995</v>
      </c>
      <c r="T58" s="11">
        <v>4.8876941192153027E-5</v>
      </c>
    </row>
    <row r="59" spans="1:33">
      <c r="A59" s="2">
        <v>5.8000000000000003E-2</v>
      </c>
      <c r="B59" s="2">
        <v>1.9E-2</v>
      </c>
      <c r="C59" s="2">
        <v>0.04</v>
      </c>
      <c r="D59">
        <f t="shared" si="35"/>
        <v>3.9633695910124826E-2</v>
      </c>
      <c r="E59">
        <f t="shared" si="36"/>
        <v>3.3196385345395665E-2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33">
      <c r="A60" s="2">
        <v>9.8000000000000004E-2</v>
      </c>
      <c r="B60" s="2">
        <v>0.23300000000000001</v>
      </c>
      <c r="C60" s="2">
        <v>0.18099999999999999</v>
      </c>
      <c r="D60">
        <f t="shared" si="35"/>
        <v>0.18041173123399401</v>
      </c>
      <c r="E60">
        <f t="shared" si="36"/>
        <v>0.15110923201446033</v>
      </c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33">
      <c r="A61" s="2">
        <v>6.0999999999999999E-2</v>
      </c>
      <c r="B61" s="2">
        <v>5.8000000000000003E-2</v>
      </c>
      <c r="C61" s="2">
        <v>7.0999999999999994E-2</v>
      </c>
      <c r="D61">
        <f t="shared" si="35"/>
        <v>7.1015424914988481E-2</v>
      </c>
      <c r="E61">
        <f t="shared" si="36"/>
        <v>5.9481089431852208E-2</v>
      </c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33">
      <c r="A62" s="2">
        <v>0.05</v>
      </c>
      <c r="B62" s="2">
        <v>5.0999999999999997E-2</v>
      </c>
      <c r="C62" s="2">
        <v>0.06</v>
      </c>
      <c r="D62">
        <f t="shared" si="35"/>
        <v>6.0289803152523865E-2</v>
      </c>
      <c r="E62">
        <f t="shared" si="36"/>
        <v>5.0497524691810382E-2</v>
      </c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33">
      <c r="A63" s="2">
        <v>0.11600000000000001</v>
      </c>
      <c r="B63" s="2">
        <v>3.7999999999999999E-2</v>
      </c>
      <c r="C63" s="2">
        <v>7.9000000000000001E-2</v>
      </c>
      <c r="D63">
        <f t="shared" si="35"/>
        <v>7.9267391820249652E-2</v>
      </c>
      <c r="E63">
        <f t="shared" si="36"/>
        <v>6.6392770690791331E-2</v>
      </c>
    </row>
    <row r="64" spans="1:33">
      <c r="A64" s="2">
        <v>0.16400000000000001</v>
      </c>
      <c r="B64" s="2">
        <v>9.0999999999999998E-2</v>
      </c>
      <c r="C64" s="2">
        <v>0.14599999999999999</v>
      </c>
      <c r="D64">
        <f t="shared" si="35"/>
        <v>0.14585334573034314</v>
      </c>
      <c r="E64">
        <f t="shared" si="36"/>
        <v>0.12216382443260364</v>
      </c>
    </row>
    <row r="65" spans="1:19">
      <c r="A65" s="2">
        <v>0.192</v>
      </c>
      <c r="B65" s="2">
        <v>4.0000000000000001E-3</v>
      </c>
      <c r="C65" s="2">
        <v>3.1E-2</v>
      </c>
      <c r="D65">
        <f t="shared" si="35"/>
        <v>3.3086771005370282E-2</v>
      </c>
      <c r="E65">
        <f t="shared" si="36"/>
        <v>2.7712812921102035E-2</v>
      </c>
    </row>
    <row r="66" spans="1:19">
      <c r="A66" s="2">
        <v>1.7000000000000001E-2</v>
      </c>
      <c r="B66" s="2">
        <v>4.2999999999999997E-2</v>
      </c>
      <c r="C66" s="2">
        <v>3.2000000000000001E-2</v>
      </c>
      <c r="D66">
        <f t="shared" si="35"/>
        <v>3.2279921071703729E-2</v>
      </c>
      <c r="E66">
        <f t="shared" si="36"/>
        <v>2.7037011669191553E-2</v>
      </c>
      <c r="H66" s="401" t="s">
        <v>200</v>
      </c>
      <c r="I66" s="401"/>
      <c r="J66" s="401"/>
      <c r="K66" s="401"/>
      <c r="L66" s="390" t="s">
        <v>50</v>
      </c>
      <c r="M66" s="390"/>
      <c r="N66" s="390"/>
      <c r="O66" s="390"/>
      <c r="P66" s="390"/>
    </row>
    <row r="67" spans="1:19">
      <c r="E67">
        <f>SUM(E55:E66)</f>
        <v>0.8375798568135886</v>
      </c>
      <c r="H67" s="1" t="s">
        <v>53</v>
      </c>
      <c r="I67" s="1" t="s">
        <v>54</v>
      </c>
      <c r="J67" s="1" t="s">
        <v>31</v>
      </c>
      <c r="K67" s="1" t="s">
        <v>59</v>
      </c>
      <c r="L67" s="66"/>
      <c r="M67" s="65" t="s">
        <v>53</v>
      </c>
      <c r="N67" s="17" t="s">
        <v>54</v>
      </c>
      <c r="O67" s="17" t="s">
        <v>31</v>
      </c>
      <c r="P67" s="17" t="s">
        <v>59</v>
      </c>
    </row>
    <row r="68" spans="1:19">
      <c r="H68" s="2">
        <v>0.27942847988899799</v>
      </c>
      <c r="I68" s="2">
        <v>0.23985595761185499</v>
      </c>
      <c r="J68" s="2">
        <v>0.46189706505783901</v>
      </c>
      <c r="K68" s="2">
        <v>0.20753661155745601</v>
      </c>
      <c r="L68" s="17" t="s">
        <v>205</v>
      </c>
      <c r="M68" s="41">
        <v>0.24434147736496201</v>
      </c>
      <c r="N68" s="11">
        <v>0.26678456363167602</v>
      </c>
      <c r="O68" s="11">
        <v>0.52195455178037198</v>
      </c>
      <c r="P68" s="11">
        <v>0.23293415080601401</v>
      </c>
    </row>
    <row r="69" spans="1:19">
      <c r="H69" s="2">
        <v>0.38602635712098998</v>
      </c>
      <c r="I69" s="2">
        <v>0.176811196385736</v>
      </c>
      <c r="J69" s="2">
        <v>0.31414250041441599</v>
      </c>
      <c r="K69" s="2">
        <v>0.14114848310203201</v>
      </c>
      <c r="L69" s="19" t="s">
        <v>206</v>
      </c>
      <c r="M69" s="41">
        <v>0.365891726704903</v>
      </c>
      <c r="N69" s="11">
        <v>0.22493558213506901</v>
      </c>
      <c r="O69" s="11">
        <v>0.380712906748855</v>
      </c>
      <c r="P69" s="11">
        <v>0.16990183787447599</v>
      </c>
    </row>
    <row r="70" spans="1:19">
      <c r="H70" s="2">
        <v>0.138316324151943</v>
      </c>
      <c r="I70" s="2">
        <v>0.42506720589859398</v>
      </c>
      <c r="J70" s="2">
        <v>0.75448994020195204</v>
      </c>
      <c r="K70" s="2">
        <v>0.33900255595712198</v>
      </c>
      <c r="L70" s="19" t="s">
        <v>207</v>
      </c>
      <c r="M70" s="41">
        <v>0.17969050892126601</v>
      </c>
      <c r="N70" s="11">
        <v>0.40351608401011502</v>
      </c>
      <c r="O70" s="11">
        <v>0.691892185206472</v>
      </c>
      <c r="P70" s="11">
        <v>0.30877270455953798</v>
      </c>
    </row>
    <row r="71" spans="1:19">
      <c r="H71" s="2">
        <v>0.35364488222166601</v>
      </c>
      <c r="I71" s="2">
        <v>0.25362555699828798</v>
      </c>
      <c r="J71" s="2">
        <v>0.417648448892183</v>
      </c>
      <c r="K71" s="2">
        <v>0.187655108599698</v>
      </c>
      <c r="L71" s="19" t="s">
        <v>208</v>
      </c>
      <c r="M71" s="41">
        <v>0.36486807598007298</v>
      </c>
      <c r="N71" s="11">
        <v>0.22170502193324501</v>
      </c>
      <c r="O71" s="11">
        <v>0.37796657010343698</v>
      </c>
      <c r="P71" s="11">
        <v>0.168676222364188</v>
      </c>
    </row>
    <row r="72" spans="1:19">
      <c r="H72" s="2">
        <v>0.38309844432138401</v>
      </c>
      <c r="I72" s="2">
        <v>0.147097078286545</v>
      </c>
      <c r="J72" s="2">
        <v>0.27743930684854301</v>
      </c>
      <c r="K72" s="2">
        <v>0.124657240783692</v>
      </c>
      <c r="L72" s="19" t="s">
        <v>209</v>
      </c>
      <c r="M72" s="41">
        <v>0.3884747462723</v>
      </c>
      <c r="N72" s="11">
        <v>0.14241365680826401</v>
      </c>
      <c r="O72" s="11">
        <v>0.26825535457524802</v>
      </c>
      <c r="P72" s="11">
        <v>0.119715084395785</v>
      </c>
    </row>
    <row r="74" spans="1:19">
      <c r="E74" s="1" t="s">
        <v>33</v>
      </c>
      <c r="F74" s="2">
        <v>0.16300000000000001</v>
      </c>
      <c r="G74" s="2">
        <v>3.9E-2</v>
      </c>
      <c r="H74" s="2">
        <v>4.1000000000000002E-2</v>
      </c>
      <c r="I74" s="2">
        <v>0.11600000000000001</v>
      </c>
      <c r="J74" s="2">
        <v>0.04</v>
      </c>
      <c r="K74" s="2">
        <v>0.18099999999999999</v>
      </c>
      <c r="L74" s="2">
        <v>7.0999999999999994E-2</v>
      </c>
      <c r="M74" s="2">
        <v>0.06</v>
      </c>
      <c r="N74" s="2">
        <v>7.9000000000000001E-2</v>
      </c>
      <c r="O74" s="2">
        <v>0.14599999999999999</v>
      </c>
      <c r="P74" s="2">
        <v>3.1E-2</v>
      </c>
      <c r="Q74" s="2">
        <v>3.2000000000000001E-2</v>
      </c>
    </row>
    <row r="75" spans="1:19">
      <c r="E75" s="1" t="s">
        <v>50</v>
      </c>
      <c r="F75" s="2">
        <v>7.2983200999999998E-2</v>
      </c>
      <c r="G75" s="2">
        <v>6.5734393000000002E-2</v>
      </c>
      <c r="H75" s="2">
        <v>6.9374666000000001E-2</v>
      </c>
      <c r="I75" s="2">
        <v>0.107267802</v>
      </c>
      <c r="J75" s="2">
        <v>0.10381053799999999</v>
      </c>
      <c r="K75" s="2">
        <v>0.110044505</v>
      </c>
      <c r="L75" s="2">
        <v>8.7031332000000003E-2</v>
      </c>
      <c r="M75" s="2">
        <v>7.1124707999999995E-2</v>
      </c>
      <c r="N75" s="2">
        <v>8.3622533999999998E-2</v>
      </c>
      <c r="O75" s="2">
        <v>8.9046228000000005E-2</v>
      </c>
      <c r="P75" s="2">
        <v>8.5070818000000006E-2</v>
      </c>
      <c r="Q75" s="2">
        <v>5.4889276000000001E-2</v>
      </c>
    </row>
    <row r="77" spans="1:19">
      <c r="G77" s="405" t="s">
        <v>51</v>
      </c>
      <c r="H77" s="390"/>
      <c r="I77" s="390"/>
      <c r="J77" s="390"/>
      <c r="K77" s="390"/>
      <c r="M77" s="68"/>
      <c r="N77" s="392" t="s">
        <v>50</v>
      </c>
      <c r="O77" s="392"/>
      <c r="P77" s="391" t="s">
        <v>51</v>
      </c>
      <c r="Q77" s="392"/>
      <c r="R77" s="391" t="s">
        <v>52</v>
      </c>
      <c r="S77" s="393"/>
    </row>
    <row r="78" spans="1:19">
      <c r="G78" s="67"/>
      <c r="H78" s="65" t="s">
        <v>53</v>
      </c>
      <c r="I78" s="17" t="s">
        <v>54</v>
      </c>
      <c r="J78" s="17" t="s">
        <v>31</v>
      </c>
      <c r="K78" s="17" t="s">
        <v>59</v>
      </c>
      <c r="M78" s="69"/>
      <c r="N78" s="65" t="s">
        <v>53</v>
      </c>
      <c r="O78" s="17" t="s">
        <v>54</v>
      </c>
      <c r="P78" s="65" t="s">
        <v>53</v>
      </c>
      <c r="Q78" s="17" t="s">
        <v>54</v>
      </c>
      <c r="R78" s="65" t="s">
        <v>53</v>
      </c>
      <c r="S78" s="17" t="s">
        <v>54</v>
      </c>
    </row>
    <row r="79" spans="1:19">
      <c r="G79" s="17" t="s">
        <v>205</v>
      </c>
      <c r="H79" s="41">
        <v>0.24735188345321901</v>
      </c>
      <c r="I79" s="11">
        <v>0.27992924111550899</v>
      </c>
      <c r="J79" s="11">
        <v>0.53089182994075201</v>
      </c>
      <c r="K79" s="11">
        <v>0.240839753180498</v>
      </c>
      <c r="M79" s="17" t="s">
        <v>205</v>
      </c>
      <c r="N79" s="56">
        <v>0.24434147736496201</v>
      </c>
      <c r="O79" s="21">
        <v>0.26678456363167602</v>
      </c>
      <c r="P79" s="41">
        <v>0.24735188345321901</v>
      </c>
      <c r="Q79" s="11">
        <v>0.27992924111550899</v>
      </c>
      <c r="R79" s="11">
        <v>0.23516154688469901</v>
      </c>
      <c r="S79" s="11">
        <v>0.25942899901352801</v>
      </c>
    </row>
    <row r="80" spans="1:19">
      <c r="G80" s="19" t="s">
        <v>206</v>
      </c>
      <c r="H80" s="41">
        <v>0.39204407530346203</v>
      </c>
      <c r="I80" s="11">
        <v>0.206833438556904</v>
      </c>
      <c r="J80" s="11">
        <v>0.345368516549662</v>
      </c>
      <c r="K80" s="11">
        <v>0.156676866342845</v>
      </c>
      <c r="M80" s="19" t="s">
        <v>206</v>
      </c>
      <c r="N80" s="41">
        <v>0.365891726704903</v>
      </c>
      <c r="O80" s="11">
        <v>0.22493558213506901</v>
      </c>
      <c r="P80" s="41">
        <v>0.39204407530346203</v>
      </c>
      <c r="Q80" s="11">
        <v>0.206833438556904</v>
      </c>
      <c r="R80" s="11">
        <v>0.34446569007644601</v>
      </c>
      <c r="S80" s="11">
        <v>0.233496533659899</v>
      </c>
    </row>
    <row r="81" spans="5:19">
      <c r="G81" s="19" t="s">
        <v>207</v>
      </c>
      <c r="H81" s="41">
        <v>0.16053318211885501</v>
      </c>
      <c r="I81" s="11">
        <v>0.43066683017708901</v>
      </c>
      <c r="J81" s="11">
        <v>0.72846214685378696</v>
      </c>
      <c r="K81" s="11">
        <v>0.33046777847227699</v>
      </c>
      <c r="M81" s="19" t="s">
        <v>207</v>
      </c>
      <c r="N81" s="41">
        <v>0.17969050892126601</v>
      </c>
      <c r="O81" s="11">
        <v>0.40351608401011502</v>
      </c>
      <c r="P81" s="41">
        <v>0.16053318211885501</v>
      </c>
      <c r="Q81" s="11">
        <v>0.43066683017708901</v>
      </c>
      <c r="R81" s="11">
        <v>0.191943963983952</v>
      </c>
      <c r="S81" s="11">
        <v>0.37527665523449599</v>
      </c>
    </row>
    <row r="82" spans="5:19">
      <c r="G82" s="19" t="s">
        <v>208</v>
      </c>
      <c r="H82" s="41">
        <v>0.38573490294061102</v>
      </c>
      <c r="I82" s="11">
        <v>0.21859297978484499</v>
      </c>
      <c r="J82" s="11">
        <v>0.36171255047675999</v>
      </c>
      <c r="K82" s="11">
        <v>0.16409135809988601</v>
      </c>
      <c r="M82" s="19" t="s">
        <v>208</v>
      </c>
      <c r="N82" s="41">
        <v>0.36486807598007298</v>
      </c>
      <c r="O82" s="11">
        <v>0.22170502193324501</v>
      </c>
      <c r="P82" s="41">
        <v>0.38573490294061102</v>
      </c>
      <c r="Q82" s="11">
        <v>0.21859297978484499</v>
      </c>
      <c r="R82" s="11">
        <v>0.341433963028202</v>
      </c>
      <c r="S82" s="11">
        <v>0.22830696416327001</v>
      </c>
    </row>
    <row r="83" spans="5:19">
      <c r="G83" s="19" t="s">
        <v>209</v>
      </c>
      <c r="H83" s="41">
        <v>0.41121573550794399</v>
      </c>
      <c r="I83" s="11">
        <v>0.128367596152795</v>
      </c>
      <c r="J83" s="11">
        <v>0.23790133723683199</v>
      </c>
      <c r="K83" s="11">
        <v>0.107924243904494</v>
      </c>
      <c r="M83" s="19" t="s">
        <v>209</v>
      </c>
      <c r="N83" s="41">
        <v>0.3884747462723</v>
      </c>
      <c r="O83" s="11">
        <v>0.14241365680826401</v>
      </c>
      <c r="P83" s="41">
        <v>0.41121573550794399</v>
      </c>
      <c r="Q83" s="11">
        <v>0.128367596152795</v>
      </c>
      <c r="R83" s="11">
        <v>0.36424011936880102</v>
      </c>
      <c r="S83" s="11">
        <v>0.15565169961219599</v>
      </c>
    </row>
    <row r="85" spans="5:19">
      <c r="E85" s="1" t="s">
        <v>33</v>
      </c>
      <c r="F85">
        <v>0.101609414</v>
      </c>
      <c r="G85">
        <v>0.138728459</v>
      </c>
      <c r="H85">
        <v>8.3746171999999994E-2</v>
      </c>
      <c r="I85">
        <v>5.9421878999999997E-2</v>
      </c>
      <c r="J85">
        <v>9.3325961999999998E-2</v>
      </c>
      <c r="K85">
        <v>7.8352192000000001E-2</v>
      </c>
      <c r="L85">
        <v>4.6323928E-2</v>
      </c>
      <c r="M85">
        <v>5.1081675999999999E-2</v>
      </c>
      <c r="N85">
        <v>9.6892895000000007E-2</v>
      </c>
      <c r="O85">
        <v>8.2008098000000001E-2</v>
      </c>
      <c r="P85">
        <v>0.104462708</v>
      </c>
      <c r="Q85">
        <v>6.4046615000000001E-2</v>
      </c>
    </row>
    <row r="88" spans="5:19">
      <c r="G88" s="390" t="s">
        <v>52</v>
      </c>
      <c r="H88" s="390"/>
      <c r="I88" s="390"/>
      <c r="J88" s="390"/>
      <c r="K88" s="390"/>
      <c r="M88" s="68"/>
      <c r="N88" s="392" t="s">
        <v>50</v>
      </c>
      <c r="O88" s="392"/>
      <c r="P88" s="391" t="s">
        <v>51</v>
      </c>
      <c r="Q88" s="392"/>
      <c r="R88" s="391" t="s">
        <v>52</v>
      </c>
      <c r="S88" s="393"/>
    </row>
    <row r="89" spans="5:19">
      <c r="G89" s="67"/>
      <c r="H89" s="19" t="s">
        <v>53</v>
      </c>
      <c r="I89" s="19" t="s">
        <v>54</v>
      </c>
      <c r="J89" s="19" t="s">
        <v>31</v>
      </c>
      <c r="K89" s="19" t="s">
        <v>59</v>
      </c>
      <c r="M89" s="69"/>
      <c r="N89" s="17" t="s">
        <v>31</v>
      </c>
      <c r="O89" s="17" t="s">
        <v>59</v>
      </c>
      <c r="P89" s="17" t="s">
        <v>31</v>
      </c>
      <c r="Q89" s="17" t="s">
        <v>59</v>
      </c>
      <c r="R89" s="19" t="s">
        <v>31</v>
      </c>
      <c r="S89" s="19" t="s">
        <v>59</v>
      </c>
    </row>
    <row r="90" spans="5:19">
      <c r="G90" s="19" t="s">
        <v>205</v>
      </c>
      <c r="H90" s="10">
        <v>0.23516154688469901</v>
      </c>
      <c r="I90" s="10">
        <v>0.25942899901352801</v>
      </c>
      <c r="J90" s="10">
        <v>0.52453287100823598</v>
      </c>
      <c r="K90" s="10">
        <v>0.22902847034965301</v>
      </c>
      <c r="M90" s="17" t="s">
        <v>205</v>
      </c>
      <c r="N90" s="11">
        <v>0.52195455178037198</v>
      </c>
      <c r="O90" s="11">
        <v>0.23293415080601401</v>
      </c>
      <c r="P90" s="11">
        <v>0.53089182994075201</v>
      </c>
      <c r="Q90" s="11">
        <v>0.240839753180498</v>
      </c>
      <c r="R90" s="11">
        <v>0.52453287100823598</v>
      </c>
      <c r="S90" s="11">
        <v>0.22902847034965301</v>
      </c>
    </row>
    <row r="91" spans="5:19">
      <c r="G91" s="19" t="s">
        <v>206</v>
      </c>
      <c r="H91" s="10">
        <v>0.34446569007644601</v>
      </c>
      <c r="I91" s="10">
        <v>0.233496533659899</v>
      </c>
      <c r="J91" s="10">
        <v>0.40399964577341602</v>
      </c>
      <c r="K91" s="10">
        <v>0.17639966150345299</v>
      </c>
      <c r="M91" s="19" t="s">
        <v>206</v>
      </c>
      <c r="N91" s="11">
        <v>0.380712906748855</v>
      </c>
      <c r="O91" s="11">
        <v>0.16990183787447599</v>
      </c>
      <c r="P91" s="11">
        <v>0.345368516549662</v>
      </c>
      <c r="Q91" s="11">
        <v>0.156676866342845</v>
      </c>
      <c r="R91" s="11">
        <v>0.40399964577341602</v>
      </c>
      <c r="S91" s="11">
        <v>0.17639966150345299</v>
      </c>
    </row>
    <row r="92" spans="5:19">
      <c r="G92" s="19" t="s">
        <v>207</v>
      </c>
      <c r="H92" s="10">
        <v>0.191943963983952</v>
      </c>
      <c r="I92" s="10">
        <v>0.37527665523449599</v>
      </c>
      <c r="J92" s="10">
        <v>0.66160615908423004</v>
      </c>
      <c r="K92" s="10">
        <v>0.28887921990038801</v>
      </c>
      <c r="M92" s="19" t="s">
        <v>207</v>
      </c>
      <c r="N92" s="11">
        <v>0.691892185206472</v>
      </c>
      <c r="O92" s="11">
        <v>0.30877270455953798</v>
      </c>
      <c r="P92" s="11">
        <v>0.72846214685378696</v>
      </c>
      <c r="Q92" s="11">
        <v>0.33046777847227699</v>
      </c>
      <c r="R92" s="11">
        <v>0.66160615908423004</v>
      </c>
      <c r="S92" s="11">
        <v>0.28887921990038801</v>
      </c>
    </row>
    <row r="93" spans="5:19">
      <c r="G93" s="19" t="s">
        <v>208</v>
      </c>
      <c r="H93" s="10">
        <v>0.341433963028202</v>
      </c>
      <c r="I93" s="10">
        <v>0.22830696416327001</v>
      </c>
      <c r="J93" s="10">
        <v>0.40072066665230699</v>
      </c>
      <c r="K93" s="10">
        <v>0.17496795032971299</v>
      </c>
      <c r="M93" s="19" t="s">
        <v>208</v>
      </c>
      <c r="N93" s="11">
        <v>0.37796657010343698</v>
      </c>
      <c r="O93" s="11">
        <v>0.168676222364188</v>
      </c>
      <c r="P93" s="11">
        <v>0.36171255047675999</v>
      </c>
      <c r="Q93" s="11">
        <v>0.16409135809988601</v>
      </c>
      <c r="R93" s="11">
        <v>0.40072066665230699</v>
      </c>
      <c r="S93" s="11">
        <v>0.17496795032971299</v>
      </c>
    </row>
    <row r="94" spans="5:19">
      <c r="G94" s="19" t="s">
        <v>209</v>
      </c>
      <c r="H94" s="10">
        <v>0.36424011936880102</v>
      </c>
      <c r="I94" s="10">
        <v>0.15565169961219599</v>
      </c>
      <c r="J94" s="10">
        <v>0.29939247729898499</v>
      </c>
      <c r="K94" s="10">
        <v>0.130724697916793</v>
      </c>
      <c r="M94" s="19" t="s">
        <v>209</v>
      </c>
      <c r="N94" s="11">
        <v>0.26825535457524802</v>
      </c>
      <c r="O94" s="11">
        <v>0.119715084395785</v>
      </c>
      <c r="P94" s="11">
        <v>0.23790133723683199</v>
      </c>
      <c r="Q94" s="11">
        <v>0.107924243904494</v>
      </c>
      <c r="R94" s="11">
        <v>0.29939247729898499</v>
      </c>
      <c r="S94" s="11">
        <v>0.130724697916793</v>
      </c>
    </row>
    <row r="96" spans="5:19">
      <c r="E96" s="1" t="s">
        <v>33</v>
      </c>
      <c r="F96">
        <v>4.5488173999999999E-2</v>
      </c>
      <c r="G96">
        <v>2.7027532E-2</v>
      </c>
      <c r="H96">
        <v>4.9868175000000001E-2</v>
      </c>
      <c r="I96">
        <v>0.16802697599999999</v>
      </c>
      <c r="J96">
        <v>0.100199842</v>
      </c>
      <c r="K96">
        <v>0.13411340899999999</v>
      </c>
      <c r="L96">
        <v>0.141883706</v>
      </c>
      <c r="M96">
        <v>8.5933498999999997E-2</v>
      </c>
      <c r="N96">
        <v>6.2624078999999999E-2</v>
      </c>
      <c r="O96">
        <v>8.3899803999999994E-2</v>
      </c>
      <c r="P96">
        <v>6.0115514000000002E-2</v>
      </c>
      <c r="Q96">
        <v>4.0819291000000001E-2</v>
      </c>
    </row>
  </sheetData>
  <mergeCells count="17">
    <mergeCell ref="U6:Y6"/>
    <mergeCell ref="A22:E22"/>
    <mergeCell ref="F22:J22"/>
    <mergeCell ref="K22:P22"/>
    <mergeCell ref="AB6:AF6"/>
    <mergeCell ref="H66:K66"/>
    <mergeCell ref="J6:N6"/>
    <mergeCell ref="O6:T6"/>
    <mergeCell ref="L66:P66"/>
    <mergeCell ref="G77:K77"/>
    <mergeCell ref="G88:K88"/>
    <mergeCell ref="N77:O77"/>
    <mergeCell ref="P77:Q77"/>
    <mergeCell ref="R77:S77"/>
    <mergeCell ref="N88:O88"/>
    <mergeCell ref="P88:Q88"/>
    <mergeCell ref="R88:S8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8E6E5-6D81-4FA3-90F9-79456F5A543A}">
  <dimension ref="A1:Y47"/>
  <sheetViews>
    <sheetView workbookViewId="0">
      <pane ySplit="1" topLeftCell="A2" activePane="bottomLeft" state="frozen"/>
      <selection pane="bottomLeft" activeCell="O62" sqref="O62"/>
    </sheetView>
  </sheetViews>
  <sheetFormatPr defaultRowHeight="14.5"/>
  <cols>
    <col min="2" max="2" width="10" customWidth="1"/>
    <col min="3" max="3" width="10.54296875" customWidth="1"/>
    <col min="4" max="4" width="10.453125" customWidth="1"/>
    <col min="5" max="5" width="10.81640625" customWidth="1"/>
    <col min="7" max="7" width="9.26953125" bestFit="1" customWidth="1"/>
    <col min="9" max="10" width="9.26953125" bestFit="1" customWidth="1"/>
    <col min="13" max="13" width="9.26953125" bestFit="1" customWidth="1"/>
    <col min="15" max="15" width="9.26953125" bestFit="1" customWidth="1"/>
    <col min="26" max="26" width="9.26953125" bestFit="1" customWidth="1"/>
  </cols>
  <sheetData>
    <row r="1" spans="1:19">
      <c r="A1" s="100" t="s">
        <v>240</v>
      </c>
      <c r="B1" s="100" t="s">
        <v>160</v>
      </c>
      <c r="C1" s="100" t="s">
        <v>161</v>
      </c>
      <c r="D1" s="100" t="s">
        <v>163</v>
      </c>
      <c r="E1" s="100" t="s">
        <v>164</v>
      </c>
      <c r="F1" s="100" t="s">
        <v>165</v>
      </c>
      <c r="G1" s="100" t="s">
        <v>166</v>
      </c>
      <c r="H1" s="100" t="s">
        <v>167</v>
      </c>
      <c r="I1" s="100" t="s">
        <v>169</v>
      </c>
      <c r="J1" s="100" t="s">
        <v>170</v>
      </c>
      <c r="K1" s="100" t="s">
        <v>171</v>
      </c>
      <c r="L1" s="100" t="s">
        <v>172</v>
      </c>
      <c r="M1" s="100" t="s">
        <v>173</v>
      </c>
      <c r="N1" s="100" t="s">
        <v>33</v>
      </c>
      <c r="O1" s="100" t="s">
        <v>129</v>
      </c>
      <c r="P1" s="100" t="s">
        <v>241</v>
      </c>
      <c r="Q1" s="100" t="s">
        <v>242</v>
      </c>
      <c r="R1" s="100" t="s">
        <v>243</v>
      </c>
      <c r="S1" s="100" t="s">
        <v>244</v>
      </c>
    </row>
    <row r="2" spans="1:19">
      <c r="A2" s="100" t="s">
        <v>160</v>
      </c>
      <c r="B2" s="102">
        <v>1</v>
      </c>
      <c r="C2" s="103" t="s">
        <v>245</v>
      </c>
      <c r="D2" s="103" t="s">
        <v>246</v>
      </c>
      <c r="E2" s="103" t="s">
        <v>247</v>
      </c>
      <c r="F2" s="103" t="s">
        <v>245</v>
      </c>
      <c r="G2" s="103" t="s">
        <v>245</v>
      </c>
      <c r="H2" s="103" t="s">
        <v>248</v>
      </c>
      <c r="I2" s="103" t="s">
        <v>247</v>
      </c>
      <c r="J2" s="103" t="s">
        <v>247</v>
      </c>
      <c r="K2" s="103" t="s">
        <v>249</v>
      </c>
      <c r="L2" s="103" t="s">
        <v>247</v>
      </c>
      <c r="M2" s="104" t="s">
        <v>245</v>
      </c>
      <c r="N2" s="99">
        <v>8.8116241523038E-2</v>
      </c>
      <c r="O2" s="99">
        <v>8.6499999999999994E-2</v>
      </c>
      <c r="P2">
        <f>$K$14*O2</f>
        <v>1.634660956606087E-2</v>
      </c>
    </row>
    <row r="3" spans="1:19">
      <c r="A3" s="100" t="s">
        <v>250</v>
      </c>
      <c r="B3" s="105">
        <v>2</v>
      </c>
      <c r="C3" s="106" t="s">
        <v>251</v>
      </c>
      <c r="D3" s="107" t="s">
        <v>245</v>
      </c>
      <c r="E3" s="107" t="s">
        <v>247</v>
      </c>
      <c r="F3" s="107" t="s">
        <v>247</v>
      </c>
      <c r="G3" s="107" t="s">
        <v>247</v>
      </c>
      <c r="H3" s="107" t="s">
        <v>247</v>
      </c>
      <c r="I3" s="107" t="s">
        <v>247</v>
      </c>
      <c r="J3" s="107" t="s">
        <v>245</v>
      </c>
      <c r="K3" s="107" t="s">
        <v>248</v>
      </c>
      <c r="L3" s="107" t="s">
        <v>247</v>
      </c>
      <c r="M3" s="108" t="s">
        <v>247</v>
      </c>
      <c r="N3" s="99">
        <v>8.2133671075225401E-2</v>
      </c>
      <c r="O3" s="99">
        <v>0.11600000000000001</v>
      </c>
      <c r="P3">
        <f t="shared" ref="P3:P13" si="0">$K$14*O3</f>
        <v>2.192146485159608E-2</v>
      </c>
    </row>
    <row r="4" spans="1:19">
      <c r="A4" s="100" t="s">
        <v>252</v>
      </c>
      <c r="B4" s="105">
        <v>3</v>
      </c>
      <c r="C4" s="107" t="s">
        <v>247</v>
      </c>
      <c r="D4" s="106" t="s">
        <v>251</v>
      </c>
      <c r="E4" s="107" t="s">
        <v>248</v>
      </c>
      <c r="F4" s="107" t="s">
        <v>245</v>
      </c>
      <c r="G4" s="107" t="s">
        <v>245</v>
      </c>
      <c r="H4" s="107" t="s">
        <v>248</v>
      </c>
      <c r="I4" s="107" t="s">
        <v>247</v>
      </c>
      <c r="J4" s="107" t="s">
        <v>247</v>
      </c>
      <c r="K4" s="107" t="s">
        <v>249</v>
      </c>
      <c r="L4" s="107" t="s">
        <v>247</v>
      </c>
      <c r="M4" s="108" t="s">
        <v>247</v>
      </c>
      <c r="N4" s="99">
        <v>9.2649124176591699E-2</v>
      </c>
      <c r="O4" s="99">
        <v>0.12989999999999999</v>
      </c>
      <c r="P4">
        <f t="shared" si="0"/>
        <v>2.454826107088216E-2</v>
      </c>
    </row>
    <row r="5" spans="1:19">
      <c r="A5" s="100" t="s">
        <v>164</v>
      </c>
      <c r="B5" s="105">
        <v>0.5</v>
      </c>
      <c r="C5" s="107" t="s">
        <v>245</v>
      </c>
      <c r="D5" s="107" t="s">
        <v>246</v>
      </c>
      <c r="E5" s="106" t="s">
        <v>251</v>
      </c>
      <c r="F5" s="107" t="s">
        <v>245</v>
      </c>
      <c r="G5" s="107" t="s">
        <v>246</v>
      </c>
      <c r="H5" s="107" t="s">
        <v>247</v>
      </c>
      <c r="I5" s="107" t="s">
        <v>247</v>
      </c>
      <c r="J5" s="107" t="s">
        <v>245</v>
      </c>
      <c r="K5" s="107" t="s">
        <v>248</v>
      </c>
      <c r="L5" s="107" t="s">
        <v>247</v>
      </c>
      <c r="M5" s="108" t="s">
        <v>247</v>
      </c>
      <c r="N5" s="99">
        <v>8.0741532586571504E-2</v>
      </c>
      <c r="O5" s="99">
        <v>6.7900000000000002E-2</v>
      </c>
      <c r="P5">
        <f t="shared" si="0"/>
        <v>1.2831616063994602E-2</v>
      </c>
    </row>
    <row r="6" spans="1:19">
      <c r="A6" s="100" t="s">
        <v>165</v>
      </c>
      <c r="B6" s="105">
        <v>2</v>
      </c>
      <c r="C6" s="107" t="s">
        <v>245</v>
      </c>
      <c r="D6" s="107" t="s">
        <v>247</v>
      </c>
      <c r="E6" s="107" t="s">
        <v>247</v>
      </c>
      <c r="F6" s="106" t="s">
        <v>251</v>
      </c>
      <c r="G6" s="107" t="s">
        <v>246</v>
      </c>
      <c r="H6" s="107" t="s">
        <v>246</v>
      </c>
      <c r="I6" s="107" t="s">
        <v>247</v>
      </c>
      <c r="J6" s="107" t="s">
        <v>247</v>
      </c>
      <c r="K6" s="107" t="s">
        <v>248</v>
      </c>
      <c r="L6" s="107" t="s">
        <v>247</v>
      </c>
      <c r="M6" s="108" t="s">
        <v>247</v>
      </c>
      <c r="N6" s="99">
        <v>7.6478793162202199E-2</v>
      </c>
      <c r="O6" s="99">
        <v>0.1047</v>
      </c>
      <c r="P6">
        <f t="shared" si="0"/>
        <v>1.9786011810018187E-2</v>
      </c>
    </row>
    <row r="7" spans="1:19">
      <c r="A7" s="100" t="s">
        <v>166</v>
      </c>
      <c r="B7" s="105">
        <v>2</v>
      </c>
      <c r="C7" s="107" t="s">
        <v>245</v>
      </c>
      <c r="D7" s="107" t="s">
        <v>247</v>
      </c>
      <c r="E7" s="107" t="s">
        <v>248</v>
      </c>
      <c r="F7" s="107" t="s">
        <v>248</v>
      </c>
      <c r="G7" s="106" t="s">
        <v>251</v>
      </c>
      <c r="H7" s="107" t="s">
        <v>248</v>
      </c>
      <c r="I7" s="107" t="s">
        <v>247</v>
      </c>
      <c r="J7" s="107" t="s">
        <v>247</v>
      </c>
      <c r="K7" s="107" t="s">
        <v>248</v>
      </c>
      <c r="L7" s="107" t="s">
        <v>247</v>
      </c>
      <c r="M7" s="108" t="s">
        <v>247</v>
      </c>
      <c r="N7" s="99">
        <v>8.8599347759793695E-2</v>
      </c>
      <c r="O7" s="99">
        <v>0.1396</v>
      </c>
      <c r="P7">
        <f t="shared" si="0"/>
        <v>2.6381349080024246E-2</v>
      </c>
    </row>
    <row r="8" spans="1:19">
      <c r="A8" s="100" t="s">
        <v>167</v>
      </c>
      <c r="B8" s="105">
        <v>0.33300000000000002</v>
      </c>
      <c r="C8" s="107" t="s">
        <v>245</v>
      </c>
      <c r="D8" s="107" t="s">
        <v>246</v>
      </c>
      <c r="E8" s="107" t="s">
        <v>245</v>
      </c>
      <c r="F8" s="107" t="s">
        <v>248</v>
      </c>
      <c r="G8" s="107" t="s">
        <v>246</v>
      </c>
      <c r="H8" s="106" t="s">
        <v>251</v>
      </c>
      <c r="I8" s="107" t="s">
        <v>246</v>
      </c>
      <c r="J8" s="107" t="s">
        <v>246</v>
      </c>
      <c r="K8" s="107" t="s">
        <v>247</v>
      </c>
      <c r="L8" s="107" t="s">
        <v>247</v>
      </c>
      <c r="M8" s="108" t="s">
        <v>245</v>
      </c>
      <c r="N8" s="99">
        <v>7.2969672287764895E-2</v>
      </c>
      <c r="O8" s="99">
        <v>5.7799999999999997E-2</v>
      </c>
      <c r="P8">
        <f t="shared" si="0"/>
        <v>1.0922936796743563E-2</v>
      </c>
    </row>
    <row r="9" spans="1:19">
      <c r="A9" s="100" t="s">
        <v>169</v>
      </c>
      <c r="B9" s="105">
        <v>0.5</v>
      </c>
      <c r="C9" s="107" t="s">
        <v>245</v>
      </c>
      <c r="D9" s="107" t="s">
        <v>245</v>
      </c>
      <c r="E9" s="107" t="s">
        <v>245</v>
      </c>
      <c r="F9" s="107" t="s">
        <v>245</v>
      </c>
      <c r="G9" s="107" t="s">
        <v>245</v>
      </c>
      <c r="H9" s="107" t="s">
        <v>248</v>
      </c>
      <c r="I9" s="106" t="s">
        <v>251</v>
      </c>
      <c r="J9" s="107" t="s">
        <v>245</v>
      </c>
      <c r="K9" s="107" t="s">
        <v>247</v>
      </c>
      <c r="L9" s="107" t="s">
        <v>247</v>
      </c>
      <c r="M9" s="108" t="s">
        <v>247</v>
      </c>
      <c r="N9" s="99">
        <v>8.9238236782507502E-2</v>
      </c>
      <c r="O9" s="99">
        <v>6.5000000000000002E-2</v>
      </c>
      <c r="P9">
        <f t="shared" si="0"/>
        <v>1.22835794427047E-2</v>
      </c>
    </row>
    <row r="10" spans="1:19">
      <c r="A10" s="100" t="s">
        <v>170</v>
      </c>
      <c r="B10" s="105">
        <v>0.5</v>
      </c>
      <c r="C10" s="107" t="s">
        <v>247</v>
      </c>
      <c r="D10" s="107" t="s">
        <v>245</v>
      </c>
      <c r="E10" s="107" t="s">
        <v>247</v>
      </c>
      <c r="F10" s="107" t="s">
        <v>245</v>
      </c>
      <c r="G10" s="107" t="s">
        <v>245</v>
      </c>
      <c r="H10" s="107" t="s">
        <v>248</v>
      </c>
      <c r="I10" s="107" t="s">
        <v>247</v>
      </c>
      <c r="J10" s="106" t="s">
        <v>251</v>
      </c>
      <c r="K10" s="107" t="s">
        <v>247</v>
      </c>
      <c r="L10" s="107" t="s">
        <v>248</v>
      </c>
      <c r="M10" s="108" t="s">
        <v>247</v>
      </c>
      <c r="N10" s="99">
        <v>8.7604360633479803E-2</v>
      </c>
      <c r="O10" s="99">
        <v>9.7699999999999995E-2</v>
      </c>
      <c r="P10">
        <f t="shared" si="0"/>
        <v>1.8463164793111525E-2</v>
      </c>
    </row>
    <row r="11" spans="1:19">
      <c r="A11" s="100" t="s">
        <v>171</v>
      </c>
      <c r="B11" s="105">
        <v>0.25</v>
      </c>
      <c r="C11" s="107" t="s">
        <v>246</v>
      </c>
      <c r="D11" s="107" t="s">
        <v>253</v>
      </c>
      <c r="E11" s="107" t="s">
        <v>246</v>
      </c>
      <c r="F11" s="107" t="s">
        <v>246</v>
      </c>
      <c r="G11" s="107" t="s">
        <v>246</v>
      </c>
      <c r="H11" s="107" t="s">
        <v>245</v>
      </c>
      <c r="I11" s="107" t="s">
        <v>245</v>
      </c>
      <c r="J11" s="107" t="s">
        <v>245</v>
      </c>
      <c r="K11" s="106" t="s">
        <v>251</v>
      </c>
      <c r="L11" s="107" t="s">
        <v>245</v>
      </c>
      <c r="M11" s="108" t="s">
        <v>246</v>
      </c>
      <c r="N11" s="99">
        <v>6.4896565826022504E-2</v>
      </c>
      <c r="O11" s="99">
        <v>2.81E-2</v>
      </c>
      <c r="P11">
        <f t="shared" si="0"/>
        <v>5.3102858821538782E-3</v>
      </c>
    </row>
    <row r="12" spans="1:19">
      <c r="A12" s="100" t="s">
        <v>172</v>
      </c>
      <c r="B12" s="105">
        <v>0.5</v>
      </c>
      <c r="C12" s="107" t="s">
        <v>245</v>
      </c>
      <c r="D12" s="107" t="s">
        <v>245</v>
      </c>
      <c r="E12" s="107" t="s">
        <v>245</v>
      </c>
      <c r="F12" s="107" t="s">
        <v>245</v>
      </c>
      <c r="G12" s="107" t="s">
        <v>245</v>
      </c>
      <c r="H12" s="107" t="s">
        <v>245</v>
      </c>
      <c r="I12" s="107" t="s">
        <v>245</v>
      </c>
      <c r="J12" s="107" t="s">
        <v>246</v>
      </c>
      <c r="K12" s="107" t="s">
        <v>247</v>
      </c>
      <c r="L12" s="106" t="s">
        <v>251</v>
      </c>
      <c r="M12" s="108" t="s">
        <v>245</v>
      </c>
      <c r="N12" s="99">
        <v>8.7334217404295394E-2</v>
      </c>
      <c r="O12" s="99">
        <v>4.1300000000000003E-2</v>
      </c>
      <c r="P12">
        <f t="shared" si="0"/>
        <v>7.804797399749294E-3</v>
      </c>
    </row>
    <row r="13" spans="1:19">
      <c r="A13" s="100" t="s">
        <v>173</v>
      </c>
      <c r="B13" s="109">
        <v>2</v>
      </c>
      <c r="C13" s="110" t="s">
        <v>245</v>
      </c>
      <c r="D13" s="110" t="s">
        <v>245</v>
      </c>
      <c r="E13" s="110" t="s">
        <v>245</v>
      </c>
      <c r="F13" s="110" t="s">
        <v>245</v>
      </c>
      <c r="G13" s="110" t="s">
        <v>245</v>
      </c>
      <c r="H13" s="110" t="s">
        <v>247</v>
      </c>
      <c r="I13" s="110" t="s">
        <v>245</v>
      </c>
      <c r="J13" s="110" t="s">
        <v>245</v>
      </c>
      <c r="K13" s="110" t="s">
        <v>248</v>
      </c>
      <c r="L13" s="110" t="s">
        <v>247</v>
      </c>
      <c r="M13" s="111" t="s">
        <v>251</v>
      </c>
      <c r="N13" s="99">
        <v>8.9238236782507502E-2</v>
      </c>
      <c r="O13" s="99">
        <v>6.5199999999999994E-2</v>
      </c>
      <c r="P13">
        <f t="shared" si="0"/>
        <v>1.2321375071759174E-2</v>
      </c>
    </row>
    <row r="14" spans="1:19">
      <c r="B14">
        <f>SUM(B2:B13)</f>
        <v>14.583</v>
      </c>
      <c r="D14" s="2" t="s">
        <v>241</v>
      </c>
      <c r="G14">
        <v>0.106</v>
      </c>
      <c r="J14" s="1" t="s">
        <v>147</v>
      </c>
      <c r="K14" s="146">
        <v>0.18897814527237999</v>
      </c>
      <c r="N14">
        <f>SUM(N2:N13)</f>
        <v>1</v>
      </c>
    </row>
    <row r="15" spans="1:19">
      <c r="D15" s="99">
        <v>8.6499999999999994E-2</v>
      </c>
      <c r="G15">
        <v>0.24</v>
      </c>
      <c r="I15">
        <f>G14*D15</f>
        <v>9.1689999999999983E-3</v>
      </c>
      <c r="J15" s="1" t="s">
        <v>148</v>
      </c>
      <c r="K15" s="146">
        <v>0.18720657816125599</v>
      </c>
    </row>
    <row r="16" spans="1:19">
      <c r="D16" s="99">
        <v>0.11600000000000001</v>
      </c>
      <c r="G16">
        <v>0.111</v>
      </c>
      <c r="J16" s="1" t="s">
        <v>149</v>
      </c>
      <c r="K16" s="146">
        <v>0.19725575291318401</v>
      </c>
    </row>
    <row r="17" spans="1:25">
      <c r="D17" s="99">
        <v>0.12989999999999999</v>
      </c>
      <c r="G17">
        <v>0.24</v>
      </c>
      <c r="J17" s="1" t="s">
        <v>150</v>
      </c>
      <c r="K17" s="146">
        <v>0.18720657816125599</v>
      </c>
    </row>
    <row r="18" spans="1:25">
      <c r="D18" s="1">
        <f>SUM(D15:D17)</f>
        <v>0.33240000000000003</v>
      </c>
      <c r="G18" s="112">
        <v>0.30199999999999999</v>
      </c>
      <c r="H18" s="112"/>
      <c r="I18" s="112"/>
      <c r="J18" s="1" t="s">
        <v>151</v>
      </c>
      <c r="K18" s="146">
        <v>0.23935294549192401</v>
      </c>
      <c r="L18" s="112"/>
      <c r="M18" s="112"/>
    </row>
    <row r="19" spans="1:25">
      <c r="C19" s="100" t="s">
        <v>160</v>
      </c>
      <c r="D19" s="112"/>
      <c r="F19" s="100" t="s">
        <v>250</v>
      </c>
      <c r="G19" s="100"/>
      <c r="I19" s="100" t="s">
        <v>252</v>
      </c>
      <c r="L19" s="100" t="s">
        <v>164</v>
      </c>
      <c r="O19" s="100" t="s">
        <v>165</v>
      </c>
      <c r="R19" s="100" t="s">
        <v>166</v>
      </c>
      <c r="U19" s="100" t="s">
        <v>167</v>
      </c>
      <c r="X19" s="100" t="s">
        <v>169</v>
      </c>
    </row>
    <row r="20" spans="1:25">
      <c r="A20" s="100" t="s">
        <v>160</v>
      </c>
      <c r="B20" s="113">
        <v>1</v>
      </c>
      <c r="C20" s="114">
        <v>1</v>
      </c>
      <c r="D20" s="114">
        <v>1</v>
      </c>
      <c r="E20" s="113">
        <v>0.66666666666666663</v>
      </c>
      <c r="F20" s="114">
        <v>1</v>
      </c>
      <c r="G20" s="114">
        <v>2</v>
      </c>
      <c r="H20" s="113">
        <v>0.5</v>
      </c>
      <c r="I20" s="114">
        <f>2/3</f>
        <v>0.66666666666666663</v>
      </c>
      <c r="J20" s="114">
        <v>1</v>
      </c>
      <c r="K20" s="113">
        <v>0.5</v>
      </c>
      <c r="L20" s="114">
        <v>1</v>
      </c>
      <c r="M20" s="114">
        <v>1.5</v>
      </c>
      <c r="N20" s="113">
        <v>0.66666666666666663</v>
      </c>
      <c r="O20" s="114">
        <v>1</v>
      </c>
      <c r="P20" s="115">
        <v>2</v>
      </c>
      <c r="Q20" s="113">
        <v>0.66666666666666663</v>
      </c>
      <c r="R20" s="114">
        <v>1</v>
      </c>
      <c r="S20" s="115">
        <v>2</v>
      </c>
      <c r="T20" s="113">
        <v>1</v>
      </c>
      <c r="U20" s="114">
        <v>1.5</v>
      </c>
      <c r="V20" s="114">
        <v>2</v>
      </c>
      <c r="W20" s="113">
        <v>0.5</v>
      </c>
      <c r="X20" s="114">
        <v>1</v>
      </c>
      <c r="Y20" s="115">
        <v>1.5</v>
      </c>
    </row>
    <row r="21" spans="1:25">
      <c r="A21" s="100" t="s">
        <v>250</v>
      </c>
      <c r="B21" s="116">
        <v>0.5</v>
      </c>
      <c r="C21" s="99">
        <v>1</v>
      </c>
      <c r="D21" s="99">
        <v>1.5</v>
      </c>
      <c r="E21" s="116">
        <v>1</v>
      </c>
      <c r="F21" s="99">
        <v>1</v>
      </c>
      <c r="G21" s="99">
        <v>1</v>
      </c>
      <c r="H21" s="116">
        <v>0.66666666666666663</v>
      </c>
      <c r="I21" s="99">
        <v>1</v>
      </c>
      <c r="J21" s="99">
        <v>2</v>
      </c>
      <c r="K21" s="116">
        <v>0.5</v>
      </c>
      <c r="L21" s="99">
        <v>1</v>
      </c>
      <c r="M21" s="99">
        <v>1.5</v>
      </c>
      <c r="N21" s="116">
        <v>0.5</v>
      </c>
      <c r="O21" s="99">
        <v>1</v>
      </c>
      <c r="P21" s="117">
        <v>1.5</v>
      </c>
      <c r="Q21" s="116">
        <v>0.5</v>
      </c>
      <c r="R21" s="99">
        <v>1</v>
      </c>
      <c r="S21" s="117">
        <v>1.5</v>
      </c>
      <c r="T21" s="116">
        <v>0.5</v>
      </c>
      <c r="U21" s="99">
        <v>1</v>
      </c>
      <c r="V21" s="99">
        <v>1.5</v>
      </c>
      <c r="W21" s="116">
        <v>0.5</v>
      </c>
      <c r="X21" s="99">
        <v>1</v>
      </c>
      <c r="Y21" s="117">
        <v>1.5</v>
      </c>
    </row>
    <row r="22" spans="1:25">
      <c r="A22" s="100" t="s">
        <v>252</v>
      </c>
      <c r="B22" s="116">
        <v>1</v>
      </c>
      <c r="C22" s="99">
        <v>1.5</v>
      </c>
      <c r="D22" s="99">
        <v>2</v>
      </c>
      <c r="E22" s="116">
        <v>0.5</v>
      </c>
      <c r="F22" s="99">
        <v>1</v>
      </c>
      <c r="G22" s="99">
        <v>1.5</v>
      </c>
      <c r="H22" s="116">
        <v>1</v>
      </c>
      <c r="I22" s="99">
        <v>1</v>
      </c>
      <c r="J22" s="99">
        <v>1</v>
      </c>
      <c r="K22" s="118">
        <v>1</v>
      </c>
      <c r="L22" s="119">
        <v>1.5</v>
      </c>
      <c r="M22" s="119">
        <v>2</v>
      </c>
      <c r="N22" s="118">
        <v>0.66666666666666663</v>
      </c>
      <c r="O22" s="119">
        <v>1</v>
      </c>
      <c r="P22" s="120">
        <v>2</v>
      </c>
      <c r="Q22" s="116">
        <v>0.66666666666666663</v>
      </c>
      <c r="R22" s="99">
        <v>1</v>
      </c>
      <c r="S22" s="117">
        <v>2</v>
      </c>
      <c r="T22" s="118">
        <v>1</v>
      </c>
      <c r="U22" s="119">
        <v>1.5</v>
      </c>
      <c r="V22" s="119">
        <v>2</v>
      </c>
      <c r="W22" s="116">
        <v>0.5</v>
      </c>
      <c r="X22" s="99">
        <v>1</v>
      </c>
      <c r="Y22" s="117">
        <v>1.5</v>
      </c>
    </row>
    <row r="23" spans="1:25">
      <c r="A23" s="100" t="s">
        <v>164</v>
      </c>
      <c r="B23" s="113">
        <v>0.66666666666666663</v>
      </c>
      <c r="C23" s="114">
        <v>1</v>
      </c>
      <c r="D23" s="114">
        <v>2</v>
      </c>
      <c r="E23" s="113">
        <v>0.66666666666666663</v>
      </c>
      <c r="F23" s="114">
        <v>1</v>
      </c>
      <c r="G23" s="115">
        <v>2</v>
      </c>
      <c r="H23" s="113">
        <v>0.5</v>
      </c>
      <c r="I23" s="114">
        <v>0.66666666666666663</v>
      </c>
      <c r="J23" s="115">
        <v>1</v>
      </c>
      <c r="K23" s="116">
        <v>1</v>
      </c>
      <c r="L23" s="99">
        <v>1</v>
      </c>
      <c r="M23" s="99">
        <v>1</v>
      </c>
      <c r="N23" s="116">
        <v>0.66666666666666663</v>
      </c>
      <c r="O23" s="99">
        <v>1</v>
      </c>
      <c r="P23" s="99">
        <v>2</v>
      </c>
      <c r="Q23" s="113">
        <v>0.5</v>
      </c>
      <c r="R23" s="114">
        <f t="shared" ref="R23:R26" si="1">2/3</f>
        <v>0.66666666666666663</v>
      </c>
      <c r="S23" s="115">
        <v>1</v>
      </c>
      <c r="T23" s="99">
        <v>0.5</v>
      </c>
      <c r="U23" s="99">
        <v>1</v>
      </c>
      <c r="V23" s="99">
        <v>1.5</v>
      </c>
      <c r="W23" s="113">
        <v>0.5</v>
      </c>
      <c r="X23" s="114">
        <v>1</v>
      </c>
      <c r="Y23" s="115">
        <v>1.5</v>
      </c>
    </row>
    <row r="24" spans="1:25">
      <c r="A24" s="100" t="s">
        <v>165</v>
      </c>
      <c r="B24" s="116">
        <v>0.5</v>
      </c>
      <c r="C24" s="99">
        <v>1</v>
      </c>
      <c r="D24" s="99">
        <v>1.5</v>
      </c>
      <c r="E24" s="116">
        <v>0.66666666666666663</v>
      </c>
      <c r="F24" s="99">
        <v>1</v>
      </c>
      <c r="G24" s="117">
        <v>2</v>
      </c>
      <c r="H24" s="116">
        <v>0.5</v>
      </c>
      <c r="I24" s="99">
        <v>1</v>
      </c>
      <c r="J24" s="99">
        <v>1.5</v>
      </c>
      <c r="K24" s="116">
        <v>0.5</v>
      </c>
      <c r="L24" s="99">
        <v>1</v>
      </c>
      <c r="M24" s="99">
        <v>1.5</v>
      </c>
      <c r="N24" s="116">
        <v>1</v>
      </c>
      <c r="O24" s="99">
        <v>1</v>
      </c>
      <c r="P24" s="99">
        <v>1</v>
      </c>
      <c r="Q24" s="116">
        <v>0.5</v>
      </c>
      <c r="R24" s="99">
        <f t="shared" si="1"/>
        <v>0.66666666666666663</v>
      </c>
      <c r="S24" s="117">
        <v>1</v>
      </c>
      <c r="T24" s="99">
        <v>0.5</v>
      </c>
      <c r="U24" s="99">
        <v>0.66666666666666663</v>
      </c>
      <c r="V24" s="99">
        <v>1</v>
      </c>
      <c r="W24" s="116">
        <v>0.5</v>
      </c>
      <c r="X24" s="99">
        <v>1</v>
      </c>
      <c r="Y24" s="117">
        <v>1.5</v>
      </c>
    </row>
    <row r="25" spans="1:25">
      <c r="A25" s="100" t="s">
        <v>166</v>
      </c>
      <c r="B25" s="116">
        <v>0.5</v>
      </c>
      <c r="C25" s="99">
        <v>1</v>
      </c>
      <c r="D25" s="99">
        <v>1.5</v>
      </c>
      <c r="E25" s="118">
        <v>0.66666666666666663</v>
      </c>
      <c r="F25" s="119">
        <v>1</v>
      </c>
      <c r="G25" s="120">
        <v>2</v>
      </c>
      <c r="H25" s="116">
        <v>0.5</v>
      </c>
      <c r="I25" s="99">
        <v>1</v>
      </c>
      <c r="J25" s="99">
        <v>1.5</v>
      </c>
      <c r="K25" s="116">
        <v>1</v>
      </c>
      <c r="L25" s="99">
        <v>1.5</v>
      </c>
      <c r="M25" s="99">
        <v>2</v>
      </c>
      <c r="N25" s="118">
        <v>1</v>
      </c>
      <c r="O25" s="119">
        <v>1.5</v>
      </c>
      <c r="P25" s="119">
        <v>2</v>
      </c>
      <c r="Q25" s="118">
        <v>1</v>
      </c>
      <c r="R25" s="119">
        <v>1</v>
      </c>
      <c r="S25" s="120">
        <v>1</v>
      </c>
      <c r="T25" s="99">
        <v>1</v>
      </c>
      <c r="U25" s="99">
        <v>1.5</v>
      </c>
      <c r="V25" s="99">
        <v>2</v>
      </c>
      <c r="W25" s="116">
        <v>0.5</v>
      </c>
      <c r="X25" s="99">
        <v>1</v>
      </c>
      <c r="Y25" s="117">
        <v>1.5</v>
      </c>
    </row>
    <row r="26" spans="1:25">
      <c r="A26" s="100" t="s">
        <v>167</v>
      </c>
      <c r="B26" s="113">
        <v>0.5</v>
      </c>
      <c r="C26" s="114">
        <v>0.66666666666666663</v>
      </c>
      <c r="D26" s="115">
        <v>1</v>
      </c>
      <c r="E26" s="116">
        <v>0.66666666666666663</v>
      </c>
      <c r="F26" s="99">
        <v>1</v>
      </c>
      <c r="G26" s="117">
        <v>2</v>
      </c>
      <c r="H26" s="113">
        <v>0.5</v>
      </c>
      <c r="I26" s="114">
        <v>0.66666666666666663</v>
      </c>
      <c r="J26" s="114">
        <v>1</v>
      </c>
      <c r="K26" s="113">
        <v>0.66666666666666663</v>
      </c>
      <c r="L26" s="114">
        <v>1</v>
      </c>
      <c r="M26" s="115">
        <v>2</v>
      </c>
      <c r="N26" s="116">
        <v>1</v>
      </c>
      <c r="O26" s="99">
        <v>1.5</v>
      </c>
      <c r="P26" s="117">
        <v>2</v>
      </c>
      <c r="Q26" s="116">
        <v>0.5</v>
      </c>
      <c r="R26" s="99">
        <f t="shared" si="1"/>
        <v>0.66666666666666663</v>
      </c>
      <c r="S26" s="99">
        <v>1</v>
      </c>
      <c r="T26" s="113">
        <v>1</v>
      </c>
      <c r="U26" s="114">
        <v>1</v>
      </c>
      <c r="V26" s="114">
        <v>1</v>
      </c>
      <c r="W26" s="113">
        <v>0.5</v>
      </c>
      <c r="X26" s="114">
        <v>0.66666666666666663</v>
      </c>
      <c r="Y26" s="115">
        <v>1</v>
      </c>
    </row>
    <row r="27" spans="1:25">
      <c r="A27" s="100" t="s">
        <v>169</v>
      </c>
      <c r="B27" s="116">
        <v>0.66666666666666663</v>
      </c>
      <c r="C27" s="99">
        <v>1</v>
      </c>
      <c r="D27" s="117">
        <v>2</v>
      </c>
      <c r="E27" s="116">
        <v>0.66666666666666663</v>
      </c>
      <c r="F27" s="99">
        <v>1</v>
      </c>
      <c r="G27" s="117">
        <v>2</v>
      </c>
      <c r="H27" s="116">
        <v>0.66666666666666663</v>
      </c>
      <c r="I27" s="99">
        <v>1</v>
      </c>
      <c r="J27" s="99">
        <v>2</v>
      </c>
      <c r="K27" s="116">
        <v>0.66666666666666663</v>
      </c>
      <c r="L27" s="99">
        <v>1</v>
      </c>
      <c r="M27" s="117">
        <v>2</v>
      </c>
      <c r="N27" s="99">
        <v>0.66666666666666663</v>
      </c>
      <c r="O27" s="99">
        <v>1</v>
      </c>
      <c r="P27" s="117">
        <v>2</v>
      </c>
      <c r="Q27" s="99">
        <v>0.66666666666666663</v>
      </c>
      <c r="R27" s="99">
        <v>1</v>
      </c>
      <c r="S27" s="99">
        <v>2</v>
      </c>
      <c r="T27" s="116">
        <v>1</v>
      </c>
      <c r="U27" s="99">
        <v>1.5</v>
      </c>
      <c r="V27" s="99">
        <v>2</v>
      </c>
      <c r="W27" s="116">
        <v>1</v>
      </c>
      <c r="X27" s="99">
        <v>1</v>
      </c>
      <c r="Y27" s="117">
        <v>1</v>
      </c>
    </row>
    <row r="28" spans="1:25">
      <c r="A28" s="100" t="s">
        <v>170</v>
      </c>
      <c r="B28" s="118">
        <v>0.66666666666666663</v>
      </c>
      <c r="C28" s="119">
        <v>1</v>
      </c>
      <c r="D28" s="120">
        <v>2</v>
      </c>
      <c r="E28" s="99">
        <v>0.5</v>
      </c>
      <c r="F28" s="99">
        <v>1</v>
      </c>
      <c r="G28" s="99">
        <v>1.5</v>
      </c>
      <c r="H28" s="118">
        <v>0.66666666666666663</v>
      </c>
      <c r="I28" s="119">
        <v>1</v>
      </c>
      <c r="J28" s="119">
        <v>2</v>
      </c>
      <c r="K28" s="118">
        <v>0.5</v>
      </c>
      <c r="L28" s="119">
        <v>1</v>
      </c>
      <c r="M28" s="120">
        <v>1.5</v>
      </c>
      <c r="N28" s="119">
        <v>0.66666666666666663</v>
      </c>
      <c r="O28" s="119">
        <v>1</v>
      </c>
      <c r="P28" s="120">
        <v>2</v>
      </c>
      <c r="Q28" s="119">
        <v>0.66666666666666663</v>
      </c>
      <c r="R28" s="119">
        <v>1</v>
      </c>
      <c r="S28" s="119">
        <v>2</v>
      </c>
      <c r="T28" s="116">
        <v>1</v>
      </c>
      <c r="U28" s="99">
        <v>1.5</v>
      </c>
      <c r="V28" s="99">
        <v>2</v>
      </c>
      <c r="W28" s="118">
        <v>0.5</v>
      </c>
      <c r="X28" s="119">
        <v>1</v>
      </c>
      <c r="Y28" s="120">
        <v>1.5</v>
      </c>
    </row>
    <row r="29" spans="1:25">
      <c r="A29" s="100" t="s">
        <v>171</v>
      </c>
      <c r="B29" s="116">
        <v>0.4</v>
      </c>
      <c r="C29" s="99">
        <v>0.5</v>
      </c>
      <c r="D29" s="99">
        <v>0.66666666666666663</v>
      </c>
      <c r="E29" s="113">
        <v>0.5</v>
      </c>
      <c r="F29" s="114">
        <v>0.66666666666666663</v>
      </c>
      <c r="G29" s="115">
        <v>1</v>
      </c>
      <c r="H29" s="116">
        <v>0.4</v>
      </c>
      <c r="I29" s="99">
        <v>0.5</v>
      </c>
      <c r="J29" s="99">
        <v>0.66666666666666663</v>
      </c>
      <c r="K29" s="116">
        <v>0.5</v>
      </c>
      <c r="L29" s="99">
        <v>0.66666666666666663</v>
      </c>
      <c r="M29" s="117">
        <v>1</v>
      </c>
      <c r="N29" s="113">
        <v>0.5</v>
      </c>
      <c r="O29" s="114">
        <v>0.66666666666666663</v>
      </c>
      <c r="P29" s="115">
        <v>1</v>
      </c>
      <c r="Q29" s="113">
        <v>0.5</v>
      </c>
      <c r="R29" s="114">
        <v>0.66666666666666663</v>
      </c>
      <c r="S29" s="114">
        <v>1</v>
      </c>
      <c r="T29" s="113">
        <v>0.66666666666666663</v>
      </c>
      <c r="U29" s="114">
        <v>1</v>
      </c>
      <c r="V29" s="115">
        <v>2</v>
      </c>
      <c r="W29" s="113">
        <v>0.66666666666666663</v>
      </c>
      <c r="X29" s="114">
        <v>1</v>
      </c>
      <c r="Y29" s="115">
        <v>2</v>
      </c>
    </row>
    <row r="30" spans="1:25">
      <c r="A30" s="100" t="s">
        <v>172</v>
      </c>
      <c r="B30" s="116">
        <v>0.66666666666666663</v>
      </c>
      <c r="C30" s="99">
        <v>1</v>
      </c>
      <c r="D30" s="99">
        <v>2</v>
      </c>
      <c r="E30" s="116">
        <v>0.66666666666666663</v>
      </c>
      <c r="F30" s="99">
        <v>1</v>
      </c>
      <c r="G30" s="117">
        <v>2</v>
      </c>
      <c r="H30" s="116">
        <v>0.66666666666666663</v>
      </c>
      <c r="I30" s="99">
        <v>1</v>
      </c>
      <c r="J30" s="117">
        <v>2</v>
      </c>
      <c r="K30" s="116">
        <v>0.66666666666666663</v>
      </c>
      <c r="L30" s="99">
        <v>1</v>
      </c>
      <c r="M30" s="117">
        <v>2</v>
      </c>
      <c r="N30" s="116">
        <v>0.66666666666666663</v>
      </c>
      <c r="O30" s="99">
        <v>1</v>
      </c>
      <c r="P30" s="117">
        <v>2</v>
      </c>
      <c r="Q30" s="116">
        <v>0.66666666666666663</v>
      </c>
      <c r="R30" s="99">
        <v>1</v>
      </c>
      <c r="S30" s="99">
        <v>2</v>
      </c>
      <c r="T30" s="116">
        <v>0.66666666666666663</v>
      </c>
      <c r="U30" s="99">
        <v>1</v>
      </c>
      <c r="V30" s="117">
        <v>2</v>
      </c>
      <c r="W30" s="99">
        <v>0.66666666666666663</v>
      </c>
      <c r="X30" s="99">
        <v>1</v>
      </c>
      <c r="Y30" s="117">
        <v>2</v>
      </c>
    </row>
    <row r="31" spans="1:25">
      <c r="A31" s="100" t="s">
        <v>173</v>
      </c>
      <c r="B31" s="118">
        <v>0.5</v>
      </c>
      <c r="C31" s="119">
        <v>1</v>
      </c>
      <c r="D31" s="119">
        <v>1.5</v>
      </c>
      <c r="E31" s="118">
        <v>0.66666666666666663</v>
      </c>
      <c r="F31" s="119">
        <v>1</v>
      </c>
      <c r="G31" s="120">
        <v>2</v>
      </c>
      <c r="H31" s="118">
        <v>0.66666666666666663</v>
      </c>
      <c r="I31" s="119">
        <v>1</v>
      </c>
      <c r="J31" s="120">
        <v>2</v>
      </c>
      <c r="K31" s="118">
        <v>0.66666666666666663</v>
      </c>
      <c r="L31" s="119">
        <v>1</v>
      </c>
      <c r="M31" s="120">
        <v>2</v>
      </c>
      <c r="N31" s="118">
        <v>0.66666666666666663</v>
      </c>
      <c r="O31" s="119">
        <v>1</v>
      </c>
      <c r="P31" s="120">
        <v>2</v>
      </c>
      <c r="Q31" s="118">
        <v>0.66666666666666663</v>
      </c>
      <c r="R31" s="119">
        <v>1</v>
      </c>
      <c r="S31" s="119">
        <v>2</v>
      </c>
      <c r="T31" s="118">
        <v>0.5</v>
      </c>
      <c r="U31" s="119">
        <v>1</v>
      </c>
      <c r="V31" s="120">
        <v>1.5</v>
      </c>
      <c r="W31" s="119">
        <v>0.66666666666666663</v>
      </c>
      <c r="X31" s="119">
        <v>1</v>
      </c>
      <c r="Y31" s="120">
        <v>2</v>
      </c>
    </row>
    <row r="32" spans="1:25">
      <c r="A32" s="1"/>
      <c r="M32" s="2"/>
      <c r="N32" s="2"/>
      <c r="O32" s="2"/>
    </row>
    <row r="33" spans="2:13">
      <c r="C33" s="100" t="s">
        <v>170</v>
      </c>
      <c r="F33" s="100" t="s">
        <v>171</v>
      </c>
      <c r="I33" s="100" t="s">
        <v>172</v>
      </c>
      <c r="L33" s="100" t="s">
        <v>173</v>
      </c>
    </row>
    <row r="34" spans="2:13">
      <c r="B34" s="113">
        <v>0.5</v>
      </c>
      <c r="C34" s="114">
        <v>1</v>
      </c>
      <c r="D34" s="115">
        <v>1.5</v>
      </c>
      <c r="E34" s="114">
        <v>1.5</v>
      </c>
      <c r="F34" s="114">
        <v>2</v>
      </c>
      <c r="G34" s="114">
        <v>2.5</v>
      </c>
      <c r="H34" s="113">
        <v>0.5</v>
      </c>
      <c r="I34" s="114">
        <v>1</v>
      </c>
      <c r="J34" s="114">
        <v>1.5</v>
      </c>
      <c r="K34" s="113">
        <v>0.66666666666666663</v>
      </c>
      <c r="L34" s="114">
        <v>1</v>
      </c>
      <c r="M34" s="115">
        <v>2</v>
      </c>
    </row>
    <row r="35" spans="2:13">
      <c r="B35" s="116">
        <v>0.66666666666666663</v>
      </c>
      <c r="C35" s="99">
        <v>1</v>
      </c>
      <c r="D35" s="117">
        <v>2</v>
      </c>
      <c r="E35" s="99">
        <v>1</v>
      </c>
      <c r="F35" s="99">
        <v>1.5</v>
      </c>
      <c r="G35" s="99">
        <v>2</v>
      </c>
      <c r="H35" s="116">
        <v>0.5</v>
      </c>
      <c r="I35" s="99">
        <v>1</v>
      </c>
      <c r="J35" s="99">
        <v>1.5</v>
      </c>
      <c r="K35" s="116">
        <v>0.5</v>
      </c>
      <c r="L35" s="99">
        <v>1</v>
      </c>
      <c r="M35" s="117">
        <v>1.5</v>
      </c>
    </row>
    <row r="36" spans="2:13">
      <c r="B36" s="118">
        <v>0.5</v>
      </c>
      <c r="C36" s="119">
        <v>1</v>
      </c>
      <c r="D36" s="120">
        <v>1.5</v>
      </c>
      <c r="E36" s="99">
        <v>1.5</v>
      </c>
      <c r="F36" s="99">
        <v>2</v>
      </c>
      <c r="G36" s="99">
        <v>2.5</v>
      </c>
      <c r="H36" s="116">
        <v>0.5</v>
      </c>
      <c r="I36" s="99">
        <v>1</v>
      </c>
      <c r="J36" s="99">
        <v>1.5</v>
      </c>
      <c r="K36" s="116">
        <v>0.5</v>
      </c>
      <c r="L36" s="99">
        <v>1</v>
      </c>
      <c r="M36" s="117">
        <v>1.5</v>
      </c>
    </row>
    <row r="37" spans="2:13">
      <c r="B37" s="116">
        <v>0.66666666666666663</v>
      </c>
      <c r="C37" s="99">
        <v>1</v>
      </c>
      <c r="D37" s="99">
        <v>2</v>
      </c>
      <c r="E37" s="113">
        <v>1</v>
      </c>
      <c r="F37" s="114">
        <v>1.5</v>
      </c>
      <c r="G37" s="114">
        <v>2</v>
      </c>
      <c r="H37" s="113">
        <v>0.5</v>
      </c>
      <c r="I37" s="114">
        <v>1</v>
      </c>
      <c r="J37" s="114">
        <v>1.5</v>
      </c>
      <c r="K37" s="113">
        <v>0.5</v>
      </c>
      <c r="L37" s="114">
        <v>1</v>
      </c>
      <c r="M37" s="115">
        <v>1.5</v>
      </c>
    </row>
    <row r="38" spans="2:13">
      <c r="B38" s="116">
        <v>0.5</v>
      </c>
      <c r="C38" s="99">
        <v>1</v>
      </c>
      <c r="D38" s="99">
        <v>1.5</v>
      </c>
      <c r="E38" s="116">
        <v>1</v>
      </c>
      <c r="F38" s="99">
        <v>1.5</v>
      </c>
      <c r="G38" s="99">
        <v>2</v>
      </c>
      <c r="H38" s="116">
        <v>0.5</v>
      </c>
      <c r="I38" s="99">
        <v>1</v>
      </c>
      <c r="J38" s="99">
        <v>1.5</v>
      </c>
      <c r="K38" s="116">
        <v>0.5</v>
      </c>
      <c r="L38" s="99">
        <v>1</v>
      </c>
      <c r="M38" s="117">
        <v>1.5</v>
      </c>
    </row>
    <row r="39" spans="2:13">
      <c r="B39" s="116">
        <v>0.5</v>
      </c>
      <c r="C39" s="99">
        <v>1</v>
      </c>
      <c r="D39" s="99">
        <v>1.5</v>
      </c>
      <c r="E39" s="116">
        <v>1</v>
      </c>
      <c r="F39" s="99">
        <v>1.5</v>
      </c>
      <c r="G39" s="99">
        <v>2</v>
      </c>
      <c r="H39" s="116">
        <v>0.5</v>
      </c>
      <c r="I39" s="99">
        <v>1</v>
      </c>
      <c r="J39" s="99">
        <v>1.5</v>
      </c>
      <c r="K39" s="118">
        <v>0.5</v>
      </c>
      <c r="L39" s="119">
        <v>1</v>
      </c>
      <c r="M39" s="120">
        <v>1.5</v>
      </c>
    </row>
    <row r="40" spans="2:13">
      <c r="B40" s="113">
        <v>0.5</v>
      </c>
      <c r="C40" s="114">
        <v>0.66666666666666663</v>
      </c>
      <c r="D40" s="114">
        <v>1</v>
      </c>
      <c r="E40" s="113">
        <v>0.5</v>
      </c>
      <c r="F40" s="114">
        <v>1</v>
      </c>
      <c r="G40" s="114">
        <v>1.5</v>
      </c>
      <c r="H40" s="113">
        <v>0.5</v>
      </c>
      <c r="I40" s="114">
        <v>1</v>
      </c>
      <c r="J40" s="115">
        <v>1.5</v>
      </c>
      <c r="K40" s="113">
        <v>0.66666666666666663</v>
      </c>
      <c r="L40" s="114">
        <v>1</v>
      </c>
      <c r="M40" s="115">
        <v>2</v>
      </c>
    </row>
    <row r="41" spans="2:13">
      <c r="B41" s="116">
        <v>0.66666666666666663</v>
      </c>
      <c r="C41" s="99">
        <v>1</v>
      </c>
      <c r="D41" s="99">
        <v>2</v>
      </c>
      <c r="E41" s="116">
        <v>0.5</v>
      </c>
      <c r="F41" s="99">
        <v>1</v>
      </c>
      <c r="G41" s="99">
        <v>1.5</v>
      </c>
      <c r="H41" s="116">
        <v>0.5</v>
      </c>
      <c r="I41" s="99">
        <v>1</v>
      </c>
      <c r="J41" s="117">
        <v>1.5</v>
      </c>
      <c r="K41" s="116">
        <v>0.5</v>
      </c>
      <c r="L41" s="99">
        <v>1</v>
      </c>
      <c r="M41" s="117">
        <v>1.5</v>
      </c>
    </row>
    <row r="42" spans="2:13">
      <c r="B42" s="116">
        <v>1</v>
      </c>
      <c r="C42" s="99">
        <v>1</v>
      </c>
      <c r="D42" s="99">
        <v>1</v>
      </c>
      <c r="E42" s="116">
        <v>0.5</v>
      </c>
      <c r="F42" s="99">
        <v>1</v>
      </c>
      <c r="G42" s="99">
        <v>1.5</v>
      </c>
      <c r="H42" s="118">
        <v>1</v>
      </c>
      <c r="I42" s="119">
        <v>1.5</v>
      </c>
      <c r="J42" s="120">
        <v>2</v>
      </c>
      <c r="K42" s="116">
        <v>0.5</v>
      </c>
      <c r="L42" s="99">
        <v>1</v>
      </c>
      <c r="M42" s="117">
        <v>1.5</v>
      </c>
    </row>
    <row r="43" spans="2:13">
      <c r="B43" s="113">
        <v>0.66666666666666663</v>
      </c>
      <c r="C43" s="114">
        <v>1</v>
      </c>
      <c r="D43" s="114">
        <v>2</v>
      </c>
      <c r="E43" s="113">
        <v>1</v>
      </c>
      <c r="F43" s="114">
        <v>1</v>
      </c>
      <c r="G43" s="115">
        <v>1</v>
      </c>
      <c r="H43" s="116">
        <v>0.66666666666666663</v>
      </c>
      <c r="I43" s="99">
        <v>1</v>
      </c>
      <c r="J43" s="99">
        <v>2</v>
      </c>
      <c r="K43" s="113">
        <v>0.5</v>
      </c>
      <c r="L43" s="114">
        <v>0.66666666666666663</v>
      </c>
      <c r="M43" s="115">
        <v>1</v>
      </c>
    </row>
    <row r="44" spans="2:13">
      <c r="B44" s="116">
        <v>0.5</v>
      </c>
      <c r="C44" s="99">
        <v>0.66666666666666663</v>
      </c>
      <c r="D44" s="99">
        <v>1</v>
      </c>
      <c r="E44" s="116">
        <v>0.5</v>
      </c>
      <c r="F44" s="99">
        <v>1</v>
      </c>
      <c r="G44" s="117">
        <v>1.5</v>
      </c>
      <c r="H44" s="99">
        <v>1</v>
      </c>
      <c r="I44" s="99">
        <v>1</v>
      </c>
      <c r="J44" s="99">
        <v>1</v>
      </c>
      <c r="K44" s="116">
        <v>0.66666666666666663</v>
      </c>
      <c r="L44" s="99">
        <v>1</v>
      </c>
      <c r="M44" s="117">
        <v>2</v>
      </c>
    </row>
    <row r="45" spans="2:13">
      <c r="B45" s="118">
        <v>0.66666666666666663</v>
      </c>
      <c r="C45" s="119">
        <v>1</v>
      </c>
      <c r="D45" s="119">
        <v>2</v>
      </c>
      <c r="E45" s="118">
        <v>1</v>
      </c>
      <c r="F45" s="119">
        <v>1.5</v>
      </c>
      <c r="G45" s="120">
        <v>2</v>
      </c>
      <c r="H45" s="119">
        <v>0.5</v>
      </c>
      <c r="I45" s="119">
        <v>1</v>
      </c>
      <c r="J45" s="119">
        <v>1.5</v>
      </c>
      <c r="K45" s="118">
        <v>1</v>
      </c>
      <c r="L45" s="119">
        <v>1</v>
      </c>
      <c r="M45" s="120">
        <v>1</v>
      </c>
    </row>
    <row r="47" spans="2:13">
      <c r="E47" s="2"/>
      <c r="F47" s="2"/>
      <c r="G47" s="2"/>
      <c r="H47" s="2"/>
      <c r="I47" s="2"/>
      <c r="J47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2199D-0F27-47DF-8929-58089C4D31FF}">
  <dimension ref="A1:V113"/>
  <sheetViews>
    <sheetView topLeftCell="A103" workbookViewId="0">
      <selection activeCell="G136" sqref="G136"/>
    </sheetView>
  </sheetViews>
  <sheetFormatPr defaultRowHeight="14.5"/>
  <cols>
    <col min="2" max="2" width="13.1796875" customWidth="1"/>
    <col min="3" max="3" width="10.54296875" customWidth="1"/>
    <col min="4" max="4" width="15.453125" customWidth="1"/>
    <col min="6" max="6" width="9.7265625" customWidth="1"/>
    <col min="7" max="7" width="9.81640625" customWidth="1"/>
    <col min="8" max="8" width="10.54296875" customWidth="1"/>
    <col min="9" max="9" width="9.26953125" bestFit="1" customWidth="1"/>
    <col min="11" max="11" width="10.26953125" customWidth="1"/>
    <col min="12" max="12" width="9.26953125" bestFit="1" customWidth="1"/>
    <col min="13" max="13" width="10.453125" bestFit="1" customWidth="1"/>
    <col min="14" max="14" width="9.453125" customWidth="1"/>
  </cols>
  <sheetData>
    <row r="1" spans="1:15">
      <c r="A1" s="1" t="s">
        <v>241</v>
      </c>
      <c r="K1" s="1" t="s">
        <v>42</v>
      </c>
      <c r="M1" s="1" t="s">
        <v>33</v>
      </c>
      <c r="O1" s="1" t="s">
        <v>31</v>
      </c>
    </row>
    <row r="2" spans="1:15">
      <c r="A2" s="25">
        <v>1</v>
      </c>
      <c r="B2" s="25">
        <v>1</v>
      </c>
      <c r="C2" s="25">
        <v>1</v>
      </c>
      <c r="D2" s="25">
        <v>1.5</v>
      </c>
      <c r="E2" s="25">
        <v>2</v>
      </c>
      <c r="F2" s="25">
        <v>2.5</v>
      </c>
      <c r="G2" s="25">
        <v>0.5</v>
      </c>
      <c r="H2" s="25">
        <v>0.66666666699999999</v>
      </c>
      <c r="I2" s="25">
        <v>1</v>
      </c>
      <c r="K2" s="2">
        <v>8.7300000000000003E-2</v>
      </c>
      <c r="M2" s="25">
        <v>0.37168435599999999</v>
      </c>
    </row>
    <row r="3" spans="1:15">
      <c r="A3" s="25">
        <v>0.4</v>
      </c>
      <c r="B3" s="25">
        <v>0.5</v>
      </c>
      <c r="C3" s="25">
        <v>0.66666666699999999</v>
      </c>
      <c r="D3" s="25">
        <v>1</v>
      </c>
      <c r="E3" s="25">
        <v>1</v>
      </c>
      <c r="F3" s="25">
        <v>1</v>
      </c>
      <c r="G3" s="25">
        <v>0.5</v>
      </c>
      <c r="H3" s="25">
        <v>0.66666666699999999</v>
      </c>
      <c r="I3" s="25">
        <v>1</v>
      </c>
      <c r="K3" s="2"/>
      <c r="M3" s="25">
        <v>0.22084225099999999</v>
      </c>
    </row>
    <row r="4" spans="1:15">
      <c r="A4" s="25">
        <v>1</v>
      </c>
      <c r="B4" s="25">
        <v>1.5</v>
      </c>
      <c r="C4" s="25">
        <v>2</v>
      </c>
      <c r="D4" s="25">
        <v>1</v>
      </c>
      <c r="E4" s="25">
        <v>1.5</v>
      </c>
      <c r="F4" s="25">
        <v>2</v>
      </c>
      <c r="G4" s="25">
        <v>1</v>
      </c>
      <c r="H4" s="25">
        <v>1</v>
      </c>
      <c r="I4" s="25">
        <v>1</v>
      </c>
      <c r="K4" s="2"/>
      <c r="M4" s="25">
        <v>0.40747339199999999</v>
      </c>
    </row>
    <row r="5" spans="1:15">
      <c r="K5" s="2"/>
      <c r="M5" s="2"/>
    </row>
    <row r="6" spans="1:15">
      <c r="K6" s="2"/>
      <c r="M6" s="2"/>
    </row>
    <row r="7" spans="1:15">
      <c r="A7" s="1" t="s">
        <v>242</v>
      </c>
      <c r="K7" s="2"/>
      <c r="M7" s="2"/>
    </row>
    <row r="8" spans="1:15">
      <c r="A8" s="24">
        <v>1</v>
      </c>
      <c r="B8" s="24">
        <v>1</v>
      </c>
      <c r="C8" s="24">
        <v>1</v>
      </c>
      <c r="D8" s="24">
        <v>1</v>
      </c>
      <c r="E8" s="24">
        <v>1.5</v>
      </c>
      <c r="F8" s="24">
        <v>2</v>
      </c>
      <c r="G8" s="24">
        <v>1</v>
      </c>
      <c r="H8" s="24">
        <v>1.5</v>
      </c>
      <c r="I8" s="24">
        <v>2</v>
      </c>
      <c r="K8" s="2">
        <v>5.6599999999999998E-2</v>
      </c>
      <c r="M8" s="24">
        <v>0.417624101834628</v>
      </c>
    </row>
    <row r="9" spans="1:15">
      <c r="A9" s="24">
        <v>0.5</v>
      </c>
      <c r="B9" s="24">
        <v>0.66666666666666696</v>
      </c>
      <c r="C9" s="24">
        <v>1</v>
      </c>
      <c r="D9" s="24">
        <v>1</v>
      </c>
      <c r="E9" s="24">
        <v>1</v>
      </c>
      <c r="F9" s="24">
        <v>1</v>
      </c>
      <c r="G9" s="24">
        <v>0.5</v>
      </c>
      <c r="H9" s="24">
        <v>0.66666666666666696</v>
      </c>
      <c r="I9" s="24">
        <v>1</v>
      </c>
      <c r="K9" s="2"/>
      <c r="M9" s="24">
        <v>0.24904256483203899</v>
      </c>
    </row>
    <row r="10" spans="1:15">
      <c r="A10" s="24">
        <v>0.5</v>
      </c>
      <c r="B10" s="24">
        <v>0.66666666666666696</v>
      </c>
      <c r="C10" s="24">
        <v>1</v>
      </c>
      <c r="D10" s="24">
        <v>1</v>
      </c>
      <c r="E10" s="24">
        <v>1.5</v>
      </c>
      <c r="F10" s="24">
        <v>2</v>
      </c>
      <c r="G10" s="24">
        <v>1</v>
      </c>
      <c r="H10" s="24">
        <v>1</v>
      </c>
      <c r="I10" s="24">
        <v>1</v>
      </c>
      <c r="K10" s="2"/>
      <c r="M10" s="24">
        <v>0.33333333333333298</v>
      </c>
    </row>
    <row r="11" spans="1:15">
      <c r="K11" s="2"/>
      <c r="M11" s="2"/>
    </row>
    <row r="12" spans="1:15">
      <c r="K12" s="2"/>
      <c r="M12" s="2"/>
    </row>
    <row r="13" spans="1:15">
      <c r="A13" s="1" t="s">
        <v>243</v>
      </c>
      <c r="K13" s="2"/>
      <c r="M13" s="2"/>
    </row>
    <row r="14" spans="1:15">
      <c r="A14" s="24">
        <v>1</v>
      </c>
      <c r="B14" s="24">
        <v>1</v>
      </c>
      <c r="C14" s="24">
        <v>1</v>
      </c>
      <c r="D14" s="24">
        <v>1.5</v>
      </c>
      <c r="E14" s="24">
        <v>2</v>
      </c>
      <c r="F14" s="24">
        <v>2.5</v>
      </c>
      <c r="G14" s="24">
        <v>1.5</v>
      </c>
      <c r="H14" s="24">
        <v>2</v>
      </c>
      <c r="I14" s="24">
        <v>2.5</v>
      </c>
      <c r="K14" s="2">
        <v>4.5499999999999999E-2</v>
      </c>
      <c r="M14" s="24">
        <v>0.48851080758426702</v>
      </c>
    </row>
    <row r="15" spans="1:15">
      <c r="A15" s="24">
        <v>0.4</v>
      </c>
      <c r="B15" s="24">
        <v>0.5</v>
      </c>
      <c r="C15" s="24">
        <v>0.66666666666666696</v>
      </c>
      <c r="D15" s="24">
        <v>1</v>
      </c>
      <c r="E15" s="24">
        <v>1</v>
      </c>
      <c r="F15" s="24">
        <v>1</v>
      </c>
      <c r="G15" s="24">
        <v>1</v>
      </c>
      <c r="H15" s="24">
        <v>1.5</v>
      </c>
      <c r="I15" s="24">
        <v>2</v>
      </c>
      <c r="K15" s="2"/>
      <c r="M15" s="24">
        <v>0.29587219091289901</v>
      </c>
    </row>
    <row r="16" spans="1:15">
      <c r="A16" s="24">
        <v>0.4</v>
      </c>
      <c r="B16" s="24">
        <v>0.5</v>
      </c>
      <c r="C16" s="24">
        <v>0.66666666666666696</v>
      </c>
      <c r="D16" s="24">
        <v>0.5</v>
      </c>
      <c r="E16" s="24">
        <v>0.66666666666666696</v>
      </c>
      <c r="F16" s="24">
        <v>1</v>
      </c>
      <c r="G16" s="24">
        <v>1</v>
      </c>
      <c r="H16" s="24">
        <v>1</v>
      </c>
      <c r="I16" s="24">
        <v>1</v>
      </c>
      <c r="K16" s="2"/>
      <c r="M16" s="24">
        <v>0.215617001502834</v>
      </c>
    </row>
    <row r="17" spans="1:22">
      <c r="K17" s="2"/>
      <c r="M17" s="2"/>
    </row>
    <row r="18" spans="1:22">
      <c r="K18" s="2"/>
      <c r="M18" s="2"/>
    </row>
    <row r="19" spans="1:22">
      <c r="A19" s="1" t="s">
        <v>244</v>
      </c>
      <c r="K19" s="2"/>
      <c r="M19" s="2"/>
    </row>
    <row r="20" spans="1:22">
      <c r="A20" s="24">
        <v>1</v>
      </c>
      <c r="B20" s="24">
        <v>1</v>
      </c>
      <c r="C20" s="24">
        <v>1</v>
      </c>
      <c r="D20" s="24">
        <v>1</v>
      </c>
      <c r="E20" s="24">
        <v>1.5</v>
      </c>
      <c r="F20" s="24">
        <v>2</v>
      </c>
      <c r="G20" s="24">
        <v>1.5</v>
      </c>
      <c r="H20" s="24">
        <v>2</v>
      </c>
      <c r="I20" s="24">
        <v>2.5</v>
      </c>
      <c r="K20" s="2">
        <v>3.49E-2</v>
      </c>
      <c r="M20" s="24">
        <v>0.45391825861499302</v>
      </c>
    </row>
    <row r="21" spans="1:22">
      <c r="A21" s="24">
        <v>0.5</v>
      </c>
      <c r="B21" s="24">
        <v>0.66666666666666696</v>
      </c>
      <c r="C21" s="24">
        <v>1</v>
      </c>
      <c r="D21" s="24">
        <v>1</v>
      </c>
      <c r="E21" s="24">
        <v>1</v>
      </c>
      <c r="F21" s="24">
        <v>1</v>
      </c>
      <c r="G21" s="24">
        <v>1</v>
      </c>
      <c r="H21" s="24">
        <v>1.5</v>
      </c>
      <c r="I21" s="24">
        <v>2</v>
      </c>
      <c r="K21" s="2"/>
      <c r="M21" s="24">
        <v>0.32523949031063898</v>
      </c>
    </row>
    <row r="22" spans="1:22">
      <c r="A22" s="24">
        <v>0.4</v>
      </c>
      <c r="B22" s="24">
        <v>0.5</v>
      </c>
      <c r="C22" s="24">
        <v>0.66666666666666696</v>
      </c>
      <c r="D22" s="24">
        <v>0.5</v>
      </c>
      <c r="E22" s="24">
        <v>0.66666666666666696</v>
      </c>
      <c r="F22" s="24">
        <v>1</v>
      </c>
      <c r="G22" s="24">
        <v>1</v>
      </c>
      <c r="H22" s="24">
        <v>1</v>
      </c>
      <c r="I22" s="24">
        <v>1</v>
      </c>
      <c r="K22" s="2"/>
      <c r="M22" s="24">
        <v>0.220842251074368</v>
      </c>
    </row>
    <row r="25" spans="1:22">
      <c r="K25" s="56">
        <v>6.8812915580053216E-2</v>
      </c>
      <c r="L25" s="21">
        <v>0.42850990667347799</v>
      </c>
      <c r="M25" s="21">
        <v>0.28711318774871808</v>
      </c>
      <c r="N25" s="21">
        <v>0.1600447332615508</v>
      </c>
      <c r="O25" s="21">
        <v>0.32783532188278486</v>
      </c>
      <c r="P25" s="21">
        <v>0.28033280734471383</v>
      </c>
      <c r="Q25" s="21">
        <v>0.28694404715845112</v>
      </c>
      <c r="R25" s="21">
        <v>0.31495607834566497</v>
      </c>
      <c r="S25" s="21">
        <v>0.32788503352240628</v>
      </c>
      <c r="T25" s="21">
        <v>0.11534447305640212</v>
      </c>
      <c r="U25" s="21">
        <v>0.2380852633833995</v>
      </c>
      <c r="V25" s="21">
        <v>0.15334473795294479</v>
      </c>
    </row>
    <row r="26" spans="1:22">
      <c r="K26" s="41">
        <v>4.2363906624418801E-2</v>
      </c>
      <c r="L26" s="11">
        <v>5.3831660706732808E-5</v>
      </c>
      <c r="M26" s="11">
        <v>9.9348630937060797E-3</v>
      </c>
      <c r="N26" s="11">
        <v>4.1696973226071945E-5</v>
      </c>
      <c r="O26" s="11">
        <v>0.52450504785630003</v>
      </c>
      <c r="P26" s="11">
        <v>0.13357094777264047</v>
      </c>
      <c r="Q26" s="11">
        <v>0.28694404715845112</v>
      </c>
      <c r="R26" s="11">
        <v>0.31495607834566497</v>
      </c>
      <c r="S26" s="11">
        <v>0.23034560117480823</v>
      </c>
      <c r="T26" s="11">
        <v>5.4844923097700558E-5</v>
      </c>
      <c r="U26" s="11">
        <v>5.2367237152174453E-5</v>
      </c>
      <c r="V26" s="11">
        <v>0.15334473795294479</v>
      </c>
    </row>
    <row r="27" spans="1:22">
      <c r="K27" s="41">
        <v>0.43380923916780834</v>
      </c>
      <c r="L27" s="11">
        <v>0.53837043872803481</v>
      </c>
      <c r="M27" s="11">
        <v>0.3465085430319349</v>
      </c>
      <c r="N27" s="11">
        <v>0.12144123872245052</v>
      </c>
      <c r="O27" s="11">
        <v>5.7414448669201562E-2</v>
      </c>
      <c r="P27" s="11">
        <v>0.50764816878717323</v>
      </c>
      <c r="Q27" s="11">
        <v>0.28694404715845112</v>
      </c>
      <c r="R27" s="11">
        <v>0.25816639892340537</v>
      </c>
      <c r="S27" s="11">
        <v>0.44168103792793723</v>
      </c>
      <c r="T27" s="11">
        <v>0.54850407590010319</v>
      </c>
      <c r="U27" s="11">
        <v>0.52372473875889669</v>
      </c>
      <c r="V27" s="11">
        <v>0.48881828886272238</v>
      </c>
    </row>
    <row r="28" spans="1:22">
      <c r="A28" s="24"/>
      <c r="B28" s="24" t="s">
        <v>33</v>
      </c>
      <c r="K28" s="41">
        <v>0.45496844633231592</v>
      </c>
      <c r="L28" s="11">
        <v>1.1039884866162418E-2</v>
      </c>
      <c r="M28" s="11">
        <v>0.356407768912471</v>
      </c>
      <c r="N28" s="11">
        <v>0.41701142923394552</v>
      </c>
      <c r="O28" s="11">
        <v>9.0192736331453985E-2</v>
      </c>
      <c r="P28" s="11">
        <v>5.0759740904626862E-5</v>
      </c>
      <c r="Q28" s="11">
        <v>0.13913916698908416</v>
      </c>
      <c r="R28" s="11">
        <v>0.11188995192667589</v>
      </c>
      <c r="S28" s="11">
        <v>4.4163687424051321E-5</v>
      </c>
      <c r="T28" s="11">
        <v>9.8874526180215791E-2</v>
      </c>
      <c r="U28" s="11">
        <v>5.2367237152174453E-5</v>
      </c>
      <c r="V28" s="11">
        <v>0.20444335829019572</v>
      </c>
    </row>
    <row r="29" spans="1:22">
      <c r="A29" s="24" t="s">
        <v>254</v>
      </c>
      <c r="B29" s="24">
        <f>0.122383880220714</f>
        <v>0.122383880220714</v>
      </c>
      <c r="K29" s="70">
        <v>4.5492295403691225E-5</v>
      </c>
      <c r="L29" s="13">
        <v>2.2025938071618102E-2</v>
      </c>
      <c r="M29" s="13">
        <v>3.5637213169930111E-5</v>
      </c>
      <c r="N29" s="13">
        <v>0.30146090180882723</v>
      </c>
      <c r="O29" s="13">
        <v>5.2445260259604039E-5</v>
      </c>
      <c r="P29" s="13">
        <v>7.8397316354567814E-2</v>
      </c>
      <c r="Q29" s="13">
        <v>2.8691535562288884E-5</v>
      </c>
      <c r="R29" s="13">
        <v>3.1492458588707626E-5</v>
      </c>
      <c r="S29" s="13">
        <v>4.4163687424051321E-5</v>
      </c>
      <c r="T29" s="13">
        <v>0.23722207994018116</v>
      </c>
      <c r="U29" s="13">
        <v>0.2380852633833995</v>
      </c>
      <c r="V29" s="11">
        <v>4.8876941192153027E-5</v>
      </c>
    </row>
    <row r="30" spans="1:22">
      <c r="A30" s="24" t="s">
        <v>255</v>
      </c>
      <c r="B30" s="26">
        <f>0.402340226254651</f>
        <v>0.40234022625465099</v>
      </c>
    </row>
    <row r="31" spans="1:22">
      <c r="A31" s="24" t="s">
        <v>256</v>
      </c>
      <c r="B31" s="26">
        <f>0.290441283278577</f>
        <v>0.29044128327857699</v>
      </c>
    </row>
    <row r="32" spans="1:22">
      <c r="A32" s="24" t="s">
        <v>257</v>
      </c>
      <c r="B32" s="26">
        <f>0.184834610246057</f>
        <v>0.18483461024605699</v>
      </c>
    </row>
    <row r="33" spans="1:22">
      <c r="H33" s="2" t="s">
        <v>258</v>
      </c>
      <c r="K33" s="2">
        <v>5.504862645115776E-2</v>
      </c>
      <c r="L33" s="2">
        <v>4.9581108929874017E-2</v>
      </c>
      <c r="M33" s="2">
        <v>5.2326836841021601E-2</v>
      </c>
      <c r="N33" s="2">
        <v>8.0908278402773981E-2</v>
      </c>
      <c r="O33" s="2">
        <v>7.8300587369104196E-2</v>
      </c>
      <c r="P33" s="2">
        <v>8.3002646529261509E-2</v>
      </c>
      <c r="Q33" s="2">
        <v>6.564463124202892E-2</v>
      </c>
      <c r="R33" s="2">
        <v>5.3646831817088916E-2</v>
      </c>
      <c r="S33" s="2">
        <v>6.3073496097735021E-2</v>
      </c>
      <c r="T33" s="2">
        <v>0.16271561250697028</v>
      </c>
      <c r="U33" s="2">
        <v>0.15545128119163612</v>
      </c>
      <c r="V33" s="2">
        <v>0.1003000626213478</v>
      </c>
    </row>
    <row r="34" spans="1:22">
      <c r="A34" s="27" t="s">
        <v>34</v>
      </c>
      <c r="B34" s="27" t="s">
        <v>259</v>
      </c>
      <c r="C34" s="2" t="s">
        <v>52</v>
      </c>
      <c r="D34" s="27" t="s">
        <v>260</v>
      </c>
      <c r="E34" s="2" t="s">
        <v>42</v>
      </c>
      <c r="F34" s="2" t="s">
        <v>51</v>
      </c>
      <c r="G34" s="27"/>
      <c r="H34" s="2" t="s">
        <v>200</v>
      </c>
      <c r="I34" s="2"/>
    </row>
    <row r="35" spans="1:22">
      <c r="A35" s="2" t="s">
        <v>241</v>
      </c>
      <c r="B35" s="2" t="s">
        <v>160</v>
      </c>
      <c r="C35" s="2">
        <v>0.371684356480731</v>
      </c>
      <c r="D35" s="2">
        <f>B$29*C35</f>
        <v>4.5488173763450948E-2</v>
      </c>
      <c r="E35" s="2"/>
      <c r="F35" s="2">
        <v>0.101609413997378</v>
      </c>
      <c r="G35" s="2">
        <f>(D35)^0.5*(F35)^0.5</f>
        <v>6.7985488745137046E-2</v>
      </c>
      <c r="H35" s="2">
        <f>G35/G$47</f>
        <v>7.2983200927717304E-2</v>
      </c>
      <c r="I35" s="2">
        <v>5.504862645115776E-2</v>
      </c>
      <c r="K35">
        <v>9.1737988448566996E-2</v>
      </c>
      <c r="L35">
        <v>8.2626424881129132E-2</v>
      </c>
      <c r="M35">
        <v>8.7202153135116603E-2</v>
      </c>
      <c r="N35">
        <v>0.10002444344606624</v>
      </c>
      <c r="O35">
        <v>9.6800634344312145E-2</v>
      </c>
      <c r="P35">
        <v>0.10261364705240467</v>
      </c>
      <c r="Q35">
        <v>8.1154460765056571E-2</v>
      </c>
      <c r="R35">
        <v>6.6321946296227979E-2</v>
      </c>
      <c r="S35">
        <v>7.7975844597346841E-2</v>
      </c>
      <c r="T35">
        <v>8.3033298490423443E-2</v>
      </c>
      <c r="U35">
        <v>7.9326331585734849E-2</v>
      </c>
      <c r="V35">
        <v>5.1182826957614634E-2</v>
      </c>
    </row>
    <row r="36" spans="1:22">
      <c r="A36" s="2"/>
      <c r="B36" s="2" t="s">
        <v>250</v>
      </c>
      <c r="C36" s="2">
        <v>0.220842251074368</v>
      </c>
      <c r="D36" s="2">
        <f>B$29*C36</f>
        <v>2.7027531603158302E-2</v>
      </c>
      <c r="E36" s="2">
        <v>8.7300000000000003E-2</v>
      </c>
      <c r="F36" s="2">
        <v>0.13872845891735761</v>
      </c>
      <c r="G36" s="2">
        <f t="shared" ref="G36:G46" si="0">(D36)^0.5*(F36)^0.5</f>
        <v>6.1233061393713858E-2</v>
      </c>
      <c r="H36" s="2">
        <f t="shared" ref="H36:H46" si="1">G36/G$47</f>
        <v>6.5734392818295823E-2</v>
      </c>
      <c r="I36" s="2">
        <v>4.9581108929874017E-2</v>
      </c>
    </row>
    <row r="37" spans="1:22">
      <c r="A37" s="2"/>
      <c r="B37" s="2" t="s">
        <v>252</v>
      </c>
      <c r="C37" s="2">
        <v>0.40747339244490099</v>
      </c>
      <c r="D37" s="2">
        <f>B$29*C37</f>
        <v>4.9868174854104753E-2</v>
      </c>
      <c r="E37" s="2"/>
      <c r="F37" s="2">
        <v>8.3746172057538065E-2</v>
      </c>
      <c r="G37" s="2">
        <f t="shared" si="0"/>
        <v>6.4624057064898432E-2</v>
      </c>
      <c r="H37" s="2">
        <f t="shared" si="1"/>
        <v>6.9374665514471537E-2</v>
      </c>
      <c r="I37" s="2">
        <v>5.2326836841021601E-2</v>
      </c>
    </row>
    <row r="38" spans="1:22">
      <c r="A38" s="2" t="s">
        <v>242</v>
      </c>
      <c r="B38" s="2" t="s">
        <v>261</v>
      </c>
      <c r="C38" s="2">
        <v>0.417624101834628</v>
      </c>
      <c r="D38" s="2">
        <f>B$30*C38</f>
        <v>0.16802697562153965</v>
      </c>
      <c r="E38" s="2"/>
      <c r="F38" s="2">
        <v>5.9421879421809626E-2</v>
      </c>
      <c r="G38" s="2">
        <f t="shared" si="0"/>
        <v>9.9922363287676882E-2</v>
      </c>
      <c r="H38" s="2">
        <f t="shared" si="1"/>
        <v>0.10726780157947344</v>
      </c>
      <c r="I38" s="2">
        <v>8.0908278402773981E-2</v>
      </c>
      <c r="K38">
        <v>7.2983200927717262E-2</v>
      </c>
      <c r="L38">
        <v>6.5734392818295823E-2</v>
      </c>
      <c r="M38">
        <v>6.9374665514471537E-2</v>
      </c>
      <c r="N38">
        <v>0.10726780157947344</v>
      </c>
      <c r="O38">
        <v>0.10381053750338265</v>
      </c>
      <c r="P38">
        <v>0.11004450464449299</v>
      </c>
      <c r="Q38">
        <v>8.703133248953468E-2</v>
      </c>
      <c r="R38">
        <v>7.1124708426938646E-2</v>
      </c>
      <c r="S38">
        <v>8.3622534033594834E-2</v>
      </c>
      <c r="T38">
        <v>8.9046227902907851E-2</v>
      </c>
      <c r="U38">
        <v>8.5070817726212195E-2</v>
      </c>
      <c r="V38">
        <v>5.4889276432978258E-2</v>
      </c>
    </row>
    <row r="39" spans="1:22">
      <c r="A39" s="2"/>
      <c r="B39" s="2" t="s">
        <v>262</v>
      </c>
      <c r="C39" s="2">
        <v>0.24904256483203899</v>
      </c>
      <c r="D39" s="2">
        <f>B$30*C39</f>
        <v>0.10019984188156116</v>
      </c>
      <c r="E39" s="2">
        <v>5.6599999999999998E-2</v>
      </c>
      <c r="F39" s="2">
        <v>9.3325962456387926E-2</v>
      </c>
      <c r="G39" s="2">
        <f t="shared" si="0"/>
        <v>9.6701844251154703E-2</v>
      </c>
      <c r="H39" s="2">
        <f t="shared" si="1"/>
        <v>0.10381053750338265</v>
      </c>
      <c r="I39" s="2">
        <v>7.8300587369104196E-2</v>
      </c>
    </row>
    <row r="40" spans="1:22">
      <c r="A40" s="2"/>
      <c r="B40" s="2" t="s">
        <v>263</v>
      </c>
      <c r="C40" s="2">
        <v>0.33333333333333298</v>
      </c>
      <c r="D40" s="2">
        <f>B$30*C40</f>
        <v>0.1341134087515502</v>
      </c>
      <c r="E40" s="2"/>
      <c r="F40" s="2">
        <v>7.8352192336344814E-2</v>
      </c>
      <c r="G40" s="2">
        <f t="shared" si="0"/>
        <v>0.10250892447677076</v>
      </c>
      <c r="H40" s="2">
        <f t="shared" si="1"/>
        <v>0.11004450464449299</v>
      </c>
      <c r="I40" s="2">
        <v>8.3002646529261509E-2</v>
      </c>
    </row>
    <row r="41" spans="1:22">
      <c r="A41" s="2" t="s">
        <v>243</v>
      </c>
      <c r="B41" s="2" t="s">
        <v>142</v>
      </c>
      <c r="C41" s="2">
        <v>0.48851080758426702</v>
      </c>
      <c r="D41" s="2">
        <f>B$31*C41</f>
        <v>0.14188370585022853</v>
      </c>
      <c r="E41" s="2"/>
      <c r="F41" s="2">
        <v>4.6323927858436344E-2</v>
      </c>
      <c r="G41" s="2">
        <f t="shared" si="0"/>
        <v>8.1071638407605839E-2</v>
      </c>
      <c r="H41" s="2">
        <f t="shared" si="1"/>
        <v>8.703133248953468E-2</v>
      </c>
      <c r="I41" s="2">
        <v>6.564463124202892E-2</v>
      </c>
      <c r="K41">
        <v>4.54881737634509E-2</v>
      </c>
      <c r="L41">
        <v>2.7027531603158302E-2</v>
      </c>
      <c r="M41">
        <v>4.9868174854104753E-2</v>
      </c>
      <c r="N41">
        <v>0.16802697562153965</v>
      </c>
      <c r="O41">
        <v>0.10019984188156116</v>
      </c>
      <c r="P41">
        <v>0.1341134087515502</v>
      </c>
      <c r="Q41">
        <v>0.14188370585022853</v>
      </c>
      <c r="R41">
        <v>8.5933498815186513E-2</v>
      </c>
      <c r="S41">
        <v>6.2624078613161965E-2</v>
      </c>
      <c r="T41">
        <v>8.3899804414671139E-2</v>
      </c>
      <c r="U41">
        <v>6.0115514428193184E-2</v>
      </c>
      <c r="V41">
        <v>4.0819291403192667E-2</v>
      </c>
    </row>
    <row r="42" spans="1:22">
      <c r="A42" s="2"/>
      <c r="B42" s="2" t="s">
        <v>143</v>
      </c>
      <c r="C42" s="2">
        <v>0.29587219091289901</v>
      </c>
      <c r="D42" s="2">
        <f t="shared" ref="D42:D43" si="2">B$31*C42</f>
        <v>8.5933498815186513E-2</v>
      </c>
      <c r="E42" s="2">
        <v>4.5499999999999999E-2</v>
      </c>
      <c r="F42" s="2">
        <v>5.1081675947059493E-2</v>
      </c>
      <c r="G42" s="2">
        <f t="shared" si="0"/>
        <v>6.6254261292949146E-2</v>
      </c>
      <c r="H42" s="2">
        <f t="shared" si="1"/>
        <v>7.1124708426938646E-2</v>
      </c>
      <c r="I42" s="2">
        <v>5.3646831817088916E-2</v>
      </c>
    </row>
    <row r="43" spans="1:22">
      <c r="A43" s="2"/>
      <c r="B43" s="2" t="s">
        <v>144</v>
      </c>
      <c r="C43" s="2">
        <v>0.215617001502834</v>
      </c>
      <c r="D43" s="2">
        <f t="shared" si="2"/>
        <v>6.2624078613161965E-2</v>
      </c>
      <c r="E43" s="2"/>
      <c r="F43" s="2">
        <v>9.6892895188036732E-2</v>
      </c>
      <c r="G43" s="2">
        <f t="shared" si="0"/>
        <v>7.789626618338312E-2</v>
      </c>
      <c r="H43" s="2">
        <f t="shared" si="1"/>
        <v>8.3622534033594834E-2</v>
      </c>
      <c r="I43" s="2">
        <v>6.3073496097735021E-2</v>
      </c>
    </row>
    <row r="44" spans="1:22">
      <c r="A44" s="2" t="s">
        <v>244</v>
      </c>
      <c r="B44" s="2" t="s">
        <v>264</v>
      </c>
      <c r="C44" s="2">
        <v>0.45391825861499302</v>
      </c>
      <c r="D44" s="2">
        <f>B$32*C44</f>
        <v>8.3899804414671139E-2</v>
      </c>
      <c r="E44" s="2"/>
      <c r="F44" s="2">
        <v>8.2008098055530804E-2</v>
      </c>
      <c r="G44" s="2">
        <f t="shared" si="0"/>
        <v>8.2948558681138082E-2</v>
      </c>
      <c r="H44" s="2">
        <f t="shared" si="1"/>
        <v>8.9046227902907851E-2</v>
      </c>
      <c r="I44" s="2">
        <v>0.16271561250697028</v>
      </c>
      <c r="K44">
        <v>0.101609413997378</v>
      </c>
      <c r="L44">
        <v>0.13872845891735761</v>
      </c>
      <c r="M44">
        <v>8.3746172057538065E-2</v>
      </c>
      <c r="N44">
        <v>5.9421879421809626E-2</v>
      </c>
      <c r="O44">
        <v>9.3325962456387926E-2</v>
      </c>
      <c r="P44">
        <v>7.8352192336344814E-2</v>
      </c>
      <c r="Q44">
        <v>4.6323927858436344E-2</v>
      </c>
      <c r="R44">
        <v>5.1081675947059493E-2</v>
      </c>
      <c r="S44">
        <v>9.6892895188036732E-2</v>
      </c>
      <c r="T44">
        <v>8.2008098055530804E-2</v>
      </c>
      <c r="U44">
        <v>0.1044627082947613</v>
      </c>
      <c r="V44">
        <v>6.4046615469359414E-2</v>
      </c>
    </row>
    <row r="45" spans="1:22">
      <c r="A45" s="2"/>
      <c r="B45" s="2" t="s">
        <v>265</v>
      </c>
      <c r="C45" s="2">
        <v>0.32523949031063898</v>
      </c>
      <c r="D45" s="2">
        <f t="shared" ref="D45:D46" si="3">B$32*C45</f>
        <v>6.0115514428193184E-2</v>
      </c>
      <c r="E45" s="2">
        <v>3.49E-2</v>
      </c>
      <c r="F45" s="2">
        <v>0.1044627082947613</v>
      </c>
      <c r="G45" s="2">
        <f t="shared" si="0"/>
        <v>7.9245374929404283E-2</v>
      </c>
      <c r="H45" s="2">
        <f t="shared" si="1"/>
        <v>8.5070817726212195E-2</v>
      </c>
      <c r="I45" s="2">
        <v>0.15545128119163612</v>
      </c>
    </row>
    <row r="46" spans="1:22">
      <c r="A46" s="2"/>
      <c r="B46" s="2" t="s">
        <v>266</v>
      </c>
      <c r="C46" s="2">
        <v>0.220842251074368</v>
      </c>
      <c r="D46" s="2">
        <f t="shared" si="3"/>
        <v>4.0819291403192667E-2</v>
      </c>
      <c r="E46" s="2"/>
      <c r="F46" s="2">
        <v>6.4046615469359414E-2</v>
      </c>
      <c r="G46" s="2">
        <f t="shared" si="0"/>
        <v>5.1130592214759345E-2</v>
      </c>
      <c r="H46" s="2">
        <f t="shared" si="1"/>
        <v>5.4889276432978258E-2</v>
      </c>
      <c r="I46" s="2">
        <v>0.1003000626213478</v>
      </c>
    </row>
    <row r="47" spans="1:22">
      <c r="A47" s="2"/>
      <c r="B47" s="2"/>
      <c r="C47" s="2">
        <f>SUM(C35:C46)</f>
        <v>3.9999999999999996</v>
      </c>
      <c r="D47" s="2"/>
      <c r="E47" s="2"/>
      <c r="F47" s="2"/>
      <c r="G47" s="2">
        <f>SUM(G35:G46)</f>
        <v>0.93152243092859133</v>
      </c>
      <c r="H47" s="2">
        <f>SUM(H35:H46)</f>
        <v>1.0000000000000002</v>
      </c>
      <c r="I47" s="2"/>
    </row>
    <row r="48" spans="1:22">
      <c r="I48" s="2" t="s">
        <v>59</v>
      </c>
    </row>
    <row r="50" spans="1:20">
      <c r="I50" s="407" t="s">
        <v>241</v>
      </c>
      <c r="J50" s="78"/>
      <c r="K50" s="33">
        <v>0</v>
      </c>
      <c r="L50" s="19">
        <v>0.1</v>
      </c>
      <c r="M50" s="19">
        <v>0.2</v>
      </c>
      <c r="N50" s="19">
        <v>0.3</v>
      </c>
      <c r="O50" s="19">
        <v>0.4</v>
      </c>
      <c r="P50" s="19">
        <v>0.5</v>
      </c>
      <c r="Q50" s="19">
        <v>0.6</v>
      </c>
      <c r="R50" s="19">
        <v>0.7</v>
      </c>
      <c r="S50" s="19">
        <v>0.8</v>
      </c>
      <c r="T50" s="19">
        <v>0.9</v>
      </c>
    </row>
    <row r="51" spans="1:20">
      <c r="A51" s="9" t="s">
        <v>34</v>
      </c>
      <c r="B51" s="57" t="s">
        <v>259</v>
      </c>
      <c r="C51" s="9" t="s">
        <v>52</v>
      </c>
      <c r="D51" s="9" t="s">
        <v>260</v>
      </c>
      <c r="E51" s="19" t="s">
        <v>42</v>
      </c>
      <c r="F51" s="9" t="s">
        <v>51</v>
      </c>
      <c r="G51" s="9" t="s">
        <v>200</v>
      </c>
      <c r="I51" s="407"/>
      <c r="J51" s="76" t="s">
        <v>267</v>
      </c>
      <c r="K51" s="11">
        <v>0.2329</v>
      </c>
      <c r="L51" s="11">
        <v>0.23350000000000001</v>
      </c>
      <c r="M51" s="11">
        <v>0.2339</v>
      </c>
      <c r="N51" s="11">
        <v>0.23430000000000001</v>
      </c>
      <c r="O51" s="11">
        <v>0.2346</v>
      </c>
      <c r="P51" s="11">
        <v>0.2349</v>
      </c>
      <c r="Q51" s="11">
        <v>0.23519999999999999</v>
      </c>
      <c r="R51" s="11">
        <v>0.2354</v>
      </c>
      <c r="S51" s="11">
        <v>0.2356</v>
      </c>
      <c r="T51" s="11">
        <v>0.23580000000000001</v>
      </c>
    </row>
    <row r="52" spans="1:20">
      <c r="A52" s="61"/>
      <c r="B52" s="41" t="s">
        <v>160</v>
      </c>
      <c r="C52" s="11">
        <v>0.371684356480731</v>
      </c>
      <c r="D52" s="11">
        <v>4.54881737634509E-2</v>
      </c>
      <c r="E52" s="2"/>
      <c r="F52" s="11">
        <v>0.101609413997378</v>
      </c>
      <c r="G52" s="11">
        <v>7.2983200927717262E-2</v>
      </c>
      <c r="I52" s="407"/>
      <c r="J52" s="72" t="s">
        <v>268</v>
      </c>
      <c r="K52" s="11">
        <v>0.1699</v>
      </c>
      <c r="L52" s="11">
        <v>0.16450000000000001</v>
      </c>
      <c r="M52" s="11">
        <v>0.16070000000000001</v>
      </c>
      <c r="N52" s="11">
        <v>0.15770000000000001</v>
      </c>
      <c r="O52" s="11">
        <v>0.15529999999999999</v>
      </c>
      <c r="P52" s="11">
        <v>0.15310000000000001</v>
      </c>
      <c r="Q52" s="11">
        <v>0.15129999999999999</v>
      </c>
      <c r="R52" s="11">
        <v>0.14960000000000001</v>
      </c>
      <c r="S52" s="11">
        <v>0.14810000000000001</v>
      </c>
      <c r="T52" s="11">
        <v>0.1467</v>
      </c>
    </row>
    <row r="53" spans="1:20">
      <c r="A53" s="62" t="s">
        <v>241</v>
      </c>
      <c r="B53" s="55" t="s">
        <v>250</v>
      </c>
      <c r="C53" s="11">
        <v>0.220842251074368</v>
      </c>
      <c r="D53" s="11">
        <v>2.7027531603158302E-2</v>
      </c>
      <c r="E53" s="2">
        <v>8.7300000000000003E-2</v>
      </c>
      <c r="F53" s="11">
        <v>0.13872845891735761</v>
      </c>
      <c r="G53" s="11">
        <v>6.5734392818295823E-2</v>
      </c>
      <c r="I53" s="407"/>
      <c r="J53" s="77" t="s">
        <v>207</v>
      </c>
      <c r="K53" s="11">
        <v>0.30880000000000002</v>
      </c>
      <c r="L53" s="11">
        <v>0.31219999999999998</v>
      </c>
      <c r="M53" s="11">
        <v>0.31480000000000002</v>
      </c>
      <c r="N53" s="11">
        <v>0.31680000000000003</v>
      </c>
      <c r="O53" s="11">
        <v>0.31859999999999999</v>
      </c>
      <c r="P53" s="11">
        <v>0.32019999999999998</v>
      </c>
      <c r="Q53" s="11">
        <v>0.3216</v>
      </c>
      <c r="R53" s="11">
        <v>0.32279999999999998</v>
      </c>
      <c r="S53" s="73">
        <v>0.32400000000000001</v>
      </c>
      <c r="T53" s="73">
        <v>0.32500000000000001</v>
      </c>
    </row>
    <row r="54" spans="1:20">
      <c r="A54" s="186"/>
      <c r="B54" s="41" t="s">
        <v>252</v>
      </c>
      <c r="C54" s="41">
        <v>0.40747339244490099</v>
      </c>
      <c r="D54" s="11">
        <v>4.9868174854104753E-2</v>
      </c>
      <c r="E54" s="2"/>
      <c r="F54" s="11">
        <v>8.3746172057538065E-2</v>
      </c>
      <c r="G54" s="11">
        <v>6.9374665514471537E-2</v>
      </c>
      <c r="I54" s="407"/>
      <c r="J54" s="77" t="s">
        <v>208</v>
      </c>
      <c r="K54" s="11">
        <v>0.16869999999999999</v>
      </c>
      <c r="L54" s="11">
        <v>0.17419999999999999</v>
      </c>
      <c r="M54" s="11">
        <v>0.1779</v>
      </c>
      <c r="N54" s="11">
        <v>0.1807</v>
      </c>
      <c r="O54" s="73">
        <v>0.183</v>
      </c>
      <c r="P54" s="11">
        <v>0.18490000000000001</v>
      </c>
      <c r="Q54" s="11">
        <v>0.18659999999999999</v>
      </c>
      <c r="R54" s="73">
        <v>0.188</v>
      </c>
      <c r="S54" s="11">
        <v>0.1893</v>
      </c>
      <c r="T54" s="11">
        <v>0.19040000000000001</v>
      </c>
    </row>
    <row r="55" spans="1:20">
      <c r="A55" s="60"/>
      <c r="B55" s="56" t="s">
        <v>261</v>
      </c>
      <c r="C55" s="11">
        <v>0.417624101834628</v>
      </c>
      <c r="D55" s="13">
        <v>0.16802697562153965</v>
      </c>
      <c r="E55" s="42"/>
      <c r="F55" s="41">
        <v>5.9421879421809626E-2</v>
      </c>
      <c r="G55" s="11">
        <v>0.10726780157947344</v>
      </c>
      <c r="I55" s="407"/>
      <c r="J55" s="77" t="s">
        <v>209</v>
      </c>
      <c r="K55" s="11">
        <v>0.1197</v>
      </c>
      <c r="L55" s="11">
        <v>0.11559999999999999</v>
      </c>
      <c r="M55" s="11">
        <v>0.11269999999999999</v>
      </c>
      <c r="N55" s="11">
        <v>0.1104</v>
      </c>
      <c r="O55" s="11">
        <v>0.1085</v>
      </c>
      <c r="P55" s="11">
        <v>0.1069</v>
      </c>
      <c r="Q55" s="11">
        <v>0.10539999999999999</v>
      </c>
      <c r="R55" s="11">
        <v>0.1042</v>
      </c>
      <c r="S55" s="73">
        <v>0.10299999999999999</v>
      </c>
      <c r="T55" s="73">
        <v>0.10199999999999999</v>
      </c>
    </row>
    <row r="56" spans="1:20">
      <c r="A56" s="60" t="s">
        <v>242</v>
      </c>
      <c r="B56" s="41" t="s">
        <v>262</v>
      </c>
      <c r="C56" s="11">
        <v>0.24904256483203899</v>
      </c>
      <c r="D56" s="13">
        <v>0.10019984188156116</v>
      </c>
      <c r="E56" s="54">
        <v>5.6599999999999998E-2</v>
      </c>
      <c r="F56" s="41">
        <v>9.3325962456387926E-2</v>
      </c>
      <c r="G56" s="11">
        <v>0.10381053750338265</v>
      </c>
      <c r="K56">
        <f>SUM(K51:K55)</f>
        <v>1</v>
      </c>
    </row>
    <row r="57" spans="1:20">
      <c r="A57" s="60"/>
      <c r="B57" s="41" t="s">
        <v>263</v>
      </c>
      <c r="C57" s="11">
        <v>0.33333333333333298</v>
      </c>
      <c r="D57" s="13">
        <v>0.1341134087515502</v>
      </c>
      <c r="E57" s="21"/>
      <c r="F57" s="41">
        <v>7.8352192336344814E-2</v>
      </c>
      <c r="G57" s="11">
        <v>0.11004450464449299</v>
      </c>
      <c r="I57" s="406" t="s">
        <v>242</v>
      </c>
      <c r="J57" s="78"/>
      <c r="K57" s="33">
        <v>0</v>
      </c>
      <c r="L57" s="19">
        <v>0.1</v>
      </c>
      <c r="M57" s="19">
        <v>0.2</v>
      </c>
      <c r="N57" s="19">
        <v>0.3</v>
      </c>
      <c r="O57" s="19">
        <v>0.4</v>
      </c>
      <c r="P57" s="19">
        <v>0.5</v>
      </c>
      <c r="Q57" s="19">
        <v>0.6</v>
      </c>
      <c r="R57" s="19">
        <v>0.7</v>
      </c>
      <c r="S57" s="19">
        <v>0.8</v>
      </c>
      <c r="T57" s="19">
        <v>0.9</v>
      </c>
    </row>
    <row r="58" spans="1:20">
      <c r="A58" s="63"/>
      <c r="B58" s="41" t="s">
        <v>142</v>
      </c>
      <c r="C58" s="11">
        <v>0.48851080758426702</v>
      </c>
      <c r="D58" s="13">
        <v>0.14188370585022853</v>
      </c>
      <c r="E58" s="54"/>
      <c r="F58" s="41">
        <v>4.6323927858436344E-2</v>
      </c>
      <c r="G58" s="11">
        <v>8.703133248953468E-2</v>
      </c>
      <c r="I58" s="406"/>
      <c r="J58" s="76" t="s">
        <v>267</v>
      </c>
      <c r="K58" s="11">
        <v>0.2329</v>
      </c>
      <c r="L58" s="11">
        <v>0.2334</v>
      </c>
      <c r="M58" s="11">
        <v>0.23369999999999999</v>
      </c>
      <c r="N58" s="73">
        <v>0.23398535405922799</v>
      </c>
      <c r="O58" s="74">
        <v>0.234227437222646</v>
      </c>
      <c r="P58" s="74">
        <v>0.234438157736267</v>
      </c>
      <c r="Q58" s="73">
        <v>0.234624420588983</v>
      </c>
      <c r="R58" s="73">
        <v>0.23479109935891199</v>
      </c>
      <c r="S58" s="73">
        <v>0.23494175833046499</v>
      </c>
      <c r="T58" s="73">
        <v>0.23507908009915901</v>
      </c>
    </row>
    <row r="59" spans="1:20">
      <c r="A59" s="64" t="s">
        <v>243</v>
      </c>
      <c r="B59" s="41" t="s">
        <v>143</v>
      </c>
      <c r="C59" s="11">
        <v>0.29587219091289901</v>
      </c>
      <c r="D59" s="13">
        <v>8.5933498815186513E-2</v>
      </c>
      <c r="E59" s="54">
        <v>4.5499999999999999E-2</v>
      </c>
      <c r="F59" s="41">
        <v>5.1081675947059493E-2</v>
      </c>
      <c r="G59" s="11">
        <v>7.1124708426938646E-2</v>
      </c>
      <c r="I59" s="406"/>
      <c r="J59" s="72" t="s">
        <v>268</v>
      </c>
      <c r="K59" s="11">
        <v>0.1699</v>
      </c>
      <c r="L59" s="11">
        <v>0.1721</v>
      </c>
      <c r="M59" s="11">
        <v>0.1739</v>
      </c>
      <c r="N59" s="73">
        <v>0.17546884142255501</v>
      </c>
      <c r="O59" s="74">
        <v>0.17680913335808701</v>
      </c>
      <c r="P59" s="74">
        <v>0.177991037023254</v>
      </c>
      <c r="Q59" s="73">
        <v>0.17904657728883</v>
      </c>
      <c r="R59" s="73">
        <v>0.17999898685992499</v>
      </c>
      <c r="S59" s="73">
        <v>0.18086565982698199</v>
      </c>
      <c r="T59" s="73">
        <v>0.18165995954199099</v>
      </c>
    </row>
    <row r="60" spans="1:20">
      <c r="A60" s="64"/>
      <c r="B60" s="41" t="s">
        <v>144</v>
      </c>
      <c r="C60" s="11">
        <v>0.215617001502834</v>
      </c>
      <c r="D60" s="13">
        <v>6.2624078613161965E-2</v>
      </c>
      <c r="E60" s="21"/>
      <c r="F60" s="41">
        <v>9.6892895188036732E-2</v>
      </c>
      <c r="G60" s="11">
        <v>8.3622534033594834E-2</v>
      </c>
      <c r="I60" s="406"/>
      <c r="J60" s="77" t="s">
        <v>207</v>
      </c>
      <c r="K60" s="11">
        <v>0.30880000000000002</v>
      </c>
      <c r="L60" s="11">
        <v>0.30480000000000002</v>
      </c>
      <c r="M60" s="11">
        <v>0.30149999999999999</v>
      </c>
      <c r="N60" s="73">
        <v>0.29876662542052601</v>
      </c>
      <c r="O60" s="74">
        <v>0.29638202935819302</v>
      </c>
      <c r="P60" s="74">
        <v>0.29428581524212499</v>
      </c>
      <c r="Q60" s="73">
        <v>0.29241852843615701</v>
      </c>
      <c r="R60" s="73">
        <v>0.29073729866440501</v>
      </c>
      <c r="S60" s="73">
        <v>0.28921019488115202</v>
      </c>
      <c r="T60" s="73">
        <v>0.28781279516568697</v>
      </c>
    </row>
    <row r="61" spans="1:20">
      <c r="A61" s="58"/>
      <c r="B61" s="41" t="s">
        <v>264</v>
      </c>
      <c r="C61" s="11">
        <v>0.45391825861499302</v>
      </c>
      <c r="D61" s="13">
        <v>8.3899804414671139E-2</v>
      </c>
      <c r="E61" s="54"/>
      <c r="F61" s="41">
        <v>8.2008098055530804E-2</v>
      </c>
      <c r="G61" s="11">
        <v>8.9046227902907851E-2</v>
      </c>
      <c r="I61" s="406"/>
      <c r="J61" s="77" t="s">
        <v>208</v>
      </c>
      <c r="K61" s="11">
        <v>0.16869999999999999</v>
      </c>
      <c r="L61" s="73">
        <v>0.16900000000000001</v>
      </c>
      <c r="M61" s="11">
        <v>0.16930000000000001</v>
      </c>
      <c r="N61" s="73">
        <v>0.169566000424129</v>
      </c>
      <c r="O61" s="74">
        <v>0.16976996424889601</v>
      </c>
      <c r="P61" s="74">
        <v>0.16994700020072401</v>
      </c>
      <c r="Q61" s="73">
        <v>0.17010302191559001</v>
      </c>
      <c r="R61" s="73">
        <v>0.17024221536124801</v>
      </c>
      <c r="S61" s="73">
        <v>0.17036764730367701</v>
      </c>
      <c r="T61" s="73">
        <v>0.17048162971373701</v>
      </c>
    </row>
    <row r="62" spans="1:20">
      <c r="A62" s="59" t="s">
        <v>244</v>
      </c>
      <c r="B62" s="41" t="s">
        <v>265</v>
      </c>
      <c r="C62" s="11">
        <v>0.32523949031063898</v>
      </c>
      <c r="D62" s="13">
        <v>6.0115514428193184E-2</v>
      </c>
      <c r="E62" s="54">
        <v>3.49E-2</v>
      </c>
      <c r="F62" s="41">
        <v>0.1044627082947613</v>
      </c>
      <c r="G62" s="11">
        <v>8.5070817726212195E-2</v>
      </c>
      <c r="I62" s="406"/>
      <c r="J62" s="77" t="s">
        <v>209</v>
      </c>
      <c r="K62" s="11">
        <v>0.1197</v>
      </c>
      <c r="L62" s="11">
        <v>0.1207</v>
      </c>
      <c r="M62" s="11">
        <v>0.1215</v>
      </c>
      <c r="N62" s="73">
        <v>0.122213178673562</v>
      </c>
      <c r="O62" s="74">
        <v>0.122811435812178</v>
      </c>
      <c r="P62" s="74">
        <v>0.12333798979763</v>
      </c>
      <c r="Q62" s="73">
        <v>0.123807451770439</v>
      </c>
      <c r="R62" s="73">
        <v>0.12423039975550999</v>
      </c>
      <c r="S62" s="73">
        <v>0.124614739657723</v>
      </c>
      <c r="T62" s="73">
        <v>0.124966535479426</v>
      </c>
    </row>
    <row r="63" spans="1:20">
      <c r="A63" s="187"/>
      <c r="B63" s="41" t="s">
        <v>266</v>
      </c>
      <c r="C63" s="11">
        <v>0.220842251074368</v>
      </c>
      <c r="D63" s="13">
        <v>4.0819291403192667E-2</v>
      </c>
      <c r="E63" s="21"/>
      <c r="F63" s="41">
        <v>6.4046615469359414E-2</v>
      </c>
      <c r="G63" s="11">
        <v>5.4889276432978258E-2</v>
      </c>
    </row>
    <row r="64" spans="1:20">
      <c r="G64">
        <f>SUM(G52:G63)</f>
        <v>1.0000000000000002</v>
      </c>
      <c r="I64" s="408" t="s">
        <v>243</v>
      </c>
      <c r="J64" s="75"/>
      <c r="K64" s="33">
        <v>0</v>
      </c>
      <c r="L64" s="19">
        <v>0.1</v>
      </c>
      <c r="M64" s="19">
        <v>0.2</v>
      </c>
      <c r="N64" s="19">
        <v>0.3</v>
      </c>
      <c r="O64" s="19">
        <v>0.4</v>
      </c>
      <c r="P64" s="19">
        <v>0.5</v>
      </c>
      <c r="Q64" s="19">
        <v>0.6</v>
      </c>
      <c r="R64" s="19">
        <v>0.7</v>
      </c>
      <c r="S64" s="19">
        <v>0.8</v>
      </c>
      <c r="T64" s="19">
        <v>0.9</v>
      </c>
    </row>
    <row r="65" spans="9:20">
      <c r="I65" s="408"/>
      <c r="J65" s="76" t="s">
        <v>267</v>
      </c>
      <c r="K65" s="11">
        <v>0.2329</v>
      </c>
      <c r="L65" s="73">
        <v>0.23455706201453599</v>
      </c>
      <c r="M65" s="73">
        <v>0.235903715846076</v>
      </c>
      <c r="N65" s="73">
        <v>0.237061102282207</v>
      </c>
      <c r="O65" s="73">
        <v>0.23807940974929001</v>
      </c>
      <c r="P65" s="73">
        <v>0.23899055582029899</v>
      </c>
      <c r="Q65" s="73">
        <v>0.23981624849102401</v>
      </c>
      <c r="R65" s="73">
        <v>0.24057199642287599</v>
      </c>
      <c r="S65" s="73">
        <v>0.241269305881188</v>
      </c>
      <c r="T65" s="73">
        <v>0.24191697379052199</v>
      </c>
    </row>
    <row r="66" spans="9:20">
      <c r="I66" s="408"/>
      <c r="J66" s="72" t="s">
        <v>268</v>
      </c>
      <c r="K66" s="11">
        <v>0.1699</v>
      </c>
      <c r="L66" s="73">
        <v>0.171922263635962</v>
      </c>
      <c r="M66" s="73">
        <v>0.17359625779524501</v>
      </c>
      <c r="N66" s="73">
        <v>0.175033426463098</v>
      </c>
      <c r="O66" s="73">
        <v>0.17629687428464599</v>
      </c>
      <c r="P66" s="73">
        <v>0.17742666269247501</v>
      </c>
      <c r="Q66" s="73">
        <v>0.17844999739706199</v>
      </c>
      <c r="R66" s="73">
        <v>0.17938628849198399</v>
      </c>
      <c r="S66" s="73">
        <v>0.18024992016918201</v>
      </c>
      <c r="T66" s="73">
        <v>0.18105187885288401</v>
      </c>
    </row>
    <row r="67" spans="9:20">
      <c r="I67" s="408"/>
      <c r="J67" s="77" t="s">
        <v>207</v>
      </c>
      <c r="K67" s="11">
        <v>0.30880000000000002</v>
      </c>
      <c r="L67" s="73">
        <v>0.30864825124822898</v>
      </c>
      <c r="M67" s="73">
        <v>0.30856848132792802</v>
      </c>
      <c r="N67" s="73">
        <v>0.30851696297112202</v>
      </c>
      <c r="O67" s="73">
        <v>0.30848466926245199</v>
      </c>
      <c r="P67" s="73">
        <v>0.30846612313273702</v>
      </c>
      <c r="Q67" s="73">
        <v>0.30845776276651699</v>
      </c>
      <c r="R67" s="73">
        <v>0.30845715391056</v>
      </c>
      <c r="S67" s="73">
        <v>0.308462567009199</v>
      </c>
      <c r="T67" s="73">
        <v>0.30847273300869799</v>
      </c>
    </row>
    <row r="68" spans="9:20">
      <c r="I68" s="408"/>
      <c r="J68" s="77" t="s">
        <v>208</v>
      </c>
      <c r="K68" s="11">
        <v>0.16869999999999999</v>
      </c>
      <c r="L68" s="73">
        <v>0.167063198004688</v>
      </c>
      <c r="M68" s="73">
        <v>0.16571606452905499</v>
      </c>
      <c r="N68" s="73">
        <v>0.16455184840133399</v>
      </c>
      <c r="O68" s="73">
        <v>0.16352255364042301</v>
      </c>
      <c r="P68" s="73">
        <v>0.16259757937041</v>
      </c>
      <c r="Q68" s="73">
        <v>0.16175606479962601</v>
      </c>
      <c r="R68" s="73">
        <v>0.16098307183642899</v>
      </c>
      <c r="S68" s="73">
        <v>0.16026749342166499</v>
      </c>
      <c r="T68" s="73">
        <v>0.15960082058783201</v>
      </c>
    </row>
    <row r="69" spans="9:20">
      <c r="I69" s="408"/>
      <c r="J69" s="77" t="s">
        <v>209</v>
      </c>
      <c r="K69" s="11">
        <v>0.1197</v>
      </c>
      <c r="L69" s="73">
        <v>0.11780922509658499</v>
      </c>
      <c r="M69" s="73">
        <v>0.116215480501696</v>
      </c>
      <c r="N69" s="73">
        <v>0.114836659882239</v>
      </c>
      <c r="O69" s="73">
        <v>0.11361649306318899</v>
      </c>
      <c r="P69" s="73">
        <v>0.11251907898408001</v>
      </c>
      <c r="Q69" s="73">
        <v>0.111519926545771</v>
      </c>
      <c r="R69" s="73">
        <v>0.110601489338151</v>
      </c>
      <c r="S69" s="73">
        <v>0.109750713518766</v>
      </c>
      <c r="T69" s="73">
        <v>0.108957593760064</v>
      </c>
    </row>
    <row r="71" spans="9:20">
      <c r="I71" s="409" t="s">
        <v>244</v>
      </c>
      <c r="J71" s="75"/>
      <c r="K71" s="33">
        <v>0</v>
      </c>
      <c r="L71" s="19">
        <v>0.1</v>
      </c>
      <c r="M71" s="19">
        <v>0.2</v>
      </c>
      <c r="N71" s="19">
        <v>0.3</v>
      </c>
      <c r="O71" s="19">
        <v>0.4</v>
      </c>
      <c r="P71" s="19">
        <v>0.5</v>
      </c>
      <c r="Q71" s="19">
        <v>0.6</v>
      </c>
      <c r="R71" s="19">
        <v>0.7</v>
      </c>
      <c r="S71" s="19">
        <v>0.8</v>
      </c>
      <c r="T71" s="19">
        <v>0.9</v>
      </c>
    </row>
    <row r="72" spans="9:20">
      <c r="I72" s="409"/>
      <c r="J72" s="76" t="s">
        <v>267</v>
      </c>
      <c r="K72" s="11">
        <v>0.2329</v>
      </c>
      <c r="L72" s="73">
        <v>0.22931648907268301</v>
      </c>
      <c r="M72" s="73">
        <v>0.22662804878519699</v>
      </c>
      <c r="N72" s="73">
        <v>0.22448013043526899</v>
      </c>
      <c r="O72" s="73">
        <v>0.22268925362199499</v>
      </c>
      <c r="P72" s="73">
        <v>0.22115305973676599</v>
      </c>
      <c r="Q72" s="73">
        <v>0.21980822064605501</v>
      </c>
      <c r="R72" s="73">
        <v>0.218612666949036</v>
      </c>
      <c r="S72" s="73">
        <v>0.21753695683865301</v>
      </c>
      <c r="T72" s="73">
        <v>0.216559643199464</v>
      </c>
    </row>
    <row r="73" spans="9:20">
      <c r="I73" s="409"/>
      <c r="J73" s="72" t="s">
        <v>268</v>
      </c>
      <c r="K73" s="11">
        <v>0.1699</v>
      </c>
      <c r="L73" s="73">
        <v>0.16615435748771101</v>
      </c>
      <c r="M73" s="73">
        <v>0.163293243191829</v>
      </c>
      <c r="N73" s="73">
        <v>0.16095895959047801</v>
      </c>
      <c r="O73" s="73">
        <v>0.15897874559146799</v>
      </c>
      <c r="P73" s="73">
        <v>0.15725480544081599</v>
      </c>
      <c r="Q73" s="73">
        <v>0.155725874213686</v>
      </c>
      <c r="R73" s="73">
        <v>0.15435080251574801</v>
      </c>
      <c r="S73" s="73">
        <v>0.153100507250653</v>
      </c>
      <c r="T73" s="73">
        <v>0.15195361223741499</v>
      </c>
    </row>
    <row r="74" spans="9:20">
      <c r="I74" s="409"/>
      <c r="J74" s="77" t="s">
        <v>207</v>
      </c>
      <c r="K74" s="11">
        <v>0.30880000000000002</v>
      </c>
      <c r="L74" s="73">
        <v>0.314871567316789</v>
      </c>
      <c r="M74" s="73">
        <v>0.31953583594915003</v>
      </c>
      <c r="N74" s="73">
        <v>0.32334614973645298</v>
      </c>
      <c r="O74" s="73">
        <v>0.32658179298304701</v>
      </c>
      <c r="P74" s="73">
        <v>0.32940101377145697</v>
      </c>
      <c r="Q74" s="73">
        <v>0.33190303902455998</v>
      </c>
      <c r="R74" s="73">
        <v>0.334154572233898</v>
      </c>
      <c r="S74" s="73">
        <v>0.33620279603570502</v>
      </c>
      <c r="T74" s="73">
        <v>0.33808241506059</v>
      </c>
    </row>
    <row r="75" spans="9:20">
      <c r="I75" s="409"/>
      <c r="J75" s="77" t="s">
        <v>208</v>
      </c>
      <c r="K75" s="11">
        <v>0.16869999999999999</v>
      </c>
      <c r="L75" s="73">
        <v>0.16630568248011299</v>
      </c>
      <c r="M75" s="73">
        <v>0.16447150286901199</v>
      </c>
      <c r="N75" s="73">
        <v>0.162961271879248</v>
      </c>
      <c r="O75" s="73">
        <v>0.161671413966095</v>
      </c>
      <c r="P75" s="73">
        <v>0.160542610285693</v>
      </c>
      <c r="Q75" s="73">
        <v>0.15953733837946399</v>
      </c>
      <c r="R75" s="73">
        <v>0.158630189335141</v>
      </c>
      <c r="S75" s="73">
        <v>0.157803074107042</v>
      </c>
      <c r="T75" s="73">
        <v>0.15704261481048401</v>
      </c>
    </row>
    <row r="76" spans="9:20">
      <c r="I76" s="409"/>
      <c r="J76" s="77" t="s">
        <v>209</v>
      </c>
      <c r="K76" s="11">
        <v>0.1197</v>
      </c>
      <c r="L76" s="73">
        <v>0.123351903642704</v>
      </c>
      <c r="M76" s="73">
        <v>0.12607136920481199</v>
      </c>
      <c r="N76" s="73">
        <v>0.12825348835855099</v>
      </c>
      <c r="O76" s="73">
        <v>0.13007879383739501</v>
      </c>
      <c r="P76" s="73">
        <v>0.13164851076526801</v>
      </c>
      <c r="Q76" s="73">
        <v>0.13302552773623499</v>
      </c>
      <c r="R76" s="73">
        <v>0.13425176896617799</v>
      </c>
      <c r="S76" s="73">
        <v>0.135356665767947</v>
      </c>
      <c r="T76" s="73">
        <v>0.136361714692047</v>
      </c>
    </row>
    <row r="113" spans="21:21" ht="17.5">
      <c r="U113" s="80"/>
    </row>
  </sheetData>
  <mergeCells count="4">
    <mergeCell ref="I57:I62"/>
    <mergeCell ref="I50:I55"/>
    <mergeCell ref="I64:I69"/>
    <mergeCell ref="I71:I7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2DFD5-D7C8-4B07-AF47-2109C931A25F}">
  <dimension ref="A1:AB138"/>
  <sheetViews>
    <sheetView topLeftCell="A90" workbookViewId="0">
      <selection activeCell="A108" sqref="A108"/>
    </sheetView>
  </sheetViews>
  <sheetFormatPr defaultRowHeight="14.5"/>
  <cols>
    <col min="1" max="1" width="9.1796875" customWidth="1"/>
    <col min="2" max="2" width="10.26953125" customWidth="1"/>
    <col min="4" max="4" width="9.26953125" bestFit="1" customWidth="1"/>
    <col min="10" max="10" width="9.81640625" customWidth="1"/>
    <col min="11" max="11" width="13" customWidth="1"/>
    <col min="12" max="12" width="11.1796875" customWidth="1"/>
    <col min="13" max="13" width="20.54296875" customWidth="1"/>
    <col min="15" max="15" width="9.453125" customWidth="1"/>
    <col min="16" max="16" width="11" customWidth="1"/>
    <col min="18" max="18" width="14.453125" customWidth="1"/>
  </cols>
  <sheetData>
    <row r="1" spans="1:28">
      <c r="B1" s="19" t="s">
        <v>205</v>
      </c>
      <c r="C1" s="19" t="s">
        <v>206</v>
      </c>
      <c r="D1" s="19" t="s">
        <v>207</v>
      </c>
      <c r="E1" s="19" t="s">
        <v>208</v>
      </c>
      <c r="F1" s="19" t="s">
        <v>209</v>
      </c>
      <c r="G1" s="43" t="s">
        <v>9</v>
      </c>
      <c r="H1" s="19" t="s">
        <v>10</v>
      </c>
    </row>
    <row r="2" spans="1:28">
      <c r="A2" s="34" t="s">
        <v>269</v>
      </c>
      <c r="B2" s="41">
        <v>0.82</v>
      </c>
      <c r="C2" s="11">
        <v>0.87</v>
      </c>
      <c r="D2" s="11">
        <v>0.13</v>
      </c>
      <c r="E2" s="11">
        <v>0.09</v>
      </c>
      <c r="F2" s="11">
        <v>0.95</v>
      </c>
      <c r="G2" s="13">
        <f>MIN(B2:F2)</f>
        <v>0.09</v>
      </c>
      <c r="H2" s="11">
        <f>MAX(B2:F2)</f>
        <v>0.95</v>
      </c>
      <c r="K2">
        <v>2</v>
      </c>
      <c r="L2">
        <v>4</v>
      </c>
      <c r="M2">
        <v>1</v>
      </c>
      <c r="N2">
        <v>3</v>
      </c>
      <c r="O2">
        <v>5</v>
      </c>
      <c r="Q2" s="11">
        <v>0.82</v>
      </c>
      <c r="R2" s="41">
        <v>0.47</v>
      </c>
      <c r="S2" s="41">
        <v>0.35</v>
      </c>
      <c r="T2" s="41">
        <v>3.3180000000000001</v>
      </c>
      <c r="U2" s="41">
        <v>0.23100000000000001</v>
      </c>
      <c r="V2" s="41">
        <v>27.3</v>
      </c>
      <c r="W2" s="41">
        <v>16</v>
      </c>
      <c r="X2" s="41">
        <v>0.26700000000000002</v>
      </c>
      <c r="Y2" s="41">
        <v>0.247</v>
      </c>
      <c r="Z2" s="41">
        <v>16.399999999999999</v>
      </c>
      <c r="AA2" s="41">
        <v>0.20399999999999999</v>
      </c>
      <c r="AB2" s="41">
        <v>0.17899999999999999</v>
      </c>
    </row>
    <row r="3" spans="1:28">
      <c r="A3" s="35" t="s">
        <v>270</v>
      </c>
      <c r="B3" s="41">
        <v>0.47</v>
      </c>
      <c r="C3" s="11">
        <v>0.86</v>
      </c>
      <c r="D3" s="11">
        <v>0.37</v>
      </c>
      <c r="E3" s="11">
        <v>0.85</v>
      </c>
      <c r="F3" s="11">
        <v>0.84</v>
      </c>
      <c r="G3" s="13">
        <f>MIN(B3:F3)</f>
        <v>0.37</v>
      </c>
      <c r="H3" s="11">
        <f>MAX(B3:F3)</f>
        <v>0.86</v>
      </c>
      <c r="J3" s="83" t="s">
        <v>131</v>
      </c>
      <c r="K3" s="19" t="s">
        <v>205</v>
      </c>
      <c r="L3" s="19" t="s">
        <v>206</v>
      </c>
      <c r="M3" s="19" t="s">
        <v>207</v>
      </c>
      <c r="N3" s="19" t="s">
        <v>208</v>
      </c>
      <c r="O3" s="9" t="s">
        <v>209</v>
      </c>
      <c r="Q3" s="21">
        <v>0.87</v>
      </c>
      <c r="R3" s="11">
        <v>0.86</v>
      </c>
      <c r="S3" s="11">
        <v>0.63</v>
      </c>
      <c r="T3" s="11">
        <v>4.5490000000000004</v>
      </c>
      <c r="U3" s="11">
        <v>0.27900000000000003</v>
      </c>
      <c r="V3" s="11">
        <v>14</v>
      </c>
      <c r="W3" s="11">
        <v>16</v>
      </c>
      <c r="X3" s="11">
        <v>0.26700000000000002</v>
      </c>
      <c r="Y3" s="11">
        <v>0.21099999999999999</v>
      </c>
      <c r="Z3" s="11">
        <v>9.4</v>
      </c>
      <c r="AA3" s="11">
        <v>0.17899999999999999</v>
      </c>
      <c r="AB3" s="11">
        <v>0.17899999999999999</v>
      </c>
    </row>
    <row r="4" spans="1:28">
      <c r="A4" s="34" t="s">
        <v>271</v>
      </c>
      <c r="B4" s="41">
        <v>0.35</v>
      </c>
      <c r="C4" s="11">
        <v>0.63</v>
      </c>
      <c r="D4" s="11">
        <v>0.28999999999999998</v>
      </c>
      <c r="E4" s="11">
        <v>0.28000000000000003</v>
      </c>
      <c r="F4" s="11">
        <v>0.64</v>
      </c>
      <c r="G4" s="13">
        <f>MIN(B4:F4)</f>
        <v>0.28000000000000003</v>
      </c>
      <c r="H4" s="11">
        <f>MAX(B4:F4)</f>
        <v>0.64</v>
      </c>
      <c r="J4" s="19" t="s">
        <v>11</v>
      </c>
      <c r="K4" s="41">
        <f>SUM(C17:C28)</f>
        <v>1.6840757960092545</v>
      </c>
      <c r="L4" s="41">
        <f>SUM(D17:D28)</f>
        <v>2.6524968086985061</v>
      </c>
      <c r="M4" s="41">
        <f t="shared" ref="M4:O4" si="0">SUM(E17:E28)</f>
        <v>0.60099792803731422</v>
      </c>
      <c r="N4" s="41">
        <f t="shared" si="0"/>
        <v>2.2410227457425442</v>
      </c>
      <c r="O4" s="41">
        <f t="shared" si="0"/>
        <v>3.2947194108393081</v>
      </c>
      <c r="Q4" s="11">
        <v>0.13</v>
      </c>
      <c r="R4" s="11">
        <v>0.37</v>
      </c>
      <c r="S4" s="11">
        <v>0.28999999999999998</v>
      </c>
      <c r="T4" s="11">
        <v>3.6150000000000002</v>
      </c>
      <c r="U4" s="11">
        <v>0.16500000000000001</v>
      </c>
      <c r="V4" s="11">
        <v>47.9</v>
      </c>
      <c r="W4" s="11">
        <v>16</v>
      </c>
      <c r="X4" s="11">
        <v>0.23400000000000001</v>
      </c>
      <c r="Y4" s="11">
        <v>0.28899999999999998</v>
      </c>
      <c r="Z4" s="11">
        <v>42.7</v>
      </c>
      <c r="AA4" s="11">
        <v>0.23400000000000001</v>
      </c>
      <c r="AB4" s="11">
        <v>0.33</v>
      </c>
    </row>
    <row r="5" spans="1:28">
      <c r="A5" s="36" t="s">
        <v>272</v>
      </c>
      <c r="B5" s="41">
        <v>3.3180000000000001</v>
      </c>
      <c r="C5" s="11">
        <v>4.5490000000000004</v>
      </c>
      <c r="D5" s="11">
        <v>3.6150000000000002</v>
      </c>
      <c r="E5" s="11">
        <v>1.341</v>
      </c>
      <c r="F5" s="11">
        <v>2.23</v>
      </c>
      <c r="G5" s="13">
        <f>MIN(B5:F5)</f>
        <v>1.341</v>
      </c>
      <c r="H5" s="11">
        <f>MAX(B5:F5)</f>
        <v>4.5490000000000004</v>
      </c>
      <c r="J5" s="17" t="s">
        <v>12</v>
      </c>
      <c r="K5" s="42">
        <f>MAX(C17:C28)</f>
        <v>0.35860000605328279</v>
      </c>
      <c r="L5" s="42">
        <f>MAX(D17:D28)</f>
        <v>0.45401825861499301</v>
      </c>
      <c r="M5" s="42">
        <f t="shared" ref="M5:O5" si="1">MAX(E17:E28)</f>
        <v>0.29613404226058104</v>
      </c>
      <c r="N5" s="42">
        <f t="shared" si="1"/>
        <v>0.37223118499066998</v>
      </c>
      <c r="O5" s="42">
        <f t="shared" si="1"/>
        <v>0.488610807584267</v>
      </c>
      <c r="Q5" s="11">
        <v>0.09</v>
      </c>
      <c r="R5" s="11">
        <v>0.85</v>
      </c>
      <c r="S5" s="11">
        <v>0.28000000000000003</v>
      </c>
      <c r="T5" s="11">
        <v>1.341</v>
      </c>
      <c r="U5" s="11">
        <v>0.17299999999999999</v>
      </c>
      <c r="V5" s="11">
        <v>1.9</v>
      </c>
      <c r="W5" s="11">
        <v>33</v>
      </c>
      <c r="X5" s="11">
        <v>0.14899999999999999</v>
      </c>
      <c r="Y5" s="11">
        <v>0.126</v>
      </c>
      <c r="Z5" s="11">
        <v>15.4</v>
      </c>
      <c r="AA5" s="11">
        <v>0.17899999999999999</v>
      </c>
      <c r="AB5" s="11">
        <v>0.20200000000000001</v>
      </c>
    </row>
    <row r="6" spans="1:28">
      <c r="A6" s="36" t="s">
        <v>273</v>
      </c>
      <c r="B6" s="41">
        <v>0.23100000000000001</v>
      </c>
      <c r="C6" s="11">
        <v>0.27900000000000003</v>
      </c>
      <c r="D6" s="11">
        <v>0.16500000000000001</v>
      </c>
      <c r="E6" s="11">
        <v>0.17299999999999999</v>
      </c>
      <c r="F6" s="11">
        <v>0.151</v>
      </c>
      <c r="G6" s="13">
        <f>MAX(B6:F6)</f>
        <v>0.27900000000000003</v>
      </c>
      <c r="H6" s="11">
        <f>MIN(B6:G6)</f>
        <v>0.151</v>
      </c>
      <c r="J6" s="15" t="s">
        <v>13</v>
      </c>
      <c r="K6" s="11">
        <f>$K$13*((K4-$K$7)/($K$9-$K$7))+(1-$K$13)*((K5-$K$8)/($K$10-$K$8))+0.0001</f>
        <v>0.363406305783182</v>
      </c>
      <c r="L6" s="11">
        <f>$K$13*((L4-$K$7)/($K$9-$K$7))+(1-$K$13)*((L5-$K$8)/($K$10-$K$8))+0.0001</f>
        <v>0.79103106377153165</v>
      </c>
      <c r="M6" s="11">
        <f t="shared" ref="M6:N6" si="2">$K$13*((M4-$K$7)/($K$9-$K$7))+(1-$K$13)*((M5-$K$8)/($K$10-$K$8))+0.0001</f>
        <v>1E-4</v>
      </c>
      <c r="N6" s="11">
        <f t="shared" si="2"/>
        <v>0.50219495781831136</v>
      </c>
      <c r="O6" s="11">
        <f>$K$13*((O4-$K$7)/($K$9-$K$7))+(1-$K$13)*((O5-$K$8)/($K$10-$K$8))+0.0001</f>
        <v>1.0001</v>
      </c>
      <c r="Q6" s="11">
        <v>0.95</v>
      </c>
      <c r="R6" s="11">
        <v>0.84</v>
      </c>
      <c r="S6" s="11">
        <v>0.64</v>
      </c>
      <c r="T6" s="11">
        <v>2.23</v>
      </c>
      <c r="U6" s="11">
        <v>0.151</v>
      </c>
      <c r="V6" s="11">
        <v>9</v>
      </c>
      <c r="W6" s="11">
        <v>49</v>
      </c>
      <c r="X6" s="11">
        <v>8.4000000000000005E-2</v>
      </c>
      <c r="Y6" s="11">
        <v>0.126</v>
      </c>
      <c r="Z6" s="11">
        <v>23.8</v>
      </c>
      <c r="AA6" s="11">
        <v>0.20399999999999999</v>
      </c>
      <c r="AB6" s="11">
        <v>0.11</v>
      </c>
    </row>
    <row r="7" spans="1:28">
      <c r="A7" s="37" t="s">
        <v>274</v>
      </c>
      <c r="B7" s="41">
        <v>27.3</v>
      </c>
      <c r="C7" s="11">
        <v>14</v>
      </c>
      <c r="D7" s="11">
        <v>47.9</v>
      </c>
      <c r="E7" s="11">
        <v>1.9</v>
      </c>
      <c r="F7" s="11">
        <v>9</v>
      </c>
      <c r="G7" s="13">
        <f>MAX(B7:F7)</f>
        <v>47.9</v>
      </c>
      <c r="H7" s="11">
        <f>MIN(B7:G7)</f>
        <v>1.9</v>
      </c>
      <c r="J7" s="43" t="s">
        <v>14</v>
      </c>
      <c r="K7" s="82">
        <f>MIN(K4:O4)</f>
        <v>0.60099792803731422</v>
      </c>
    </row>
    <row r="8" spans="1:28">
      <c r="A8" s="38" t="s">
        <v>275</v>
      </c>
      <c r="B8" s="41">
        <v>16</v>
      </c>
      <c r="C8" s="11">
        <v>16</v>
      </c>
      <c r="D8" s="11">
        <v>16</v>
      </c>
      <c r="E8" s="11">
        <v>33</v>
      </c>
      <c r="F8" s="11">
        <v>49</v>
      </c>
      <c r="G8" s="13">
        <f>MIN(B8:F8)</f>
        <v>16</v>
      </c>
      <c r="H8" s="11">
        <f>MAX(B8:F8)</f>
        <v>49</v>
      </c>
      <c r="J8" s="43" t="s">
        <v>15</v>
      </c>
      <c r="K8" s="10">
        <f>MIN(K5:O5)</f>
        <v>0.29613404226058104</v>
      </c>
    </row>
    <row r="9" spans="1:28">
      <c r="A9" s="38" t="s">
        <v>148</v>
      </c>
      <c r="B9" s="41">
        <v>0.26700000000000002</v>
      </c>
      <c r="C9" s="11">
        <v>0.26700000000000002</v>
      </c>
      <c r="D9" s="11">
        <v>0.23400000000000001</v>
      </c>
      <c r="E9" s="11">
        <v>0.14899999999999999</v>
      </c>
      <c r="F9" s="11">
        <v>8.4000000000000005E-2</v>
      </c>
      <c r="G9" s="13">
        <f>MAX(B9:F9)</f>
        <v>0.26700000000000002</v>
      </c>
      <c r="H9" s="11">
        <f>MIN(B9:F9)</f>
        <v>8.4000000000000005E-2</v>
      </c>
      <c r="J9" s="43" t="s">
        <v>16</v>
      </c>
      <c r="K9" s="10">
        <f>MAX(K4:O4)</f>
        <v>3.2947194108393081</v>
      </c>
      <c r="N9" s="1">
        <v>1</v>
      </c>
      <c r="O9" s="1">
        <v>2</v>
      </c>
      <c r="P9" s="1">
        <v>3</v>
      </c>
      <c r="Q9" s="1">
        <v>4</v>
      </c>
      <c r="R9" s="1">
        <v>5</v>
      </c>
    </row>
    <row r="10" spans="1:28">
      <c r="A10" s="38" t="s">
        <v>149</v>
      </c>
      <c r="B10" s="41">
        <v>0.247</v>
      </c>
      <c r="C10" s="11">
        <v>0.21099999999999999</v>
      </c>
      <c r="D10" s="11">
        <v>0.28899999999999998</v>
      </c>
      <c r="E10" s="11">
        <v>0.126</v>
      </c>
      <c r="F10" s="11">
        <v>0.126</v>
      </c>
      <c r="G10" s="13">
        <f>MAX(B10:F10)</f>
        <v>0.28899999999999998</v>
      </c>
      <c r="H10" s="11">
        <f>MIN(B10:F10)</f>
        <v>0.126</v>
      </c>
      <c r="J10" s="43" t="s">
        <v>17</v>
      </c>
      <c r="K10" s="10">
        <f>MAX(K5:O5)</f>
        <v>0.488610807584267</v>
      </c>
      <c r="M10" s="81" t="s">
        <v>276</v>
      </c>
      <c r="N10" s="2" t="s">
        <v>209</v>
      </c>
      <c r="O10" s="2" t="s">
        <v>206</v>
      </c>
      <c r="P10" s="2" t="s">
        <v>205</v>
      </c>
      <c r="Q10" s="2" t="s">
        <v>207</v>
      </c>
      <c r="R10" s="2" t="s">
        <v>208</v>
      </c>
    </row>
    <row r="11" spans="1:28">
      <c r="A11" s="39" t="s">
        <v>277</v>
      </c>
      <c r="B11" s="41">
        <v>16.399999999999999</v>
      </c>
      <c r="C11" s="11">
        <v>9.4</v>
      </c>
      <c r="D11" s="11">
        <v>42.7</v>
      </c>
      <c r="E11" s="11">
        <v>15.4</v>
      </c>
      <c r="F11" s="11">
        <v>23.8</v>
      </c>
      <c r="G11" s="13">
        <f t="shared" ref="G11:G13" si="3">MAX(B11:F11)</f>
        <v>42.7</v>
      </c>
      <c r="H11" s="11">
        <f t="shared" ref="H11:H13" si="4">MIN(B11:F11)</f>
        <v>9.4</v>
      </c>
      <c r="M11" s="81" t="s">
        <v>278</v>
      </c>
      <c r="N11" s="2" t="s">
        <v>207</v>
      </c>
      <c r="O11" s="2" t="s">
        <v>205</v>
      </c>
      <c r="P11" s="2" t="s">
        <v>208</v>
      </c>
      <c r="Q11" s="2" t="s">
        <v>206</v>
      </c>
      <c r="R11" s="2" t="s">
        <v>209</v>
      </c>
    </row>
    <row r="12" spans="1:28">
      <c r="A12" s="40" t="s">
        <v>279</v>
      </c>
      <c r="B12" s="41">
        <v>0.20399999999999999</v>
      </c>
      <c r="C12" s="11">
        <v>0.17899999999999999</v>
      </c>
      <c r="D12" s="11">
        <v>0.23400000000000001</v>
      </c>
      <c r="E12" s="11">
        <v>0.17899999999999999</v>
      </c>
      <c r="F12" s="11">
        <v>0.20399999999999999</v>
      </c>
      <c r="G12" s="13">
        <f t="shared" si="3"/>
        <v>0.23400000000000001</v>
      </c>
      <c r="H12" s="11">
        <f t="shared" si="4"/>
        <v>0.17899999999999999</v>
      </c>
    </row>
    <row r="13" spans="1:28">
      <c r="A13" s="40" t="s">
        <v>280</v>
      </c>
      <c r="B13" s="41">
        <v>0.17899999999999999</v>
      </c>
      <c r="C13" s="11">
        <v>0.17899999999999999</v>
      </c>
      <c r="D13" s="11">
        <v>0.33</v>
      </c>
      <c r="E13" s="11">
        <v>0.20200000000000001</v>
      </c>
      <c r="F13" s="11">
        <v>0.11</v>
      </c>
      <c r="G13" s="13">
        <f t="shared" si="3"/>
        <v>0.33</v>
      </c>
      <c r="H13" s="11">
        <f t="shared" si="4"/>
        <v>0.11</v>
      </c>
      <c r="K13">
        <v>0.5</v>
      </c>
    </row>
    <row r="14" spans="1:28">
      <c r="M14" s="83" t="s">
        <v>131</v>
      </c>
      <c r="R14" s="19" t="s">
        <v>281</v>
      </c>
      <c r="S14" s="9" t="s">
        <v>205</v>
      </c>
      <c r="T14" s="9" t="s">
        <v>206</v>
      </c>
      <c r="U14" s="9" t="s">
        <v>207</v>
      </c>
      <c r="V14" s="9" t="s">
        <v>208</v>
      </c>
      <c r="W14" s="9" t="s">
        <v>209</v>
      </c>
    </row>
    <row r="15" spans="1:28">
      <c r="I15" s="181"/>
      <c r="J15" s="182" t="s">
        <v>33</v>
      </c>
      <c r="M15" s="157" t="s">
        <v>19</v>
      </c>
      <c r="N15" s="159">
        <v>0.25</v>
      </c>
      <c r="Q15" s="48" t="s">
        <v>269</v>
      </c>
      <c r="R15" s="44">
        <f>H17/H$29</f>
        <v>7.2983200927717304E-2</v>
      </c>
      <c r="S15" s="11">
        <f>R15*((G2-B2)/(G2-H2))+0.0001</f>
        <v>6.2050856601434452E-2</v>
      </c>
      <c r="T15" s="11">
        <f>R15*((G2-C2)/(G2-H2))+0.0001</f>
        <v>6.6294065957697101E-2</v>
      </c>
      <c r="U15" s="11">
        <f>R15*((G2-D2)/(G2-H2))+0.0001</f>
        <v>3.4945674850101072E-3</v>
      </c>
      <c r="V15" s="11">
        <f>R15*((G2-E2)/(G2-H2))+0.0001</f>
        <v>1E-4</v>
      </c>
      <c r="W15" s="11">
        <f>R15*((G2-E2)/(G2-H2))+0.0001</f>
        <v>1E-4</v>
      </c>
    </row>
    <row r="16" spans="1:28">
      <c r="B16" s="162" t="s">
        <v>131</v>
      </c>
      <c r="C16" s="101" t="s">
        <v>205</v>
      </c>
      <c r="D16" s="101" t="s">
        <v>206</v>
      </c>
      <c r="E16" s="101" t="s">
        <v>207</v>
      </c>
      <c r="F16" s="101" t="s">
        <v>208</v>
      </c>
      <c r="G16" s="162" t="s">
        <v>209</v>
      </c>
      <c r="I16" s="179" t="s">
        <v>254</v>
      </c>
      <c r="J16" s="183">
        <f>0.122383880220714</f>
        <v>0.122383880220714</v>
      </c>
      <c r="M16" s="144" t="s">
        <v>24</v>
      </c>
      <c r="N16" s="160">
        <f>K6-M6</f>
        <v>0.36330630578318202</v>
      </c>
      <c r="O16" s="2"/>
      <c r="P16" s="2"/>
      <c r="Q16" s="47" t="s">
        <v>270</v>
      </c>
      <c r="R16" s="44">
        <f>H18/H$29</f>
        <v>6.5734392818295823E-2</v>
      </c>
      <c r="S16" s="11">
        <f>R16*((G3-B3)/(G3-H3))+0.0001</f>
        <v>1.351518220781547E-2</v>
      </c>
      <c r="T16" s="11">
        <f t="shared" ref="T16:T26" si="5">R16*((G3-C3)/(G3-H3))+0.0001</f>
        <v>6.5834392818295825E-2</v>
      </c>
      <c r="U16" s="11">
        <f t="shared" ref="U16:U26" si="6">R16*((G3-D3)/(G3-H3))+0.0001</f>
        <v>1E-4</v>
      </c>
      <c r="V16" s="11">
        <f t="shared" ref="V16:V26" si="7">R16*((G3-E3)/(G3-H3))+0.0001</f>
        <v>6.449287459751428E-2</v>
      </c>
      <c r="W16" s="11">
        <f t="shared" ref="W16:W26" si="8">R16*((G3-E3)/(G3-H3))+0.0001</f>
        <v>6.449287459751428E-2</v>
      </c>
    </row>
    <row r="17" spans="1:23">
      <c r="A17" s="48" t="s">
        <v>269</v>
      </c>
      <c r="B17" s="125">
        <v>0.371684356480731</v>
      </c>
      <c r="C17" s="141">
        <f>B17*((G2-B2)/(G2-H2))+0.0001</f>
        <v>0.31559951189643443</v>
      </c>
      <c r="D17" s="125">
        <f>B17*((G2-C2)/(G2-H2))+0.0001</f>
        <v>0.33720906750577928</v>
      </c>
      <c r="E17" s="125">
        <f>B17*((G2-D2)/(G2-H2))+0.0001</f>
        <v>1.7387644487475862E-2</v>
      </c>
      <c r="F17" s="136">
        <f>B17*((G2-E2)/(G2-H2))+0.0001</f>
        <v>1E-4</v>
      </c>
      <c r="G17" s="125">
        <f>B17*((G2-F2)/(G2-H2))+0.0001</f>
        <v>0.37178435648073099</v>
      </c>
      <c r="H17">
        <f>(B31)^0.5*(B45)^0.5</f>
        <v>6.7985488745137046E-2</v>
      </c>
      <c r="I17" s="179" t="s">
        <v>255</v>
      </c>
      <c r="J17" s="184">
        <f>0.402340226254651</f>
        <v>0.40234022625465099</v>
      </c>
      <c r="M17" s="144" t="s">
        <v>106</v>
      </c>
      <c r="N17" s="160" t="s">
        <v>27</v>
      </c>
      <c r="O17" s="2"/>
      <c r="P17" s="2"/>
      <c r="Q17" s="48" t="s">
        <v>271</v>
      </c>
      <c r="R17" s="44">
        <f t="shared" ref="R17:R26" si="9">H19/H$29</f>
        <v>6.9374665514471537E-2</v>
      </c>
      <c r="S17" s="11">
        <f t="shared" ref="S17:S26" si="10">R17*((G4-B4)/(G4-H4))+0.0001</f>
        <v>1.3589518294480567E-2</v>
      </c>
      <c r="T17" s="11">
        <f t="shared" si="5"/>
        <v>6.7547591472402885E-2</v>
      </c>
      <c r="U17" s="11">
        <f t="shared" si="6"/>
        <v>2.0270740420686448E-3</v>
      </c>
      <c r="V17" s="11">
        <f t="shared" si="7"/>
        <v>1E-4</v>
      </c>
      <c r="W17" s="11">
        <f t="shared" si="8"/>
        <v>1E-4</v>
      </c>
    </row>
    <row r="18" spans="1:23">
      <c r="A18" s="47" t="s">
        <v>270</v>
      </c>
      <c r="B18" s="125">
        <v>0.220842251074368</v>
      </c>
      <c r="C18" s="141">
        <f t="shared" ref="C18:C28" si="11">B18*((G3-B3)/(G3-H3))+0.0001</f>
        <v>4.5169847158034279E-2</v>
      </c>
      <c r="D18" s="125">
        <f t="shared" ref="D18:D28" si="12">B18*((G3-C3)/(G3-H3))+0.0001</f>
        <v>0.22094225107436799</v>
      </c>
      <c r="E18" s="125">
        <f t="shared" ref="E18:E28" si="13">B18*((G3-D3)/(G3-H3))+0.0001</f>
        <v>1E-4</v>
      </c>
      <c r="F18" s="136">
        <f t="shared" ref="F18:F28" si="14">B18*((G3-E3)/(G3-H3))+0.0001</f>
        <v>0.21643526635856455</v>
      </c>
      <c r="G18" s="125">
        <f t="shared" ref="G18:G28" si="15">B18*((G3-F3)/(G3-H3))+0.0001</f>
        <v>0.21192828164276112</v>
      </c>
      <c r="H18">
        <f>(B32)^0.5*(B46)^0.5</f>
        <v>6.1233061393713858E-2</v>
      </c>
      <c r="I18" s="179" t="s">
        <v>256</v>
      </c>
      <c r="J18" s="184">
        <f>0.290441283278577</f>
        <v>0.29044128327857699</v>
      </c>
      <c r="M18" s="158" t="s">
        <v>108</v>
      </c>
      <c r="N18" s="161" t="s">
        <v>27</v>
      </c>
      <c r="O18" s="2"/>
      <c r="P18" s="2"/>
      <c r="Q18" s="49" t="s">
        <v>272</v>
      </c>
      <c r="R18" s="44">
        <f t="shared" si="9"/>
        <v>0.10726780157947344</v>
      </c>
      <c r="S18" s="11">
        <f>R18*((G5-B5)/(G5-H5))+0.0001</f>
        <v>6.6206123354931118E-2</v>
      </c>
      <c r="T18" s="11">
        <f t="shared" si="5"/>
        <v>0.10736780157947344</v>
      </c>
      <c r="U18" s="11">
        <f t="shared" si="6"/>
        <v>7.6137088775474621E-2</v>
      </c>
      <c r="V18" s="11">
        <f t="shared" si="7"/>
        <v>1E-4</v>
      </c>
      <c r="W18" s="11">
        <f t="shared" si="8"/>
        <v>1E-4</v>
      </c>
    </row>
    <row r="19" spans="1:23">
      <c r="A19" s="48" t="s">
        <v>271</v>
      </c>
      <c r="B19" s="125">
        <v>0.40747339244490099</v>
      </c>
      <c r="C19" s="141">
        <f t="shared" si="11"/>
        <v>7.9330937419841804E-2</v>
      </c>
      <c r="D19" s="125">
        <f t="shared" si="12"/>
        <v>0.3962546870992093</v>
      </c>
      <c r="E19" s="125">
        <f t="shared" si="13"/>
        <v>1.1418705345691641E-2</v>
      </c>
      <c r="F19" s="136">
        <f t="shared" si="14"/>
        <v>1E-4</v>
      </c>
      <c r="G19" s="125">
        <f t="shared" si="15"/>
        <v>0.40757339244490098</v>
      </c>
      <c r="H19">
        <f t="shared" ref="H19:H28" si="16">(B33)^0.5*(B47)^0.5</f>
        <v>6.4624057064898432E-2</v>
      </c>
      <c r="I19" s="180" t="s">
        <v>257</v>
      </c>
      <c r="J19" s="185">
        <f>0.184834610246057</f>
        <v>0.18483461024605699</v>
      </c>
      <c r="Q19" s="49" t="s">
        <v>273</v>
      </c>
      <c r="R19" s="44">
        <f t="shared" si="9"/>
        <v>0.10381053750338265</v>
      </c>
      <c r="S19" s="11">
        <f>R19*((G6-B6)/(G6-H6))+0.0001</f>
        <v>3.9028951563768496E-2</v>
      </c>
      <c r="T19" s="11">
        <f t="shared" si="5"/>
        <v>1E-4</v>
      </c>
      <c r="U19" s="11">
        <f t="shared" si="6"/>
        <v>9.2556259963950158E-2</v>
      </c>
      <c r="V19" s="11">
        <f t="shared" si="7"/>
        <v>8.606810136998877E-2</v>
      </c>
      <c r="W19" s="11">
        <f t="shared" si="8"/>
        <v>8.606810136998877E-2</v>
      </c>
    </row>
    <row r="20" spans="1:23">
      <c r="A20" s="49" t="s">
        <v>272</v>
      </c>
      <c r="B20" s="125">
        <v>0.417624101834628</v>
      </c>
      <c r="C20" s="141">
        <f t="shared" si="11"/>
        <v>0.25746996550095375</v>
      </c>
      <c r="D20" s="125">
        <f t="shared" si="12"/>
        <v>0.41772410183462799</v>
      </c>
      <c r="E20" s="125">
        <f t="shared" si="13"/>
        <v>0.29613404226058104</v>
      </c>
      <c r="F20" s="136">
        <f t="shared" si="14"/>
        <v>1E-4</v>
      </c>
      <c r="G20" s="125">
        <f t="shared" si="15"/>
        <v>0.11583186612561854</v>
      </c>
      <c r="H20">
        <f t="shared" si="16"/>
        <v>9.9922363287676882E-2</v>
      </c>
      <c r="Q20" s="50" t="s">
        <v>274</v>
      </c>
      <c r="R20" s="44">
        <f t="shared" si="9"/>
        <v>0.11004450464449299</v>
      </c>
      <c r="S20" s="11">
        <f>R20*((G7-B7)/(G7-H7))+0.0001</f>
        <v>4.9380799906012074E-2</v>
      </c>
      <c r="T20" s="11">
        <f t="shared" si="5"/>
        <v>8.1198015379311136E-2</v>
      </c>
      <c r="U20" s="11">
        <f t="shared" si="6"/>
        <v>1E-4</v>
      </c>
      <c r="V20" s="11">
        <f t="shared" si="7"/>
        <v>0.11014450464449299</v>
      </c>
      <c r="W20" s="11">
        <f t="shared" si="8"/>
        <v>0.11014450464449299</v>
      </c>
    </row>
    <row r="21" spans="1:23">
      <c r="A21" s="49" t="s">
        <v>273</v>
      </c>
      <c r="B21" s="125">
        <v>0.24904256483203899</v>
      </c>
      <c r="C21" s="141">
        <f t="shared" si="11"/>
        <v>9.349096181201462E-2</v>
      </c>
      <c r="D21" s="125">
        <f t="shared" si="12"/>
        <v>1E-4</v>
      </c>
      <c r="E21" s="125">
        <f t="shared" si="13"/>
        <v>0.22190353430353468</v>
      </c>
      <c r="F21" s="136">
        <f t="shared" si="14"/>
        <v>0.20633837400153229</v>
      </c>
      <c r="G21" s="125">
        <f t="shared" si="15"/>
        <v>0.24914256483203898</v>
      </c>
      <c r="H21">
        <f t="shared" si="16"/>
        <v>9.6701844251154703E-2</v>
      </c>
      <c r="Q21" s="51" t="s">
        <v>275</v>
      </c>
      <c r="R21" s="44">
        <f t="shared" si="9"/>
        <v>8.703133248953468E-2</v>
      </c>
      <c r="S21" s="11">
        <f t="shared" si="10"/>
        <v>1E-4</v>
      </c>
      <c r="T21" s="11">
        <f t="shared" si="5"/>
        <v>1E-4</v>
      </c>
      <c r="U21" s="11">
        <f t="shared" si="6"/>
        <v>1E-4</v>
      </c>
      <c r="V21" s="11">
        <f t="shared" si="7"/>
        <v>4.4934322797639079E-2</v>
      </c>
      <c r="W21" s="11">
        <f t="shared" si="8"/>
        <v>4.4934322797639079E-2</v>
      </c>
    </row>
    <row r="22" spans="1:23">
      <c r="A22" s="50" t="s">
        <v>274</v>
      </c>
      <c r="B22" s="125">
        <v>0.33333333333333298</v>
      </c>
      <c r="C22" s="141">
        <f t="shared" si="11"/>
        <v>0.14937536231884041</v>
      </c>
      <c r="D22" s="125">
        <f t="shared" si="12"/>
        <v>0.24575217391304319</v>
      </c>
      <c r="E22" s="125">
        <f t="shared" si="13"/>
        <v>1E-4</v>
      </c>
      <c r="F22" s="136">
        <f t="shared" si="14"/>
        <v>0.33343333333333297</v>
      </c>
      <c r="G22" s="125">
        <f t="shared" si="15"/>
        <v>0.28198405797101417</v>
      </c>
      <c r="H22">
        <f t="shared" si="16"/>
        <v>0.10250892447677076</v>
      </c>
      <c r="K22">
        <v>1</v>
      </c>
      <c r="L22">
        <v>3</v>
      </c>
      <c r="M22">
        <v>2</v>
      </c>
      <c r="N22">
        <v>4</v>
      </c>
      <c r="O22">
        <v>4</v>
      </c>
      <c r="Q22" s="51" t="s">
        <v>148</v>
      </c>
      <c r="R22" s="44">
        <f t="shared" si="9"/>
        <v>7.1124708426938646E-2</v>
      </c>
      <c r="S22" s="11">
        <f t="shared" si="10"/>
        <v>1E-4</v>
      </c>
      <c r="T22" s="11">
        <f t="shared" si="5"/>
        <v>1E-4</v>
      </c>
      <c r="U22" s="11">
        <f t="shared" si="6"/>
        <v>1.2925767093382379E-2</v>
      </c>
      <c r="V22" s="11">
        <f t="shared" si="7"/>
        <v>4.5961833849064278E-2</v>
      </c>
      <c r="W22" s="11">
        <f t="shared" si="8"/>
        <v>4.5961833849064278E-2</v>
      </c>
    </row>
    <row r="23" spans="1:23">
      <c r="A23" s="51" t="s">
        <v>275</v>
      </c>
      <c r="B23" s="125">
        <v>0.48851080758426702</v>
      </c>
      <c r="C23" s="141">
        <f t="shared" si="11"/>
        <v>1E-4</v>
      </c>
      <c r="D23" s="125">
        <f t="shared" si="12"/>
        <v>1E-4</v>
      </c>
      <c r="E23" s="125">
        <f t="shared" si="13"/>
        <v>1E-4</v>
      </c>
      <c r="F23" s="136">
        <f t="shared" si="14"/>
        <v>0.25175708269492542</v>
      </c>
      <c r="G23" s="125">
        <f t="shared" si="15"/>
        <v>0.488610807584267</v>
      </c>
      <c r="H23">
        <f t="shared" si="16"/>
        <v>8.1071638407605839E-2</v>
      </c>
      <c r="J23" s="84" t="s">
        <v>5</v>
      </c>
      <c r="K23" s="9" t="s">
        <v>205</v>
      </c>
      <c r="L23" s="9" t="s">
        <v>206</v>
      </c>
      <c r="M23" s="9" t="s">
        <v>207</v>
      </c>
      <c r="N23" s="12" t="s">
        <v>208</v>
      </c>
      <c r="O23" s="9" t="s">
        <v>209</v>
      </c>
      <c r="Q23" s="51" t="s">
        <v>149</v>
      </c>
      <c r="R23" s="44">
        <f t="shared" si="9"/>
        <v>8.3622534033594834E-2</v>
      </c>
      <c r="S23" s="11">
        <f t="shared" si="10"/>
        <v>2.1646910609883323E-2</v>
      </c>
      <c r="T23" s="11">
        <f t="shared" si="5"/>
        <v>4.011569113264047E-2</v>
      </c>
      <c r="U23" s="11">
        <f t="shared" si="6"/>
        <v>1E-4</v>
      </c>
      <c r="V23" s="11">
        <f t="shared" si="7"/>
        <v>8.3722534033594836E-2</v>
      </c>
      <c r="W23" s="11">
        <f t="shared" si="8"/>
        <v>8.3722534033594836E-2</v>
      </c>
    </row>
    <row r="24" spans="1:23">
      <c r="A24" s="51" t="s">
        <v>148</v>
      </c>
      <c r="B24" s="125">
        <v>0.29587219091289901</v>
      </c>
      <c r="C24" s="141">
        <f t="shared" si="11"/>
        <v>1E-4</v>
      </c>
      <c r="D24" s="125">
        <f t="shared" si="12"/>
        <v>1E-4</v>
      </c>
      <c r="E24" s="125">
        <f t="shared" si="13"/>
        <v>5.3454001640030974E-2</v>
      </c>
      <c r="F24" s="136">
        <f t="shared" si="14"/>
        <v>0.19088097556132289</v>
      </c>
      <c r="G24" s="125">
        <f t="shared" si="15"/>
        <v>0.295972190912899</v>
      </c>
      <c r="H24">
        <f t="shared" si="16"/>
        <v>6.6254261292949146E-2</v>
      </c>
      <c r="J24" s="19" t="s">
        <v>11</v>
      </c>
      <c r="K24" s="141">
        <f>SUM(S15:S26)</f>
        <v>0.42032241173954227</v>
      </c>
      <c r="L24" s="141">
        <f>SUM(T15:T26)</f>
        <v>0.64074860733884864</v>
      </c>
      <c r="M24" s="141">
        <f t="shared" ref="M24:O24" si="17">SUM(U15:U26)</f>
        <v>0.18784075735988587</v>
      </c>
      <c r="N24" s="141">
        <f t="shared" si="17"/>
        <v>0.6259324305490539</v>
      </c>
      <c r="O24" s="141">
        <f t="shared" si="17"/>
        <v>0.6259324305490539</v>
      </c>
      <c r="Q24" s="52" t="s">
        <v>277</v>
      </c>
      <c r="R24" s="44">
        <f t="shared" si="9"/>
        <v>8.9046227902907851E-2</v>
      </c>
      <c r="S24" s="11">
        <f t="shared" si="10"/>
        <v>7.0427801617011315E-2</v>
      </c>
      <c r="T24" s="11">
        <f t="shared" si="5"/>
        <v>8.9146227902907854E-2</v>
      </c>
      <c r="U24" s="11">
        <f t="shared" si="6"/>
        <v>1E-4</v>
      </c>
      <c r="V24" s="11">
        <f t="shared" si="7"/>
        <v>7.3101862514996535E-2</v>
      </c>
      <c r="W24" s="11">
        <f t="shared" si="8"/>
        <v>7.3101862514996535E-2</v>
      </c>
    </row>
    <row r="25" spans="1:23">
      <c r="A25" s="51" t="s">
        <v>149</v>
      </c>
      <c r="B25" s="125">
        <v>0.215617001502834</v>
      </c>
      <c r="C25" s="141">
        <f t="shared" si="11"/>
        <v>5.5657754988460276E-2</v>
      </c>
      <c r="D25" s="125">
        <f t="shared" si="12"/>
        <v>0.10327868783571197</v>
      </c>
      <c r="E25" s="125">
        <f t="shared" si="13"/>
        <v>1E-4</v>
      </c>
      <c r="F25" s="136">
        <f t="shared" si="14"/>
        <v>0.21571700150283399</v>
      </c>
      <c r="G25" s="125">
        <f t="shared" si="15"/>
        <v>0.21571700150283399</v>
      </c>
      <c r="H25">
        <f t="shared" si="16"/>
        <v>7.789626618338312E-2</v>
      </c>
      <c r="J25" s="19" t="s">
        <v>12</v>
      </c>
      <c r="K25" s="141">
        <f>MAX(S15:S26)</f>
        <v>7.0427801617011315E-2</v>
      </c>
      <c r="L25" s="141">
        <f>MAX(T15:T26)</f>
        <v>0.10736780157947344</v>
      </c>
      <c r="M25" s="141">
        <f t="shared" ref="M25" si="18">MAX(U15:U26)</f>
        <v>9.2556259963950158E-2</v>
      </c>
      <c r="N25" s="141">
        <f>MAX(V15:V26)</f>
        <v>0.11014450464449299</v>
      </c>
      <c r="O25" s="141">
        <f>MAX(W15:W26)</f>
        <v>0.11014450464449299</v>
      </c>
      <c r="Q25" s="53" t="s">
        <v>279</v>
      </c>
      <c r="R25" s="44">
        <f t="shared" si="9"/>
        <v>8.5070817726212195E-2</v>
      </c>
      <c r="S25" s="11">
        <f t="shared" si="10"/>
        <v>4.6502264214297588E-2</v>
      </c>
      <c r="T25" s="11">
        <f t="shared" si="5"/>
        <v>8.5170817726212197E-2</v>
      </c>
      <c r="U25" s="11">
        <f t="shared" si="6"/>
        <v>1E-4</v>
      </c>
      <c r="V25" s="11">
        <f t="shared" si="7"/>
        <v>8.5170817726212197E-2</v>
      </c>
      <c r="W25" s="11">
        <f t="shared" si="8"/>
        <v>8.5170817726212197E-2</v>
      </c>
    </row>
    <row r="26" spans="1:23">
      <c r="A26" s="52" t="s">
        <v>277</v>
      </c>
      <c r="B26" s="125">
        <v>0.45391825861499302</v>
      </c>
      <c r="C26" s="141">
        <f t="shared" si="11"/>
        <v>0.35860000605328279</v>
      </c>
      <c r="D26" s="125">
        <f t="shared" si="12"/>
        <v>0.45401825861499301</v>
      </c>
      <c r="E26" s="125">
        <f t="shared" si="13"/>
        <v>1E-4</v>
      </c>
      <c r="F26" s="136">
        <f t="shared" si="14"/>
        <v>0.37223118499066998</v>
      </c>
      <c r="G26" s="125">
        <f t="shared" si="15"/>
        <v>0.25772928191661765</v>
      </c>
      <c r="H26">
        <f t="shared" si="16"/>
        <v>8.2948558681138082E-2</v>
      </c>
      <c r="J26" s="19" t="s">
        <v>13</v>
      </c>
      <c r="K26" s="125">
        <f>$K$13*((K24-$K$27)/($K$29-$K$27))+(1-$K$13)*((K25-$K$28)/($K$30-$K$28))+0.0001</f>
        <v>0.25675447661202494</v>
      </c>
      <c r="L26" s="125">
        <f t="shared" ref="L26:O26" si="19">$K$13*((L24-$K$27)/($K$29-$K$27))+(1-$K$13)*((L25-$K$28)/($K$30-$K$28))+0.0001</f>
        <v>0.96514363588414886</v>
      </c>
      <c r="M26" s="125">
        <f t="shared" si="19"/>
        <v>0.27867874219352018</v>
      </c>
      <c r="N26" s="125">
        <f t="shared" si="19"/>
        <v>0.9837432766726355</v>
      </c>
      <c r="O26" s="125">
        <f t="shared" si="19"/>
        <v>0.9837432766726355</v>
      </c>
      <c r="Q26" s="53" t="s">
        <v>280</v>
      </c>
      <c r="R26" s="44">
        <f t="shared" si="9"/>
        <v>5.4889276432978258E-2</v>
      </c>
      <c r="S26" s="11">
        <f t="shared" si="10"/>
        <v>3.7774003369907806E-2</v>
      </c>
      <c r="T26" s="11">
        <f t="shared" si="5"/>
        <v>3.7774003369907806E-2</v>
      </c>
      <c r="U26" s="11">
        <f t="shared" si="6"/>
        <v>1E-4</v>
      </c>
      <c r="V26" s="11">
        <f t="shared" si="7"/>
        <v>3.2035579015550986E-2</v>
      </c>
      <c r="W26" s="11">
        <f t="shared" si="8"/>
        <v>3.2035579015550986E-2</v>
      </c>
    </row>
    <row r="27" spans="1:23">
      <c r="A27" s="53" t="s">
        <v>279</v>
      </c>
      <c r="B27" s="125">
        <v>0.32523949031063898</v>
      </c>
      <c r="C27" s="141">
        <f t="shared" si="11"/>
        <v>0.17750335835125772</v>
      </c>
      <c r="D27" s="125">
        <f t="shared" si="12"/>
        <v>0.32533949031063897</v>
      </c>
      <c r="E27" s="125">
        <f t="shared" si="13"/>
        <v>1E-4</v>
      </c>
      <c r="F27" s="136">
        <f t="shared" si="14"/>
        <v>0.32533949031063897</v>
      </c>
      <c r="G27" s="125">
        <f t="shared" si="15"/>
        <v>0.17750335835125772</v>
      </c>
      <c r="H27">
        <f t="shared" si="16"/>
        <v>7.9245374929404283E-2</v>
      </c>
      <c r="J27" s="43" t="s">
        <v>14</v>
      </c>
      <c r="K27" s="11">
        <f>MIN(K24:O24)</f>
        <v>0.18784075735988587</v>
      </c>
    </row>
    <row r="28" spans="1:23">
      <c r="A28" s="53" t="s">
        <v>280</v>
      </c>
      <c r="B28" s="125">
        <v>0.220842251074368</v>
      </c>
      <c r="C28" s="141">
        <f t="shared" si="11"/>
        <v>0.15167809051013439</v>
      </c>
      <c r="D28" s="125">
        <f t="shared" si="12"/>
        <v>0.15167809051013439</v>
      </c>
      <c r="E28" s="125">
        <f t="shared" si="13"/>
        <v>1E-4</v>
      </c>
      <c r="F28" s="136">
        <f t="shared" si="14"/>
        <v>0.12859003698872318</v>
      </c>
      <c r="G28" s="125">
        <f t="shared" si="15"/>
        <v>0.22094225107436799</v>
      </c>
      <c r="H28">
        <f t="shared" si="16"/>
        <v>5.1130592214759345E-2</v>
      </c>
      <c r="J28" s="43" t="s">
        <v>15</v>
      </c>
      <c r="K28" s="11">
        <f>MIN(K25:O25)</f>
        <v>7.0427801617011315E-2</v>
      </c>
      <c r="M28" s="1">
        <v>1</v>
      </c>
      <c r="N28" s="1">
        <v>2</v>
      </c>
      <c r="O28" s="1">
        <v>3</v>
      </c>
      <c r="P28" s="1">
        <v>4</v>
      </c>
    </row>
    <row r="29" spans="1:23">
      <c r="H29">
        <f>SUM(H17:H28)</f>
        <v>0.93152243092859133</v>
      </c>
      <c r="J29" s="43" t="s">
        <v>16</v>
      </c>
      <c r="K29" s="11">
        <f>MAX(K24:O24)</f>
        <v>0.64074860733884864</v>
      </c>
      <c r="M29" s="2" t="s">
        <v>205</v>
      </c>
      <c r="N29" s="2" t="s">
        <v>207</v>
      </c>
      <c r="O29" s="2" t="s">
        <v>206</v>
      </c>
      <c r="P29" s="2" t="s">
        <v>282</v>
      </c>
      <c r="S29" s="1"/>
    </row>
    <row r="30" spans="1:23">
      <c r="B30" s="9" t="s">
        <v>129</v>
      </c>
      <c r="C30" s="57" t="s">
        <v>205</v>
      </c>
      <c r="D30" s="9" t="s">
        <v>206</v>
      </c>
      <c r="E30" s="9" t="s">
        <v>207</v>
      </c>
      <c r="F30" s="12" t="s">
        <v>208</v>
      </c>
      <c r="G30" s="9" t="s">
        <v>209</v>
      </c>
      <c r="J30" s="43" t="s">
        <v>17</v>
      </c>
      <c r="K30" s="11">
        <f>MAX(K25:O25)</f>
        <v>0.11014450464449299</v>
      </c>
      <c r="S30" s="2"/>
    </row>
    <row r="31" spans="1:23">
      <c r="A31" s="34" t="s">
        <v>269</v>
      </c>
      <c r="B31" s="125">
        <v>0.101609413997378</v>
      </c>
      <c r="C31" s="141">
        <f>B31*((G2-B2)/(G2-H2))+0.0001</f>
        <v>8.6349851416378992E-2</v>
      </c>
      <c r="D31" s="125">
        <f>B31*((G2-C2)/(G2-H2))+0.0001</f>
        <v>9.2257375485993998E-2</v>
      </c>
      <c r="E31" s="125">
        <f>B31*((G2-D2)/(G2-H2))+0.0001</f>
        <v>4.8260192556920005E-3</v>
      </c>
      <c r="F31" s="125">
        <f>B31*((G2-E2)/(G2-H2))+0.0001</f>
        <v>1E-4</v>
      </c>
      <c r="G31" s="125">
        <f>B31*((G2-F2)/(G2-H2))+0.0001</f>
        <v>0.101709413997378</v>
      </c>
      <c r="P31">
        <v>2</v>
      </c>
      <c r="Q31">
        <v>4</v>
      </c>
      <c r="R31">
        <v>1</v>
      </c>
      <c r="S31">
        <v>3</v>
      </c>
      <c r="T31">
        <v>5</v>
      </c>
    </row>
    <row r="32" spans="1:23">
      <c r="A32" s="35" t="s">
        <v>270</v>
      </c>
      <c r="B32" s="125">
        <v>0.13872845891735761</v>
      </c>
      <c r="C32" s="141">
        <f t="shared" ref="C32:C42" si="20">B32*((G3-B3)/(G3-H3))+0.0001</f>
        <v>2.8411930391297462E-2</v>
      </c>
      <c r="D32" s="125">
        <f t="shared" ref="D32:D42" si="21">B32*((G3-C3)/(G3-H3))+0.0001</f>
        <v>0.13882845891735759</v>
      </c>
      <c r="E32" s="125">
        <f t="shared" ref="E32:E42" si="22">B32*((G3-D3)/(G3-H3))+0.0001</f>
        <v>1E-4</v>
      </c>
      <c r="F32" s="125">
        <f t="shared" ref="F32:F42" si="23">B32*((G3-E3)/(G3-H3))+0.0001</f>
        <v>0.13599726587822786</v>
      </c>
      <c r="G32" s="125">
        <f t="shared" ref="G32:G42" si="24">B32*((G3-F3)/(G3-H3))+0.0001</f>
        <v>0.13316607283909809</v>
      </c>
      <c r="J32" s="84" t="s">
        <v>5</v>
      </c>
      <c r="O32" s="85" t="s">
        <v>129</v>
      </c>
      <c r="P32" s="9" t="s">
        <v>205</v>
      </c>
      <c r="Q32" s="9" t="s">
        <v>206</v>
      </c>
      <c r="R32" s="9" t="s">
        <v>207</v>
      </c>
      <c r="S32" s="9" t="s">
        <v>208</v>
      </c>
      <c r="T32" s="9" t="s">
        <v>209</v>
      </c>
    </row>
    <row r="33" spans="1:22">
      <c r="A33" s="34" t="s">
        <v>271</v>
      </c>
      <c r="B33" s="125">
        <v>8.3746172057538065E-2</v>
      </c>
      <c r="C33" s="141">
        <f t="shared" si="20"/>
        <v>1.6383977900076833E-2</v>
      </c>
      <c r="D33" s="125">
        <f t="shared" si="21"/>
        <v>8.1519889500384232E-2</v>
      </c>
      <c r="E33" s="125">
        <f t="shared" si="22"/>
        <v>2.426282557153824E-3</v>
      </c>
      <c r="F33" s="125">
        <f t="shared" si="23"/>
        <v>1E-4</v>
      </c>
      <c r="G33" s="125">
        <f t="shared" si="24"/>
        <v>8.3846172057538068E-2</v>
      </c>
      <c r="J33" s="157" t="s">
        <v>19</v>
      </c>
      <c r="K33" s="159">
        <v>0.25</v>
      </c>
      <c r="O33" s="43" t="s">
        <v>11</v>
      </c>
      <c r="P33" s="11">
        <f>SUM(C31:C42)</f>
        <v>0.42942553408942624</v>
      </c>
      <c r="Q33" s="11">
        <f>SUM(D31:D42)</f>
        <v>0.70746576200570332</v>
      </c>
      <c r="R33" s="11">
        <f t="shared" ref="R33:T33" si="25">SUM(E31:E42)</f>
        <v>0.14270355652653482</v>
      </c>
      <c r="S33" s="11">
        <f t="shared" si="25"/>
        <v>0.65538772678266222</v>
      </c>
      <c r="T33" s="11">
        <f t="shared" si="25"/>
        <v>0.85754320684073027</v>
      </c>
    </row>
    <row r="34" spans="1:22">
      <c r="A34" s="36" t="s">
        <v>272</v>
      </c>
      <c r="B34" s="141">
        <v>5.9421879421809626E-2</v>
      </c>
      <c r="C34" s="141">
        <f>B34*((G5-B5)/(G5-H5))+0.0001</f>
        <v>3.6720029805772332E-2</v>
      </c>
      <c r="D34" s="125">
        <f t="shared" si="21"/>
        <v>5.9521879421809629E-2</v>
      </c>
      <c r="E34" s="125">
        <f t="shared" si="22"/>
        <v>4.2221369640023404E-2</v>
      </c>
      <c r="F34" s="125">
        <f t="shared" si="23"/>
        <v>1E-4</v>
      </c>
      <c r="G34" s="125">
        <f t="shared" si="24"/>
        <v>1.6566973443263324E-2</v>
      </c>
      <c r="J34" s="144" t="s">
        <v>110</v>
      </c>
      <c r="K34" s="160">
        <f>M26-K26</f>
        <v>2.1924265581495239E-2</v>
      </c>
      <c r="O34" s="43" t="s">
        <v>12</v>
      </c>
      <c r="P34" s="11">
        <f>MAX(C31:C42)</f>
        <v>8.6349851416378992E-2</v>
      </c>
      <c r="Q34" s="11">
        <f t="shared" ref="Q34:T34" si="26">MAX(D31:D42)</f>
        <v>0.13882845891735759</v>
      </c>
      <c r="R34" s="11">
        <f t="shared" si="26"/>
        <v>8.3218435312720496E-2</v>
      </c>
      <c r="S34" s="11">
        <f t="shared" si="26"/>
        <v>0.13599726587822786</v>
      </c>
      <c r="T34" s="11">
        <f t="shared" si="26"/>
        <v>0.13316607283909809</v>
      </c>
    </row>
    <row r="35" spans="1:22">
      <c r="A35" s="36" t="s">
        <v>273</v>
      </c>
      <c r="B35" s="141">
        <v>9.3325962456387926E-2</v>
      </c>
      <c r="C35" s="141">
        <f t="shared" si="20"/>
        <v>3.5097235921145477E-2</v>
      </c>
      <c r="D35" s="125">
        <f t="shared" si="21"/>
        <v>1E-4</v>
      </c>
      <c r="E35" s="125">
        <f t="shared" si="22"/>
        <v>8.3218435312720496E-2</v>
      </c>
      <c r="F35" s="125">
        <f t="shared" si="23"/>
        <v>7.7385562659196258E-2</v>
      </c>
      <c r="G35" s="125">
        <f t="shared" si="24"/>
        <v>9.3425962456387929E-2</v>
      </c>
      <c r="J35" s="144" t="s">
        <v>26</v>
      </c>
      <c r="K35" s="160" t="s">
        <v>113</v>
      </c>
      <c r="O35" s="12" t="s">
        <v>13</v>
      </c>
      <c r="P35" s="11">
        <f>$K$13*((P33-$P$36)/($P$38-$P$36))+(1-$K$13)*((P34-$P$37)/($P$39-$P$37))+0.0001</f>
        <v>0.22880499671930496</v>
      </c>
      <c r="Q35" s="11">
        <f>$K$13*((Q33-$P$36)/($P$38-$P$36))+(1-$K$13)*((Q34-$P$37)/($P$39-$P$37))+0.0001</f>
        <v>0.89512719612079228</v>
      </c>
      <c r="R35" s="11">
        <f t="shared" ref="R35:T35" si="27">$K$13*((R33-$P$36)/($P$38-$P$36))+(1-$K$13)*((R34-$P$37)/($P$39-$P$37))+0.0001</f>
        <v>1E-4</v>
      </c>
      <c r="S35" s="11">
        <f t="shared" si="27"/>
        <v>0.83324504062709182</v>
      </c>
      <c r="T35" s="11">
        <f t="shared" si="27"/>
        <v>0.94918844025569393</v>
      </c>
    </row>
    <row r="36" spans="1:22">
      <c r="A36" s="37" t="s">
        <v>274</v>
      </c>
      <c r="B36" s="141">
        <v>7.8352192336344814E-2</v>
      </c>
      <c r="C36" s="141">
        <f t="shared" si="20"/>
        <v>3.5188155698450067E-2</v>
      </c>
      <c r="D36" s="125">
        <f t="shared" si="21"/>
        <v>5.7842159134828028E-2</v>
      </c>
      <c r="E36" s="125">
        <f t="shared" si="22"/>
        <v>1E-4</v>
      </c>
      <c r="F36" s="125">
        <f t="shared" si="23"/>
        <v>7.8452192336344817E-2</v>
      </c>
      <c r="G36" s="125">
        <f t="shared" si="24"/>
        <v>6.6358701780082907E-2</v>
      </c>
      <c r="J36" s="144" t="s">
        <v>30</v>
      </c>
      <c r="K36" s="160" t="s">
        <v>27</v>
      </c>
      <c r="O36" s="43" t="s">
        <v>14</v>
      </c>
      <c r="P36" s="11">
        <f>MIN(P33:T33)</f>
        <v>0.14270355652653482</v>
      </c>
      <c r="Q36" s="2"/>
      <c r="R36" s="2"/>
      <c r="S36" s="2"/>
      <c r="T36" s="2"/>
    </row>
    <row r="37" spans="1:22">
      <c r="A37" s="38" t="s">
        <v>275</v>
      </c>
      <c r="B37" s="141">
        <v>4.6323927858436344E-2</v>
      </c>
      <c r="C37" s="141">
        <f t="shared" si="20"/>
        <v>1E-4</v>
      </c>
      <c r="D37" s="125">
        <f t="shared" si="21"/>
        <v>1E-4</v>
      </c>
      <c r="E37" s="125">
        <f t="shared" si="22"/>
        <v>1E-4</v>
      </c>
      <c r="F37" s="125">
        <f t="shared" si="23"/>
        <v>2.3963841624042963E-2</v>
      </c>
      <c r="G37" s="125">
        <f t="shared" si="24"/>
        <v>4.6423927858436347E-2</v>
      </c>
      <c r="J37" s="158" t="s">
        <v>32</v>
      </c>
      <c r="K37" s="161">
        <f>L26-K26</f>
        <v>0.70838915927212387</v>
      </c>
      <c r="O37" s="43" t="s">
        <v>15</v>
      </c>
      <c r="P37" s="11">
        <f>MIN(P34:T34)</f>
        <v>8.3218435312720496E-2</v>
      </c>
      <c r="Q37" s="2"/>
      <c r="R37" s="1">
        <v>1</v>
      </c>
      <c r="S37" s="1">
        <v>2</v>
      </c>
      <c r="T37" s="1">
        <v>3</v>
      </c>
      <c r="U37" s="1">
        <v>4</v>
      </c>
      <c r="V37" s="1">
        <v>5</v>
      </c>
    </row>
    <row r="38" spans="1:22">
      <c r="A38" s="38" t="s">
        <v>148</v>
      </c>
      <c r="B38" s="141">
        <v>5.1081675947059493E-2</v>
      </c>
      <c r="C38" s="141">
        <f t="shared" si="20"/>
        <v>1E-4</v>
      </c>
      <c r="D38" s="125">
        <f t="shared" si="21"/>
        <v>1E-4</v>
      </c>
      <c r="E38" s="125">
        <f t="shared" si="22"/>
        <v>9.3114497609451535E-3</v>
      </c>
      <c r="F38" s="125">
        <f t="shared" si="23"/>
        <v>3.303791126640996E-2</v>
      </c>
      <c r="G38" s="125">
        <f t="shared" si="24"/>
        <v>5.1181675947059496E-2</v>
      </c>
      <c r="O38" s="43" t="s">
        <v>16</v>
      </c>
      <c r="P38" s="11">
        <f>MAX(P33:T33)</f>
        <v>0.85754320684073027</v>
      </c>
      <c r="Q38" s="2"/>
      <c r="R38" s="99" t="s">
        <v>207</v>
      </c>
      <c r="S38" s="99" t="s">
        <v>205</v>
      </c>
      <c r="T38" s="99" t="s">
        <v>206</v>
      </c>
      <c r="U38" s="99" t="s">
        <v>208</v>
      </c>
      <c r="V38" s="99" t="s">
        <v>209</v>
      </c>
    </row>
    <row r="39" spans="1:22">
      <c r="A39" s="38" t="s">
        <v>149</v>
      </c>
      <c r="B39" s="141">
        <v>9.6892895188036732E-2</v>
      </c>
      <c r="C39" s="141">
        <f t="shared" si="20"/>
        <v>2.5066267471764055E-2</v>
      </c>
      <c r="D39" s="125">
        <f t="shared" si="21"/>
        <v>4.646592530470469E-2</v>
      </c>
      <c r="E39" s="125">
        <f t="shared" si="22"/>
        <v>1E-4</v>
      </c>
      <c r="F39" s="125">
        <f t="shared" si="23"/>
        <v>9.6992895188036735E-2</v>
      </c>
      <c r="G39" s="125">
        <f t="shared" si="24"/>
        <v>9.6992895188036735E-2</v>
      </c>
      <c r="O39" s="43" t="s">
        <v>17</v>
      </c>
      <c r="P39" s="11">
        <f>MAX(P34:T34)</f>
        <v>0.13882845891735759</v>
      </c>
      <c r="Q39" s="2"/>
      <c r="R39" s="2"/>
      <c r="S39" s="2"/>
      <c r="T39" s="2"/>
    </row>
    <row r="40" spans="1:22">
      <c r="A40" s="39" t="s">
        <v>277</v>
      </c>
      <c r="B40" s="141">
        <v>8.2008098055530804E-2</v>
      </c>
      <c r="C40" s="141">
        <f t="shared" si="20"/>
        <v>6.4869158524338152E-2</v>
      </c>
      <c r="D40" s="125">
        <f t="shared" si="21"/>
        <v>8.2108098055530807E-2</v>
      </c>
      <c r="E40" s="125">
        <f t="shared" si="22"/>
        <v>1E-4</v>
      </c>
      <c r="F40" s="125">
        <f t="shared" si="23"/>
        <v>6.7331864171651393E-2</v>
      </c>
      <c r="G40" s="125">
        <f t="shared" si="24"/>
        <v>4.6645136734220188E-2</v>
      </c>
      <c r="S40" s="157" t="s">
        <v>110</v>
      </c>
      <c r="T40" s="159">
        <f>P35-R35</f>
        <v>0.22870499671930497</v>
      </c>
    </row>
    <row r="41" spans="1:22">
      <c r="A41" s="40" t="s">
        <v>279</v>
      </c>
      <c r="B41" s="141">
        <v>0.1044627082947613</v>
      </c>
      <c r="C41" s="141">
        <f t="shared" si="20"/>
        <v>5.707965906986983E-2</v>
      </c>
      <c r="D41" s="125">
        <f t="shared" si="21"/>
        <v>0.1045627082947613</v>
      </c>
      <c r="E41" s="125">
        <f t="shared" si="22"/>
        <v>1E-4</v>
      </c>
      <c r="F41" s="125">
        <f t="shared" si="23"/>
        <v>0.1045627082947613</v>
      </c>
      <c r="G41" s="125">
        <f t="shared" si="24"/>
        <v>5.707965906986983E-2</v>
      </c>
      <c r="S41" s="144" t="s">
        <v>26</v>
      </c>
      <c r="T41" s="160" t="s">
        <v>113</v>
      </c>
    </row>
    <row r="42" spans="1:22">
      <c r="A42" s="40" t="s">
        <v>280</v>
      </c>
      <c r="B42" s="141">
        <v>6.4046615469359414E-2</v>
      </c>
      <c r="C42" s="141">
        <f t="shared" si="20"/>
        <v>4.4059267890333056E-2</v>
      </c>
      <c r="D42" s="125">
        <f t="shared" si="21"/>
        <v>4.4059267890333056E-2</v>
      </c>
      <c r="E42" s="125">
        <f t="shared" si="22"/>
        <v>1E-4</v>
      </c>
      <c r="F42" s="125">
        <f t="shared" si="23"/>
        <v>3.736348536399093E-2</v>
      </c>
      <c r="G42" s="125">
        <f t="shared" si="24"/>
        <v>6.4146615469359416E-2</v>
      </c>
      <c r="S42" s="144" t="s">
        <v>30</v>
      </c>
      <c r="T42" s="160" t="s">
        <v>27</v>
      </c>
    </row>
    <row r="43" spans="1:22">
      <c r="S43" s="158" t="s">
        <v>32</v>
      </c>
      <c r="T43" s="161">
        <f>S35-R35</f>
        <v>0.83314504062709183</v>
      </c>
    </row>
    <row r="44" spans="1:22">
      <c r="B44" s="162" t="s">
        <v>283</v>
      </c>
      <c r="C44" s="163" t="s">
        <v>205</v>
      </c>
      <c r="D44" s="162" t="s">
        <v>206</v>
      </c>
      <c r="E44" s="162" t="s">
        <v>207</v>
      </c>
      <c r="F44" s="164" t="s">
        <v>208</v>
      </c>
      <c r="G44" s="162" t="s">
        <v>209</v>
      </c>
      <c r="K44">
        <v>2</v>
      </c>
      <c r="L44">
        <v>5</v>
      </c>
      <c r="M44">
        <v>1</v>
      </c>
      <c r="N44">
        <v>3</v>
      </c>
      <c r="O44">
        <v>4</v>
      </c>
    </row>
    <row r="45" spans="1:22">
      <c r="A45" s="48" t="s">
        <v>269</v>
      </c>
      <c r="B45" s="125">
        <f>$J$16*B17</f>
        <v>4.5488173763450948E-2</v>
      </c>
      <c r="C45" s="141">
        <f>B45*((G2-B2)/(G2-H2))+0.0001</f>
        <v>3.8712054473626967E-2</v>
      </c>
      <c r="D45" s="141">
        <f>B45*((G2-C2)/(G2-H2))+0.0001</f>
        <v>4.1356715738943887E-2</v>
      </c>
      <c r="E45" s="141">
        <f>B45*((G2-D2)/(G2-H2))+0.0001</f>
        <v>2.2157290122535324E-3</v>
      </c>
      <c r="F45" s="141">
        <f>B45*((G2-E2)/(G2-H2))+0.0001</f>
        <v>1E-4</v>
      </c>
      <c r="G45" s="141">
        <f>B45*((G2-F2)/(G2-H2))+0.0001</f>
        <v>4.5588173763450951E-2</v>
      </c>
      <c r="J45" s="84" t="s">
        <v>283</v>
      </c>
      <c r="K45" s="9" t="s">
        <v>205</v>
      </c>
      <c r="L45" s="9" t="s">
        <v>206</v>
      </c>
      <c r="M45" s="9" t="s">
        <v>207</v>
      </c>
      <c r="N45" s="12" t="s">
        <v>208</v>
      </c>
      <c r="O45" s="9" t="s">
        <v>209</v>
      </c>
    </row>
    <row r="46" spans="1:22">
      <c r="A46" s="47" t="s">
        <v>270</v>
      </c>
      <c r="B46" s="125">
        <f t="shared" ref="B46:B47" si="28">$J$16*B18</f>
        <v>2.7027531603158302E-2</v>
      </c>
      <c r="C46" s="141">
        <f>B46*((G3-B3)/(G3-H3))+0.0001</f>
        <v>5.6158227761547545E-3</v>
      </c>
      <c r="D46" s="141">
        <f>B46*((G3-C3)/(G3-H3))+0.0001</f>
        <v>2.7127531603158301E-2</v>
      </c>
      <c r="E46" s="141">
        <f t="shared" ref="E46:E56" si="29">B46*((G3-D3)/(G3-H3))+0.0001</f>
        <v>1E-4</v>
      </c>
      <c r="F46" s="141">
        <f t="shared" ref="F46:F56" si="30">B46*((G3-E3)/(G3-H3))+0.0001</f>
        <v>2.6575949325542823E-2</v>
      </c>
      <c r="G46" s="141">
        <f t="shared" ref="G46:G56" si="31">B46*((G3-F3)/(G3-H3))+0.0001</f>
        <v>2.6024367047927349E-2</v>
      </c>
      <c r="J46" s="43" t="s">
        <v>11</v>
      </c>
      <c r="K46" s="125">
        <f>SUM(C45:C56)</f>
        <v>0.39941581313621594</v>
      </c>
      <c r="L46" s="125">
        <f>SUM(D45:D56)</f>
        <v>0.5868294685967369</v>
      </c>
      <c r="M46" s="125">
        <f t="shared" ref="M46:N46" si="32">SUM(E45:E56)</f>
        <v>0.22854404851387855</v>
      </c>
      <c r="N46" s="125">
        <f t="shared" si="32"/>
        <v>0.58854135103330851</v>
      </c>
      <c r="O46" s="125">
        <f>SUM(G45:G56)</f>
        <v>0.79432710160053133</v>
      </c>
    </row>
    <row r="47" spans="1:22">
      <c r="A47" s="48" t="s">
        <v>271</v>
      </c>
      <c r="B47" s="125">
        <f t="shared" si="28"/>
        <v>4.9868174854104753E-2</v>
      </c>
      <c r="C47" s="141">
        <f t="shared" ref="C47:C48" si="33">B47*((G4-B4)/(G4-H4))+0.0001</f>
        <v>9.7965895549648064E-3</v>
      </c>
      <c r="D47" s="141">
        <f t="shared" ref="D47:D56" si="34">B47*((G4-C4)/(G4-H4))+0.0001</f>
        <v>4.8582947774824067E-2</v>
      </c>
      <c r="E47" s="141">
        <f t="shared" si="29"/>
        <v>1.4852270792806812E-3</v>
      </c>
      <c r="F47" s="141">
        <f t="shared" si="30"/>
        <v>1E-4</v>
      </c>
      <c r="G47" s="141">
        <f t="shared" si="31"/>
        <v>4.9968174854104756E-2</v>
      </c>
      <c r="J47" s="43" t="s">
        <v>12</v>
      </c>
      <c r="K47" s="125">
        <f>MAX(C45:C56)</f>
        <v>0.10365029015080546</v>
      </c>
      <c r="L47" s="166">
        <f t="shared" ref="L47:N47" si="35">MAX(D45:D56)</f>
        <v>0.16812697562153964</v>
      </c>
      <c r="M47" s="166">
        <f t="shared" si="35"/>
        <v>0.11920640354220111</v>
      </c>
      <c r="N47" s="166">
        <f t="shared" si="35"/>
        <v>0.13421340875155019</v>
      </c>
      <c r="O47" s="166">
        <f>MAX(G45:G56)</f>
        <v>0.14198370585022851</v>
      </c>
    </row>
    <row r="48" spans="1:22">
      <c r="A48" s="49" t="s">
        <v>272</v>
      </c>
      <c r="B48" s="125">
        <f>$J$17*B20</f>
        <v>0.16802697562153965</v>
      </c>
      <c r="C48" s="141">
        <f t="shared" si="33"/>
        <v>0.10365029015080546</v>
      </c>
      <c r="D48" s="141">
        <f t="shared" si="34"/>
        <v>0.16812697562153964</v>
      </c>
      <c r="E48" s="141">
        <f t="shared" si="29"/>
        <v>0.11920640354220111</v>
      </c>
      <c r="F48" s="141">
        <f t="shared" si="30"/>
        <v>1E-4</v>
      </c>
      <c r="G48" s="141">
        <f t="shared" si="31"/>
        <v>4.6663585201854346E-2</v>
      </c>
      <c r="J48" s="43" t="s">
        <v>13</v>
      </c>
      <c r="K48" s="167">
        <f>$K$13*((K46-$K$49)/($K$51-$K$49))+(1-$K$13)*((K47-$K$50)/($K$52-$K$50))+0.0001</f>
        <v>0.15110466838847453</v>
      </c>
      <c r="L48" s="125">
        <f>$K$13*((L46-$K$49)/($K$51-$K$49))+(1-$K$13)*((L47-$K$50)/($K$52-$K$50))+0.0001</f>
        <v>0.81672791782841281</v>
      </c>
      <c r="M48" s="125">
        <f t="shared" ref="M48:N48" si="36">$K$13*((M46-$K$49)/($K$51-$K$49))+(1-$K$13)*((M47-$K$50)/($K$52-$K$50))+0.0001</f>
        <v>0.12073363119415105</v>
      </c>
      <c r="N48" s="125">
        <f t="shared" si="36"/>
        <v>0.55524983196009103</v>
      </c>
      <c r="O48" s="125">
        <f>$K$13*((O46-$K$49)/($K$51-$K$49))+(1-$K$13)*((O47-$K$50)/($K$52-$K$50))+0.0001</f>
        <v>0.79736571255607203</v>
      </c>
    </row>
    <row r="49" spans="1:17">
      <c r="A49" s="49" t="s">
        <v>273</v>
      </c>
      <c r="B49" s="125">
        <f>$J$17*B21</f>
        <v>0.10019984188156116</v>
      </c>
      <c r="C49" s="141">
        <f>B49*((G6-B6)/(G6-H6))+0.0001</f>
        <v>3.7674940705585434E-2</v>
      </c>
      <c r="D49" s="141">
        <f t="shared" si="34"/>
        <v>1E-4</v>
      </c>
      <c r="E49" s="141">
        <f t="shared" si="29"/>
        <v>8.93404841757654E-2</v>
      </c>
      <c r="F49" s="141">
        <f t="shared" si="30"/>
        <v>8.3077994058167848E-2</v>
      </c>
      <c r="G49" s="141">
        <f t="shared" si="31"/>
        <v>0.10029984188156116</v>
      </c>
      <c r="J49" s="43" t="s">
        <v>14</v>
      </c>
      <c r="K49" s="125">
        <f>MIN(K46:O46)</f>
        <v>0.22854404851387855</v>
      </c>
    </row>
    <row r="50" spans="1:17">
      <c r="A50" s="50" t="s">
        <v>274</v>
      </c>
      <c r="B50" s="125">
        <f t="shared" ref="B50" si="37">$J$17*B22</f>
        <v>0.1341134087515502</v>
      </c>
      <c r="C50" s="141">
        <f>B50*((G7-B7)/(G7-H7))+0.0001</f>
        <v>6.0159483049607262E-2</v>
      </c>
      <c r="D50" s="141">
        <f t="shared" si="34"/>
        <v>9.8935751232120686E-2</v>
      </c>
      <c r="E50" s="141">
        <f t="shared" si="29"/>
        <v>1E-4</v>
      </c>
      <c r="F50" s="141">
        <f t="shared" si="30"/>
        <v>0.13421340875155019</v>
      </c>
      <c r="G50" s="141">
        <f t="shared" si="31"/>
        <v>0.11351329566163702</v>
      </c>
      <c r="J50" s="43" t="s">
        <v>15</v>
      </c>
      <c r="K50" s="125">
        <f>MIN(K47:O47)</f>
        <v>0.10365029015080546</v>
      </c>
    </row>
    <row r="51" spans="1:17">
      <c r="A51" s="51" t="s">
        <v>275</v>
      </c>
      <c r="B51" s="125">
        <f>$J$18*B23</f>
        <v>0.14188370585022853</v>
      </c>
      <c r="C51" s="141">
        <f>B51*((G8-B8)/(G8-H8))+0.0001</f>
        <v>1E-4</v>
      </c>
      <c r="D51" s="141">
        <f t="shared" si="34"/>
        <v>1E-4</v>
      </c>
      <c r="E51" s="141">
        <f t="shared" si="29"/>
        <v>1E-4</v>
      </c>
      <c r="F51" s="141">
        <f t="shared" si="30"/>
        <v>7.3191606044057125E-2</v>
      </c>
      <c r="G51" s="141">
        <f t="shared" si="31"/>
        <v>0.14198370585022851</v>
      </c>
      <c r="J51" s="43" t="s">
        <v>16</v>
      </c>
      <c r="K51" s="125">
        <f>MAX(K46:O46)</f>
        <v>0.79432710160053133</v>
      </c>
      <c r="M51" s="1">
        <v>1</v>
      </c>
      <c r="N51" s="1">
        <v>2</v>
      </c>
      <c r="O51" s="1">
        <v>3</v>
      </c>
      <c r="P51" s="1">
        <v>4</v>
      </c>
      <c r="Q51" s="1">
        <v>5</v>
      </c>
    </row>
    <row r="52" spans="1:17">
      <c r="A52" s="51" t="s">
        <v>148</v>
      </c>
      <c r="B52" s="125">
        <f t="shared" ref="B52:B53" si="38">$J$18*B24</f>
        <v>8.5933498815186513E-2</v>
      </c>
      <c r="C52" s="141">
        <f>B52*((G9-B9)/(G9-H9))+0.0001</f>
        <v>1E-4</v>
      </c>
      <c r="D52" s="141">
        <f t="shared" si="34"/>
        <v>1E-4</v>
      </c>
      <c r="E52" s="141">
        <f t="shared" si="29"/>
        <v>1.5596204704377895E-2</v>
      </c>
      <c r="F52" s="141">
        <f t="shared" si="30"/>
        <v>5.5510671367169459E-2</v>
      </c>
      <c r="G52" s="141">
        <f t="shared" si="31"/>
        <v>8.6033498815186515E-2</v>
      </c>
      <c r="J52" s="43" t="s">
        <v>17</v>
      </c>
      <c r="K52" s="125">
        <f>MAX(K47:O47)</f>
        <v>0.16812697562153964</v>
      </c>
      <c r="M52" s="99" t="s">
        <v>207</v>
      </c>
      <c r="N52" s="99" t="s">
        <v>205</v>
      </c>
      <c r="O52" s="99" t="s">
        <v>208</v>
      </c>
      <c r="P52" s="99" t="s">
        <v>209</v>
      </c>
      <c r="Q52" s="99" t="s">
        <v>206</v>
      </c>
    </row>
    <row r="53" spans="1:17">
      <c r="A53" s="51" t="s">
        <v>149</v>
      </c>
      <c r="B53" s="125">
        <f t="shared" si="38"/>
        <v>6.2624078613161965E-2</v>
      </c>
      <c r="C53" s="141">
        <f>B53*((G10-B10)/(G10-H10))+0.0001</f>
        <v>1.6236265654925162E-2</v>
      </c>
      <c r="D53" s="141">
        <f t="shared" si="34"/>
        <v>3.0067350502003883E-2</v>
      </c>
      <c r="E53" s="141">
        <f t="shared" si="29"/>
        <v>1E-4</v>
      </c>
      <c r="F53" s="141">
        <f t="shared" si="30"/>
        <v>6.2724078613161968E-2</v>
      </c>
      <c r="G53" s="141">
        <f t="shared" si="31"/>
        <v>6.2724078613161968E-2</v>
      </c>
    </row>
    <row r="54" spans="1:17">
      <c r="A54" s="52" t="s">
        <v>277</v>
      </c>
      <c r="B54" s="125">
        <f>$J$19*B26</f>
        <v>8.3899804414671139E-2</v>
      </c>
      <c r="C54" s="141">
        <f t="shared" ref="C54:C56" si="39">B54*((G11-B11)/(G11-H11))+0.0001</f>
        <v>6.6363208892067607E-2</v>
      </c>
      <c r="D54" s="141">
        <f t="shared" si="34"/>
        <v>8.3999804414671142E-2</v>
      </c>
      <c r="E54" s="141">
        <f t="shared" si="29"/>
        <v>1E-4</v>
      </c>
      <c r="F54" s="141">
        <f t="shared" si="30"/>
        <v>6.8882722538153821E-2</v>
      </c>
      <c r="G54" s="141">
        <f t="shared" si="31"/>
        <v>4.7718807911029566E-2</v>
      </c>
      <c r="J54" s="84" t="s">
        <v>283</v>
      </c>
    </row>
    <row r="55" spans="1:17">
      <c r="A55" s="53" t="s">
        <v>279</v>
      </c>
      <c r="B55" s="125">
        <f t="shared" ref="B55:B56" si="40">$J$19*B27</f>
        <v>6.0115514428193184E-2</v>
      </c>
      <c r="C55" s="141">
        <f t="shared" si="39"/>
        <v>3.28902805971963E-2</v>
      </c>
      <c r="D55" s="141">
        <f t="shared" si="34"/>
        <v>6.0215514428193187E-2</v>
      </c>
      <c r="E55" s="141">
        <f t="shared" si="29"/>
        <v>1E-4</v>
      </c>
      <c r="F55" s="141">
        <f t="shared" si="30"/>
        <v>6.0215514428193187E-2</v>
      </c>
      <c r="G55" s="141">
        <f t="shared" si="31"/>
        <v>3.28902805971963E-2</v>
      </c>
      <c r="J55" s="157" t="s">
        <v>19</v>
      </c>
      <c r="K55" s="159">
        <f>1/(5-1)</f>
        <v>0.25</v>
      </c>
    </row>
    <row r="56" spans="1:17">
      <c r="A56" s="53" t="s">
        <v>280</v>
      </c>
      <c r="B56" s="125">
        <f t="shared" si="40"/>
        <v>4.0819291403192667E-2</v>
      </c>
      <c r="C56" s="141">
        <f t="shared" si="39"/>
        <v>2.8116877281282239E-2</v>
      </c>
      <c r="D56" s="141">
        <f t="shared" si="34"/>
        <v>2.8116877281282239E-2</v>
      </c>
      <c r="E56" s="141">
        <f t="shared" si="29"/>
        <v>1E-4</v>
      </c>
      <c r="F56" s="141">
        <f t="shared" si="30"/>
        <v>2.3849405907312094E-2</v>
      </c>
      <c r="G56" s="141">
        <f t="shared" si="31"/>
        <v>4.091929140319267E-2</v>
      </c>
      <c r="J56" s="144" t="s">
        <v>110</v>
      </c>
      <c r="K56" s="160">
        <f>K48-M48</f>
        <v>3.0371037194323477E-2</v>
      </c>
    </row>
    <row r="57" spans="1:17">
      <c r="J57" s="144" t="s">
        <v>26</v>
      </c>
      <c r="K57" s="160" t="s">
        <v>113</v>
      </c>
    </row>
    <row r="58" spans="1:17">
      <c r="J58" s="144" t="s">
        <v>30</v>
      </c>
      <c r="K58" s="160" t="s">
        <v>27</v>
      </c>
    </row>
    <row r="59" spans="1:17">
      <c r="J59" s="158" t="s">
        <v>32</v>
      </c>
      <c r="K59" s="161">
        <f>N48-M48</f>
        <v>0.43451620076594</v>
      </c>
    </row>
    <row r="61" spans="1:17">
      <c r="B61" s="1"/>
    </row>
    <row r="62" spans="1:17">
      <c r="A62" s="410" t="s">
        <v>241</v>
      </c>
      <c r="B62" s="83"/>
      <c r="C62" s="57">
        <v>0</v>
      </c>
      <c r="D62" s="9">
        <v>0.1</v>
      </c>
      <c r="E62" s="9">
        <v>0.2</v>
      </c>
      <c r="F62" s="9">
        <v>0.3</v>
      </c>
      <c r="G62" s="9">
        <v>0.4</v>
      </c>
      <c r="H62" s="9">
        <v>0.5</v>
      </c>
      <c r="I62" s="9">
        <v>0.6</v>
      </c>
      <c r="J62" s="9">
        <v>0.7</v>
      </c>
      <c r="K62" s="9">
        <v>0.8</v>
      </c>
      <c r="L62" s="9">
        <v>0.9</v>
      </c>
    </row>
    <row r="63" spans="1:17">
      <c r="A63" s="407"/>
      <c r="B63" s="76" t="s">
        <v>267</v>
      </c>
      <c r="C63" s="136">
        <v>0.25675447661202494</v>
      </c>
      <c r="D63" s="136">
        <v>0.2513797663393908</v>
      </c>
      <c r="E63" s="136">
        <v>0.47804938197167202</v>
      </c>
      <c r="F63" s="136">
        <v>0.59017372473619412</v>
      </c>
      <c r="G63" s="136">
        <v>0.62267522355633897</v>
      </c>
      <c r="H63" s="136">
        <v>0.638357118293301</v>
      </c>
      <c r="I63" s="136">
        <v>0.64751462491396949</v>
      </c>
      <c r="J63" s="136">
        <v>0.65347803726210418</v>
      </c>
      <c r="K63" s="136">
        <v>0.65764703209867825</v>
      </c>
      <c r="L63" s="125">
        <v>0.66071106044612238</v>
      </c>
    </row>
    <row r="64" spans="1:17">
      <c r="A64" s="407"/>
      <c r="B64" s="72" t="s">
        <v>268</v>
      </c>
      <c r="C64" s="136">
        <v>0.96514363588414886</v>
      </c>
      <c r="D64" s="136">
        <v>0.94777811953225521</v>
      </c>
      <c r="E64" s="136">
        <v>0.98373839665815144</v>
      </c>
      <c r="F64" s="136">
        <v>1.0001</v>
      </c>
      <c r="G64" s="136">
        <v>1.0001</v>
      </c>
      <c r="H64" s="136">
        <v>1.0001</v>
      </c>
      <c r="I64" s="136">
        <v>1.0001</v>
      </c>
      <c r="J64" s="136">
        <v>1.0001</v>
      </c>
      <c r="K64" s="136">
        <v>1.0001</v>
      </c>
      <c r="L64" s="125">
        <v>1.0001</v>
      </c>
    </row>
    <row r="65" spans="1:12">
      <c r="A65" s="407"/>
      <c r="B65" s="77" t="s">
        <v>207</v>
      </c>
      <c r="C65" s="136">
        <v>0.27867874219352018</v>
      </c>
      <c r="D65" s="136">
        <v>0.16868176252046232</v>
      </c>
      <c r="E65" s="136">
        <v>1E-4</v>
      </c>
      <c r="F65" s="136">
        <v>1E-4</v>
      </c>
      <c r="G65" s="136">
        <v>1E-4</v>
      </c>
      <c r="H65" s="136">
        <v>1E-4</v>
      </c>
      <c r="I65" s="136">
        <v>1E-4</v>
      </c>
      <c r="J65" s="136">
        <v>1E-4</v>
      </c>
      <c r="K65" s="136">
        <v>1E-4</v>
      </c>
      <c r="L65" s="125">
        <v>1E-4</v>
      </c>
    </row>
    <row r="66" spans="1:12">
      <c r="A66" s="407"/>
      <c r="B66" s="77" t="s">
        <v>208</v>
      </c>
      <c r="C66" s="136">
        <v>0.9837432766726355</v>
      </c>
      <c r="D66" s="136">
        <v>0.94073643764897952</v>
      </c>
      <c r="E66" s="136">
        <v>0.91390939580353447</v>
      </c>
      <c r="F66" s="136">
        <v>0.80828046454280777</v>
      </c>
      <c r="G66" s="136">
        <v>0.81252889698680208</v>
      </c>
      <c r="H66" s="136">
        <v>0.81008901008560952</v>
      </c>
      <c r="I66" s="136">
        <v>0.80588274467401133</v>
      </c>
      <c r="J66" s="136">
        <v>0.80127005186879585</v>
      </c>
      <c r="K66" s="136">
        <v>0.79670647532697658</v>
      </c>
      <c r="L66" s="125">
        <v>0.79235256583304481</v>
      </c>
    </row>
    <row r="67" spans="1:12">
      <c r="A67" s="407"/>
      <c r="B67" s="77" t="s">
        <v>209</v>
      </c>
      <c r="C67" s="136">
        <v>0.9837432766726355</v>
      </c>
      <c r="D67" s="136">
        <v>0.94073643764897952</v>
      </c>
      <c r="E67" s="136">
        <v>0.91390939580353447</v>
      </c>
      <c r="F67" s="136">
        <v>0.80828046454280777</v>
      </c>
      <c r="G67" s="136">
        <v>0.81252889698680208</v>
      </c>
      <c r="H67" s="136">
        <v>0.81008901008560952</v>
      </c>
      <c r="I67" s="136">
        <v>0.80588274467401133</v>
      </c>
      <c r="J67" s="136">
        <v>0.80127005186879585</v>
      </c>
      <c r="K67" s="136">
        <v>0.79670647532697658</v>
      </c>
      <c r="L67" s="125">
        <v>0.79235256583304481</v>
      </c>
    </row>
    <row r="69" spans="1:12">
      <c r="A69" s="406" t="s">
        <v>242</v>
      </c>
      <c r="B69" s="78"/>
      <c r="C69" s="33">
        <v>0</v>
      </c>
      <c r="D69" s="9">
        <v>0.1</v>
      </c>
      <c r="E69" s="9">
        <v>0.2</v>
      </c>
      <c r="F69" s="9">
        <v>0.3</v>
      </c>
      <c r="G69" s="9">
        <v>0.4</v>
      </c>
      <c r="H69" s="9">
        <v>0.5</v>
      </c>
      <c r="I69" s="9">
        <v>0.6</v>
      </c>
      <c r="J69" s="9">
        <v>0.7</v>
      </c>
      <c r="K69" s="9">
        <v>0.8</v>
      </c>
      <c r="L69" s="9">
        <v>0.9</v>
      </c>
    </row>
    <row r="70" spans="1:12">
      <c r="A70" s="406"/>
      <c r="B70" s="76" t="s">
        <v>267</v>
      </c>
      <c r="C70" s="136">
        <v>0.25675447661202494</v>
      </c>
      <c r="D70" s="136">
        <v>0.25361152611747861</v>
      </c>
      <c r="E70" s="136">
        <v>0.25079633814182328</v>
      </c>
      <c r="F70" s="136">
        <v>0.24822949293779187</v>
      </c>
      <c r="G70" s="136">
        <v>0.24585917999769263</v>
      </c>
      <c r="H70" s="136">
        <v>0.24364938470885511</v>
      </c>
      <c r="I70" s="125">
        <v>0.24157387348927831</v>
      </c>
      <c r="J70" s="136">
        <v>0.23961283742785514</v>
      </c>
      <c r="K70" s="125">
        <v>0.23775088554822249</v>
      </c>
      <c r="L70" s="125">
        <v>0.23597577836375488</v>
      </c>
    </row>
    <row r="71" spans="1:12">
      <c r="A71" s="406"/>
      <c r="B71" s="72" t="s">
        <v>268</v>
      </c>
      <c r="C71" s="136">
        <v>0.96514363588414886</v>
      </c>
      <c r="D71" s="136">
        <v>0.9685023058710267</v>
      </c>
      <c r="E71" s="136">
        <v>0.96850230587102715</v>
      </c>
      <c r="F71" s="136">
        <v>0.96850230587102704</v>
      </c>
      <c r="G71" s="136">
        <v>0.96850230587102704</v>
      </c>
      <c r="H71" s="136">
        <v>0.96850230587102681</v>
      </c>
      <c r="I71" s="125">
        <v>0.96850230587102681</v>
      </c>
      <c r="J71" s="136">
        <v>0.96850230587102704</v>
      </c>
      <c r="K71" s="125">
        <v>0.96850230587102681</v>
      </c>
      <c r="L71" s="125">
        <v>0.9685023058710267</v>
      </c>
    </row>
    <row r="72" spans="1:12">
      <c r="A72" s="406"/>
      <c r="B72" s="77" t="s">
        <v>207</v>
      </c>
      <c r="C72" s="136">
        <v>0.27867874219352018</v>
      </c>
      <c r="D72" s="136">
        <v>0.29995329267556403</v>
      </c>
      <c r="E72" s="136">
        <v>0.2999532926755642</v>
      </c>
      <c r="F72" s="136">
        <v>0.2999532926755642</v>
      </c>
      <c r="G72" s="136">
        <v>0.29995329267556442</v>
      </c>
      <c r="H72" s="136">
        <v>0.29995329267556436</v>
      </c>
      <c r="I72" s="125">
        <v>0.29995329267556414</v>
      </c>
      <c r="J72" s="136">
        <v>0.29995329267556414</v>
      </c>
      <c r="K72" s="125">
        <v>0.29995329267556409</v>
      </c>
      <c r="L72" s="125">
        <v>0.29995329267556392</v>
      </c>
    </row>
    <row r="73" spans="1:12">
      <c r="A73" s="406"/>
      <c r="B73" s="77" t="s">
        <v>208</v>
      </c>
      <c r="C73" s="136">
        <v>0.9837432766726355</v>
      </c>
      <c r="D73" s="136">
        <v>0.9848129501040972</v>
      </c>
      <c r="E73" s="136">
        <v>0.9857710726667509</v>
      </c>
      <c r="F73" s="136">
        <v>0.98664467411933221</v>
      </c>
      <c r="G73" s="136">
        <v>0.98745138767739582</v>
      </c>
      <c r="H73" s="136">
        <v>0.98820347057324165</v>
      </c>
      <c r="I73" s="125">
        <v>0.98890985115802477</v>
      </c>
      <c r="J73" s="136">
        <v>0.98957727120701444</v>
      </c>
      <c r="K73" s="125">
        <v>0.99021096889323612</v>
      </c>
      <c r="L73" s="125">
        <v>0.99081510981003285</v>
      </c>
    </row>
    <row r="74" spans="1:12">
      <c r="A74" s="406"/>
      <c r="B74" s="77" t="s">
        <v>209</v>
      </c>
      <c r="C74" s="136">
        <v>0.9837432766726355</v>
      </c>
      <c r="D74" s="136">
        <v>0.9848129501040972</v>
      </c>
      <c r="E74" s="136">
        <v>0.9857710726667509</v>
      </c>
      <c r="F74" s="136">
        <v>0.98664467411933221</v>
      </c>
      <c r="G74" s="136">
        <v>0.98745138767739582</v>
      </c>
      <c r="H74" s="136">
        <v>0.98820347057324165</v>
      </c>
      <c r="I74" s="125">
        <v>0.98890985115802477</v>
      </c>
      <c r="J74" s="136">
        <v>0.98957727120701444</v>
      </c>
      <c r="K74" s="125">
        <v>0.99021096889323612</v>
      </c>
      <c r="L74" s="125">
        <v>0.99081510981003285</v>
      </c>
    </row>
    <row r="76" spans="1:12">
      <c r="A76" s="408" t="s">
        <v>243</v>
      </c>
      <c r="B76" s="78"/>
      <c r="C76" s="33">
        <v>0</v>
      </c>
      <c r="D76" s="9">
        <v>0.1</v>
      </c>
      <c r="E76" s="9">
        <v>0.2</v>
      </c>
      <c r="F76" s="9">
        <v>0.3</v>
      </c>
      <c r="G76" s="9">
        <v>0.4</v>
      </c>
      <c r="H76" s="9">
        <v>0.5</v>
      </c>
      <c r="I76" s="9">
        <v>0.6</v>
      </c>
      <c r="J76" s="9">
        <v>0.7</v>
      </c>
      <c r="K76" s="9">
        <v>0.8</v>
      </c>
      <c r="L76" s="9">
        <v>0.9</v>
      </c>
    </row>
    <row r="77" spans="1:12">
      <c r="A77" s="408"/>
      <c r="B77" s="76" t="s">
        <v>267</v>
      </c>
      <c r="C77" s="136">
        <v>0.25675447661202494</v>
      </c>
      <c r="D77" s="125">
        <v>0.25220419586355786</v>
      </c>
      <c r="E77" s="125">
        <v>0.24174031288765557</v>
      </c>
      <c r="F77" s="136">
        <v>0.23310038881892109</v>
      </c>
      <c r="G77" s="125">
        <v>0.22575690546258778</v>
      </c>
      <c r="H77" s="125">
        <v>0.2193832873050211</v>
      </c>
      <c r="I77" s="125">
        <v>0.21376277483573078</v>
      </c>
      <c r="J77" s="136">
        <v>0.20874392610338341</v>
      </c>
      <c r="K77" s="125">
        <v>0.20421667527769158</v>
      </c>
      <c r="L77" s="125">
        <v>0.20009847907433137</v>
      </c>
    </row>
    <row r="78" spans="1:12">
      <c r="A78" s="408"/>
      <c r="B78" s="72" t="s">
        <v>268</v>
      </c>
      <c r="C78" s="136">
        <v>0.96514363588414886</v>
      </c>
      <c r="D78" s="125">
        <v>0.9580320914491296</v>
      </c>
      <c r="E78" s="125">
        <v>0.93903343728336996</v>
      </c>
      <c r="F78" s="136">
        <v>0.8360018699371905</v>
      </c>
      <c r="G78" s="125">
        <v>0.76013990452600622</v>
      </c>
      <c r="H78" s="125">
        <v>0.70652332563632692</v>
      </c>
      <c r="I78" s="125">
        <v>0.6659283680312994</v>
      </c>
      <c r="J78" s="136">
        <v>0.63371547161407138</v>
      </c>
      <c r="K78" s="125">
        <v>0.60727330065281426</v>
      </c>
      <c r="L78" s="125">
        <v>0.585007728773839</v>
      </c>
    </row>
    <row r="79" spans="1:12">
      <c r="A79" s="408"/>
      <c r="B79" s="77" t="s">
        <v>207</v>
      </c>
      <c r="C79" s="136">
        <v>0.27867874219352018</v>
      </c>
      <c r="D79" s="125">
        <v>0.27867874219352023</v>
      </c>
      <c r="E79" s="125">
        <v>0.27867874219352035</v>
      </c>
      <c r="F79" s="136">
        <v>0.2263560397482863</v>
      </c>
      <c r="G79" s="125">
        <v>0.18889889964769133</v>
      </c>
      <c r="H79" s="125">
        <v>0.16371272627483174</v>
      </c>
      <c r="I79" s="125">
        <v>0.14550789088939034</v>
      </c>
      <c r="J79" s="136">
        <v>0.13166983532945845</v>
      </c>
      <c r="K79" s="125">
        <v>0.12075398237965153</v>
      </c>
      <c r="L79" s="125">
        <v>0.1118951671796392</v>
      </c>
    </row>
    <row r="80" spans="1:12">
      <c r="A80" s="408"/>
      <c r="B80" s="77" t="s">
        <v>208</v>
      </c>
      <c r="C80" s="136">
        <v>0.9837432766726355</v>
      </c>
      <c r="D80" s="125">
        <v>1.0001</v>
      </c>
      <c r="E80" s="125">
        <v>1.0001</v>
      </c>
      <c r="F80" s="136">
        <v>1.0001</v>
      </c>
      <c r="G80" s="125">
        <v>1.0001</v>
      </c>
      <c r="H80" s="125">
        <v>1.0001</v>
      </c>
      <c r="I80" s="125">
        <v>1.0001</v>
      </c>
      <c r="J80" s="136">
        <v>1.0001</v>
      </c>
      <c r="K80" s="125">
        <v>1.0001</v>
      </c>
      <c r="L80" s="125">
        <v>1.0001</v>
      </c>
    </row>
    <row r="81" spans="1:13">
      <c r="A81" s="408"/>
      <c r="B81" s="77" t="s">
        <v>209</v>
      </c>
      <c r="C81" s="136">
        <v>0.9837432766726355</v>
      </c>
      <c r="D81" s="125">
        <v>1.0001</v>
      </c>
      <c r="E81" s="125">
        <v>1.0001</v>
      </c>
      <c r="F81" s="136">
        <v>1.0001</v>
      </c>
      <c r="G81" s="125">
        <v>1.0001</v>
      </c>
      <c r="H81" s="125">
        <v>1.0001</v>
      </c>
      <c r="I81" s="125">
        <v>1.0001</v>
      </c>
      <c r="J81" s="136">
        <v>1.0001</v>
      </c>
      <c r="K81" s="125">
        <v>1.0001</v>
      </c>
      <c r="L81" s="125">
        <v>1.0001</v>
      </c>
    </row>
    <row r="83" spans="1:13">
      <c r="A83" s="409" t="s">
        <v>244</v>
      </c>
      <c r="B83" s="78"/>
      <c r="C83" s="33">
        <v>0</v>
      </c>
      <c r="D83" s="9">
        <v>0.1</v>
      </c>
      <c r="E83" s="9">
        <v>0.2</v>
      </c>
      <c r="F83" s="9">
        <v>0.3</v>
      </c>
      <c r="G83" s="9">
        <v>0.4</v>
      </c>
      <c r="H83" s="9">
        <v>0.5</v>
      </c>
      <c r="I83" s="9">
        <v>0.6</v>
      </c>
      <c r="J83" s="9">
        <v>0.7</v>
      </c>
      <c r="K83" s="9">
        <v>0.8</v>
      </c>
      <c r="L83" s="9">
        <v>0.9</v>
      </c>
    </row>
    <row r="84" spans="1:13">
      <c r="A84" s="409"/>
      <c r="B84" s="76" t="s">
        <v>267</v>
      </c>
      <c r="C84" s="136">
        <v>0.25675447661202494</v>
      </c>
      <c r="D84" s="125">
        <v>0.26769490643039268</v>
      </c>
      <c r="E84" s="125">
        <v>0.40045766675937466</v>
      </c>
      <c r="F84" s="136">
        <v>0.48814491362183143</v>
      </c>
      <c r="G84" s="125">
        <v>0.53307071479040469</v>
      </c>
      <c r="H84" s="125">
        <v>0.56112368679380065</v>
      </c>
      <c r="I84" s="136">
        <v>0.58066359781527799</v>
      </c>
      <c r="J84" s="125">
        <v>0.59524771989058189</v>
      </c>
      <c r="K84" s="125">
        <v>0.60666223998678115</v>
      </c>
      <c r="L84" s="125">
        <v>0.61590984600223109</v>
      </c>
    </row>
    <row r="85" spans="1:13">
      <c r="A85" s="409"/>
      <c r="B85" s="72" t="s">
        <v>268</v>
      </c>
      <c r="C85" s="136">
        <v>0.96514363588414886</v>
      </c>
      <c r="D85" s="125">
        <v>1.0001</v>
      </c>
      <c r="E85" s="125">
        <v>1.0001</v>
      </c>
      <c r="F85" s="136">
        <v>1.0001</v>
      </c>
      <c r="G85" s="125">
        <v>1.0001</v>
      </c>
      <c r="H85" s="125">
        <v>1.0001</v>
      </c>
      <c r="I85" s="136">
        <v>1.0001</v>
      </c>
      <c r="J85" s="125">
        <v>1.0001</v>
      </c>
      <c r="K85" s="125">
        <v>1.0001</v>
      </c>
      <c r="L85" s="125">
        <v>1.0001</v>
      </c>
    </row>
    <row r="86" spans="1:13">
      <c r="A86" s="409"/>
      <c r="B86" s="77" t="s">
        <v>207</v>
      </c>
      <c r="C86" s="136">
        <v>0.27867874219352018</v>
      </c>
      <c r="D86" s="125">
        <v>0.11097505304833355</v>
      </c>
      <c r="E86" s="125">
        <v>1E-4</v>
      </c>
      <c r="F86" s="136">
        <v>1E-4</v>
      </c>
      <c r="G86" s="125">
        <v>1E-4</v>
      </c>
      <c r="H86" s="125">
        <v>1E-4</v>
      </c>
      <c r="I86" s="136">
        <v>1E-4</v>
      </c>
      <c r="J86" s="125">
        <v>1E-4</v>
      </c>
      <c r="K86" s="125">
        <v>1E-4</v>
      </c>
      <c r="L86" s="125">
        <v>1E-4</v>
      </c>
    </row>
    <row r="87" spans="1:13">
      <c r="A87" s="409"/>
      <c r="B87" s="77" t="s">
        <v>208</v>
      </c>
      <c r="C87" s="136">
        <v>0.9837432766726355</v>
      </c>
      <c r="D87" s="125">
        <v>0.96952010134544186</v>
      </c>
      <c r="E87" s="125">
        <v>0.89812513919313308</v>
      </c>
      <c r="F87" s="136">
        <v>0.9136717555293794</v>
      </c>
      <c r="G87" s="125">
        <v>0.92075992634911485</v>
      </c>
      <c r="H87" s="125">
        <v>0.92469117742504681</v>
      </c>
      <c r="I87" s="136">
        <v>0.92712365097739136</v>
      </c>
      <c r="J87" s="125">
        <v>0.92873738601691458</v>
      </c>
      <c r="K87" s="125">
        <v>0.92986042248084688</v>
      </c>
      <c r="L87" s="125">
        <v>0.93066929489651384</v>
      </c>
    </row>
    <row r="88" spans="1:13">
      <c r="A88" s="409"/>
      <c r="B88" s="77" t="s">
        <v>209</v>
      </c>
      <c r="C88" s="136">
        <v>0.9837432766726355</v>
      </c>
      <c r="D88" s="125">
        <v>0.96952010134544186</v>
      </c>
      <c r="E88" s="125">
        <v>0.89812513919313308</v>
      </c>
      <c r="F88" s="136">
        <v>0.9136717555293794</v>
      </c>
      <c r="G88" s="125">
        <v>0.92075992634911485</v>
      </c>
      <c r="H88" s="125">
        <v>0.92469117742504681</v>
      </c>
      <c r="I88" s="136">
        <v>0.92712365097739136</v>
      </c>
      <c r="J88" s="125">
        <v>0.92873738601691458</v>
      </c>
      <c r="K88" s="125">
        <v>0.92986042248084688</v>
      </c>
      <c r="L88" s="125">
        <v>0.93066929489651384</v>
      </c>
    </row>
    <row r="96" spans="1:13">
      <c r="J96" s="200" t="s">
        <v>5</v>
      </c>
      <c r="K96" s="162" t="s">
        <v>284</v>
      </c>
      <c r="L96" s="198" t="s">
        <v>285</v>
      </c>
      <c r="M96" s="203" t="s">
        <v>286</v>
      </c>
    </row>
    <row r="97" spans="10:18">
      <c r="J97" s="43" t="s">
        <v>287</v>
      </c>
      <c r="K97" s="125">
        <v>0.24434147736496201</v>
      </c>
      <c r="L97" s="141">
        <v>0.25675447661202494</v>
      </c>
      <c r="M97" s="154">
        <v>0.15178972673126775</v>
      </c>
    </row>
    <row r="98" spans="10:18">
      <c r="J98" s="43" t="s">
        <v>288</v>
      </c>
      <c r="K98" s="125">
        <v>0.365891726704903</v>
      </c>
      <c r="L98" s="141">
        <v>0.96514363588414886</v>
      </c>
      <c r="M98" s="141">
        <v>-0.13263268788095212</v>
      </c>
    </row>
    <row r="99" spans="10:18">
      <c r="J99" s="43" t="s">
        <v>289</v>
      </c>
      <c r="K99" s="125">
        <v>0.17969050892126601</v>
      </c>
      <c r="L99" s="141">
        <v>0.27867874219352018</v>
      </c>
      <c r="M99" s="141">
        <v>0.44239179470583806</v>
      </c>
    </row>
    <row r="100" spans="10:18">
      <c r="J100" s="43" t="s">
        <v>290</v>
      </c>
      <c r="K100" s="125">
        <v>0.36486807598007298</v>
      </c>
      <c r="L100" s="141">
        <v>0.9837432766726355</v>
      </c>
      <c r="M100" s="141">
        <v>-0.10522279678062191</v>
      </c>
    </row>
    <row r="101" spans="10:18">
      <c r="J101" s="43" t="s">
        <v>291</v>
      </c>
      <c r="K101" s="125">
        <v>0.3884747462723</v>
      </c>
      <c r="L101" s="141">
        <v>0.9837432766726355</v>
      </c>
      <c r="M101" s="141">
        <v>-0.35632603677553176</v>
      </c>
    </row>
    <row r="103" spans="10:18">
      <c r="J103" s="200" t="s">
        <v>292</v>
      </c>
      <c r="K103" s="162" t="s">
        <v>293</v>
      </c>
      <c r="L103" s="163" t="s">
        <v>294</v>
      </c>
      <c r="M103" s="163" t="s">
        <v>295</v>
      </c>
    </row>
    <row r="104" spans="10:18">
      <c r="J104" s="43" t="s">
        <v>287</v>
      </c>
      <c r="K104" s="125">
        <v>2</v>
      </c>
      <c r="L104" s="125" t="s">
        <v>296</v>
      </c>
      <c r="M104" s="125">
        <v>2</v>
      </c>
      <c r="O104" s="1"/>
      <c r="P104" s="1"/>
      <c r="Q104" s="1"/>
      <c r="R104" s="1"/>
    </row>
    <row r="105" spans="10:18">
      <c r="J105" s="43" t="s">
        <v>288</v>
      </c>
      <c r="K105" s="199" t="s">
        <v>297</v>
      </c>
      <c r="L105" s="125">
        <v>3</v>
      </c>
      <c r="M105" s="125">
        <v>4</v>
      </c>
      <c r="O105" s="2"/>
      <c r="P105" s="2"/>
      <c r="Q105" s="2"/>
      <c r="R105" s="2"/>
    </row>
    <row r="106" spans="10:18">
      <c r="J106" s="43" t="s">
        <v>289</v>
      </c>
      <c r="K106" s="125">
        <v>1</v>
      </c>
      <c r="L106" s="125" t="s">
        <v>298</v>
      </c>
      <c r="M106" s="125">
        <v>1</v>
      </c>
    </row>
    <row r="107" spans="10:18">
      <c r="J107" s="43" t="s">
        <v>290</v>
      </c>
      <c r="K107" s="125" t="s">
        <v>297</v>
      </c>
      <c r="L107" s="125">
        <v>4</v>
      </c>
      <c r="M107" s="125">
        <v>3</v>
      </c>
    </row>
    <row r="108" spans="10:18">
      <c r="J108" s="43" t="s">
        <v>291</v>
      </c>
      <c r="K108" s="125">
        <v>5</v>
      </c>
      <c r="L108" s="125">
        <v>4</v>
      </c>
      <c r="M108" s="125">
        <v>5</v>
      </c>
    </row>
    <row r="111" spans="10:18">
      <c r="J111" s="200" t="s">
        <v>129</v>
      </c>
      <c r="K111" s="162" t="s">
        <v>284</v>
      </c>
      <c r="L111" s="163" t="s">
        <v>285</v>
      </c>
      <c r="M111" s="203" t="s">
        <v>286</v>
      </c>
    </row>
    <row r="112" spans="10:18">
      <c r="J112" s="43" t="s">
        <v>287</v>
      </c>
      <c r="K112" s="125">
        <v>0.24735188345321901</v>
      </c>
      <c r="L112" s="176">
        <v>0.22880499671930496</v>
      </c>
      <c r="M112" s="125">
        <v>0.16443533707067326</v>
      </c>
    </row>
    <row r="113" spans="10:24">
      <c r="J113" s="43" t="s">
        <v>288</v>
      </c>
      <c r="K113" s="125">
        <v>0.39204407530346203</v>
      </c>
      <c r="L113" s="176">
        <v>0.89512719612079228</v>
      </c>
      <c r="M113" s="125">
        <v>-0.19854398843063245</v>
      </c>
      <c r="T113" s="1"/>
      <c r="U113" s="1"/>
      <c r="V113" s="1"/>
      <c r="W113" s="1"/>
      <c r="X113" s="1"/>
    </row>
    <row r="114" spans="10:24">
      <c r="J114" s="43" t="s">
        <v>289</v>
      </c>
      <c r="K114" s="125">
        <v>0.16053318211885501</v>
      </c>
      <c r="L114" s="176">
        <v>1E-4</v>
      </c>
      <c r="M114" s="125">
        <v>0.52283780902428756</v>
      </c>
      <c r="T114" s="99"/>
      <c r="U114" s="99"/>
      <c r="V114" s="99"/>
      <c r="W114" s="99"/>
      <c r="X114" s="99"/>
    </row>
    <row r="115" spans="10:24">
      <c r="J115" s="43" t="s">
        <v>290</v>
      </c>
      <c r="K115" s="125">
        <v>0.38573490294061102</v>
      </c>
      <c r="L115" s="176">
        <v>0.83324504062709182</v>
      </c>
      <c r="M115" s="125">
        <v>-0.11801740379587169</v>
      </c>
    </row>
    <row r="116" spans="10:24">
      <c r="J116" s="43" t="s">
        <v>291</v>
      </c>
      <c r="K116" s="125">
        <v>0.41121573550794399</v>
      </c>
      <c r="L116" s="202">
        <v>0.94918844025569393</v>
      </c>
      <c r="M116" s="125">
        <v>-0.37071175386845678</v>
      </c>
    </row>
    <row r="118" spans="10:24">
      <c r="J118" s="201" t="s">
        <v>292</v>
      </c>
      <c r="K118" s="101" t="s">
        <v>293</v>
      </c>
      <c r="L118" s="101" t="s">
        <v>294</v>
      </c>
      <c r="M118" s="101" t="s">
        <v>295</v>
      </c>
    </row>
    <row r="119" spans="10:24">
      <c r="J119" s="43" t="s">
        <v>287</v>
      </c>
      <c r="K119" s="125">
        <v>2</v>
      </c>
      <c r="L119" s="125" t="s">
        <v>298</v>
      </c>
      <c r="M119" s="125">
        <v>2</v>
      </c>
    </row>
    <row r="120" spans="10:24">
      <c r="J120" s="43" t="s">
        <v>288</v>
      </c>
      <c r="K120" s="125">
        <v>4</v>
      </c>
      <c r="L120" s="125">
        <v>4</v>
      </c>
      <c r="M120" s="125">
        <v>4</v>
      </c>
    </row>
    <row r="121" spans="10:24">
      <c r="J121" s="43" t="s">
        <v>289</v>
      </c>
      <c r="K121" s="125">
        <v>1</v>
      </c>
      <c r="L121" s="125" t="s">
        <v>296</v>
      </c>
      <c r="M121" s="125">
        <v>1</v>
      </c>
    </row>
    <row r="122" spans="10:24">
      <c r="J122" s="43" t="s">
        <v>290</v>
      </c>
      <c r="K122" s="125">
        <v>3</v>
      </c>
      <c r="L122" s="125">
        <v>3</v>
      </c>
      <c r="M122" s="125">
        <v>3</v>
      </c>
    </row>
    <row r="123" spans="10:24">
      <c r="J123" s="43" t="s">
        <v>291</v>
      </c>
      <c r="K123" s="125">
        <v>5</v>
      </c>
      <c r="L123" s="125">
        <v>5</v>
      </c>
      <c r="M123" s="125">
        <v>5</v>
      </c>
    </row>
    <row r="126" spans="10:24">
      <c r="J126" s="200" t="s">
        <v>283</v>
      </c>
      <c r="K126" s="164" t="s">
        <v>284</v>
      </c>
      <c r="L126" s="156" t="s">
        <v>285</v>
      </c>
      <c r="M126" s="203" t="s">
        <v>286</v>
      </c>
    </row>
    <row r="127" spans="10:24">
      <c r="J127" s="43" t="s">
        <v>287</v>
      </c>
      <c r="K127" s="125">
        <v>0.23516154688469901</v>
      </c>
      <c r="L127" s="136">
        <v>0.15110466838847453</v>
      </c>
      <c r="M127" s="125">
        <v>0.14984434743066585</v>
      </c>
    </row>
    <row r="128" spans="10:24">
      <c r="J128" s="43" t="s">
        <v>288</v>
      </c>
      <c r="K128" s="125">
        <v>0.34446569007644601</v>
      </c>
      <c r="L128" s="13">
        <v>0.81672791782841281</v>
      </c>
      <c r="M128" s="125">
        <v>-8.2921062548825475E-2</v>
      </c>
    </row>
    <row r="129" spans="10:13">
      <c r="J129" s="43" t="s">
        <v>289</v>
      </c>
      <c r="K129" s="125">
        <v>0.191943963983952</v>
      </c>
      <c r="L129" s="13">
        <v>0.12073363119415105</v>
      </c>
      <c r="M129" s="125">
        <v>0.36343405320858757</v>
      </c>
    </row>
    <row r="130" spans="10:13">
      <c r="J130" s="43" t="s">
        <v>290</v>
      </c>
      <c r="K130" s="125">
        <v>0.341433963028202</v>
      </c>
      <c r="L130" s="13">
        <v>0.55524983196009103</v>
      </c>
      <c r="M130" s="125">
        <v>-8.6562574940699827E-2</v>
      </c>
    </row>
    <row r="131" spans="10:13">
      <c r="J131" s="43" t="s">
        <v>291</v>
      </c>
      <c r="K131" s="125">
        <v>0.36424011936880102</v>
      </c>
      <c r="L131" s="14">
        <v>0.79736571255607203</v>
      </c>
      <c r="M131" s="125">
        <v>-0.34379476314972807</v>
      </c>
    </row>
    <row r="133" spans="10:13">
      <c r="J133" s="201" t="s">
        <v>292</v>
      </c>
      <c r="K133" s="101" t="s">
        <v>293</v>
      </c>
      <c r="L133" s="101" t="s">
        <v>294</v>
      </c>
      <c r="M133" s="101" t="s">
        <v>295</v>
      </c>
    </row>
    <row r="134" spans="10:13">
      <c r="J134" s="43" t="s">
        <v>287</v>
      </c>
      <c r="K134" s="125">
        <v>2</v>
      </c>
      <c r="L134" s="125" t="s">
        <v>298</v>
      </c>
      <c r="M134" s="125">
        <v>2</v>
      </c>
    </row>
    <row r="135" spans="10:13">
      <c r="J135" s="43" t="s">
        <v>288</v>
      </c>
      <c r="K135" s="125">
        <v>4</v>
      </c>
      <c r="L135" s="125">
        <v>5</v>
      </c>
      <c r="M135" s="125">
        <v>3</v>
      </c>
    </row>
    <row r="136" spans="10:13">
      <c r="J136" s="43" t="s">
        <v>289</v>
      </c>
      <c r="K136" s="125">
        <v>1</v>
      </c>
      <c r="L136" s="125" t="s">
        <v>296</v>
      </c>
      <c r="M136" s="125">
        <v>1</v>
      </c>
    </row>
    <row r="137" spans="10:13">
      <c r="J137" s="43" t="s">
        <v>290</v>
      </c>
      <c r="K137" s="125">
        <v>3</v>
      </c>
      <c r="L137" s="125">
        <v>3</v>
      </c>
      <c r="M137" s="125">
        <v>4</v>
      </c>
    </row>
    <row r="138" spans="10:13">
      <c r="J138" s="43" t="s">
        <v>291</v>
      </c>
      <c r="K138" s="125">
        <v>5</v>
      </c>
      <c r="L138" s="125">
        <v>4</v>
      </c>
      <c r="M138" s="125">
        <v>5</v>
      </c>
    </row>
  </sheetData>
  <mergeCells count="4">
    <mergeCell ref="A62:A67"/>
    <mergeCell ref="A69:A74"/>
    <mergeCell ref="A76:A81"/>
    <mergeCell ref="A83:A88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130E1-E74F-463E-9D4F-54CB9DD5555C}">
  <dimension ref="A1:AU102"/>
  <sheetViews>
    <sheetView topLeftCell="A81" workbookViewId="0">
      <selection activeCell="C24" sqref="C24"/>
    </sheetView>
  </sheetViews>
  <sheetFormatPr defaultRowHeight="14.5"/>
  <cols>
    <col min="1" max="1" width="14.54296875" customWidth="1"/>
    <col min="2" max="2" width="10.54296875" customWidth="1"/>
    <col min="6" max="6" width="10.81640625" customWidth="1"/>
    <col min="7" max="7" width="12.54296875" customWidth="1"/>
    <col min="9" max="9" width="9.54296875" customWidth="1"/>
    <col min="10" max="10" width="9.26953125" customWidth="1"/>
    <col min="11" max="11" width="9.453125" customWidth="1"/>
    <col min="12" max="12" width="11.26953125" customWidth="1"/>
    <col min="13" max="13" width="10" customWidth="1"/>
  </cols>
  <sheetData>
    <row r="1" spans="1:47">
      <c r="A1" s="10"/>
      <c r="B1" s="19" t="s">
        <v>205</v>
      </c>
      <c r="C1" s="19" t="s">
        <v>206</v>
      </c>
      <c r="D1" s="19" t="s">
        <v>207</v>
      </c>
      <c r="E1" s="19" t="s">
        <v>208</v>
      </c>
      <c r="F1" s="43" t="s">
        <v>209</v>
      </c>
      <c r="G1" s="9" t="s">
        <v>55</v>
      </c>
      <c r="H1" s="9" t="s">
        <v>56</v>
      </c>
      <c r="L1" s="12" t="s">
        <v>281</v>
      </c>
      <c r="M1" s="19" t="s">
        <v>287</v>
      </c>
      <c r="N1" s="9" t="s">
        <v>288</v>
      </c>
      <c r="O1" s="9" t="s">
        <v>289</v>
      </c>
      <c r="P1" s="9" t="s">
        <v>290</v>
      </c>
      <c r="Q1" s="12" t="s">
        <v>291</v>
      </c>
      <c r="S1" s="181"/>
      <c r="T1" s="181" t="s">
        <v>33</v>
      </c>
      <c r="U1" s="188">
        <f>SUM(U2:U13)</f>
        <v>0.93152243092859133</v>
      </c>
      <c r="W1" s="410" t="s">
        <v>241</v>
      </c>
      <c r="X1" s="192"/>
      <c r="Y1" s="101">
        <v>0</v>
      </c>
      <c r="Z1" s="193">
        <v>0.1</v>
      </c>
      <c r="AA1" s="101">
        <v>0.2</v>
      </c>
      <c r="AB1" s="163">
        <v>0.3</v>
      </c>
      <c r="AC1" s="164">
        <v>0.4</v>
      </c>
      <c r="AD1" s="194">
        <v>0.5</v>
      </c>
      <c r="AE1" s="194">
        <v>0.6</v>
      </c>
      <c r="AF1" s="163">
        <v>0.7</v>
      </c>
      <c r="AG1" s="162">
        <v>0.8</v>
      </c>
      <c r="AH1" s="162">
        <v>0.9</v>
      </c>
      <c r="AJ1" s="412" t="s">
        <v>243</v>
      </c>
      <c r="AK1" s="192"/>
      <c r="AL1" s="101">
        <v>0</v>
      </c>
      <c r="AM1" s="193">
        <v>0.1</v>
      </c>
      <c r="AN1" s="194">
        <v>0.2</v>
      </c>
      <c r="AO1" s="194">
        <v>0.3</v>
      </c>
      <c r="AP1" s="194">
        <v>0.4</v>
      </c>
      <c r="AQ1" s="163">
        <v>0.5</v>
      </c>
      <c r="AR1" s="162">
        <v>0.6</v>
      </c>
      <c r="AS1" s="162">
        <v>0.7</v>
      </c>
      <c r="AT1" s="162">
        <v>0.8</v>
      </c>
      <c r="AU1" s="162">
        <v>0.9</v>
      </c>
    </row>
    <row r="2" spans="1:47">
      <c r="A2" s="34" t="s">
        <v>269</v>
      </c>
      <c r="B2" s="11">
        <v>0.82</v>
      </c>
      <c r="C2" s="11">
        <v>0.87</v>
      </c>
      <c r="D2" s="11">
        <v>0.13</v>
      </c>
      <c r="E2" s="11">
        <v>0.09</v>
      </c>
      <c r="F2" s="13">
        <v>0.95</v>
      </c>
      <c r="G2" s="11">
        <f>MAX(B2:F2)</f>
        <v>0.95</v>
      </c>
      <c r="H2" s="11">
        <f>MIN(B2:F2)</f>
        <v>0.09</v>
      </c>
      <c r="K2" s="48" t="s">
        <v>269</v>
      </c>
      <c r="L2" s="13">
        <f>U2/U$1</f>
        <v>7.2983200927717262E-2</v>
      </c>
      <c r="M2" s="13">
        <f>((G2-B2)/(G2-H2))+0.0001</f>
        <v>0.15126279069767443</v>
      </c>
      <c r="N2" s="11">
        <f>((G2-C2)/(G2-H2))+0.0001</f>
        <v>9.3123255813953448E-2</v>
      </c>
      <c r="O2" s="11">
        <f>((G2-D2)/(G2-H2))+0.0001</f>
        <v>0.95358837209302316</v>
      </c>
      <c r="P2" s="11">
        <f>((G2-E2)/(G2-H2))+0.0001</f>
        <v>1.0001</v>
      </c>
      <c r="Q2" s="11">
        <f>((G2-F2)/(G2-H2))+0.0001</f>
        <v>1E-4</v>
      </c>
      <c r="S2" s="179" t="s">
        <v>254</v>
      </c>
      <c r="T2" s="183">
        <f>0.122383880220714</f>
        <v>0.122383880220714</v>
      </c>
      <c r="U2">
        <f>(B30)^0.5*(C30)^0.5</f>
        <v>6.7985488745137004E-2</v>
      </c>
      <c r="W2" s="407"/>
      <c r="X2" s="189" t="s">
        <v>267</v>
      </c>
      <c r="Y2" s="136">
        <v>0.15178972673126775</v>
      </c>
      <c r="Z2" s="136">
        <v>0.15178972673126775</v>
      </c>
      <c r="AA2" s="136">
        <v>0.15178972673126775</v>
      </c>
      <c r="AB2" s="136">
        <v>0.15178972673126775</v>
      </c>
      <c r="AC2" s="136">
        <v>0.15178972673126775</v>
      </c>
      <c r="AD2" s="195">
        <v>0.15178972673126775</v>
      </c>
      <c r="AE2" s="195">
        <v>0.15178972673126775</v>
      </c>
      <c r="AF2" s="195">
        <v>0.15178972673126775</v>
      </c>
      <c r="AG2" s="195">
        <v>0.15178972673126775</v>
      </c>
      <c r="AH2" s="195">
        <v>0.15178972673126775</v>
      </c>
      <c r="AJ2" s="408"/>
      <c r="AK2" s="189" t="s">
        <v>267</v>
      </c>
      <c r="AL2" s="136">
        <v>0.151789726731268</v>
      </c>
      <c r="AM2" s="136">
        <v>0.15178972673126775</v>
      </c>
      <c r="AN2" s="195">
        <v>0.15178972673126775</v>
      </c>
      <c r="AO2" s="195">
        <v>0.15178972673126775</v>
      </c>
      <c r="AP2" s="195">
        <v>0.15178972673126775</v>
      </c>
      <c r="AQ2" s="195">
        <v>0.15178972673126775</v>
      </c>
      <c r="AR2" s="195">
        <v>0.15178972673126775</v>
      </c>
      <c r="AS2" s="195">
        <v>0.15178972673126775</v>
      </c>
      <c r="AT2" s="195">
        <v>0.15178972673126775</v>
      </c>
      <c r="AU2" s="195">
        <v>0.15178972673126775</v>
      </c>
    </row>
    <row r="3" spans="1:47">
      <c r="A3" s="35" t="s">
        <v>270</v>
      </c>
      <c r="B3" s="11">
        <v>0.47</v>
      </c>
      <c r="C3" s="11">
        <v>0.86</v>
      </c>
      <c r="D3" s="11">
        <v>0.37</v>
      </c>
      <c r="E3" s="11">
        <v>0.85</v>
      </c>
      <c r="F3" s="13">
        <v>0.84</v>
      </c>
      <c r="G3" s="11">
        <f t="shared" ref="G3:G13" si="0">MAX(B3:F3)</f>
        <v>0.86</v>
      </c>
      <c r="H3" s="11">
        <f t="shared" ref="H3:H13" si="1">MIN(B3:F3)</f>
        <v>0.37</v>
      </c>
      <c r="K3" s="47" t="s">
        <v>270</v>
      </c>
      <c r="L3" s="13">
        <f>U3/U$1</f>
        <v>6.5734392818295823E-2</v>
      </c>
      <c r="M3" s="13">
        <f t="shared" ref="M3" si="2">((G3-B3)/(G3-H3))+0.0001</f>
        <v>0.79601836734693876</v>
      </c>
      <c r="N3" s="11">
        <f t="shared" ref="N3:N5" si="3">((G3-C3)/(G3-H3))+0.0001</f>
        <v>1E-4</v>
      </c>
      <c r="O3" s="11">
        <f t="shared" ref="O3:O4" si="4">((G3-D3)/(G3-H3))+0.0001</f>
        <v>1.0001</v>
      </c>
      <c r="P3" s="11">
        <f t="shared" ref="P3:P5" si="5">((G3-E3)/(G3-H3))+0.0001</f>
        <v>2.0508163265306141E-2</v>
      </c>
      <c r="Q3" s="11">
        <f t="shared" ref="Q3:Q5" si="6">((G3-F3)/(G3-H3))+0.0001</f>
        <v>4.0916326530612286E-2</v>
      </c>
      <c r="S3" s="179" t="s">
        <v>255</v>
      </c>
      <c r="T3" s="184">
        <f>0.402340226254651</f>
        <v>0.40234022625465099</v>
      </c>
      <c r="U3">
        <f t="shared" ref="U3:U13" si="7">(B31)^0.5*(C31)^0.5</f>
        <v>6.1233061393713858E-2</v>
      </c>
      <c r="W3" s="407"/>
      <c r="X3" s="190" t="s">
        <v>268</v>
      </c>
      <c r="Y3" s="136">
        <v>-0.13263268788095212</v>
      </c>
      <c r="Z3" s="136">
        <v>-0.13263268788095212</v>
      </c>
      <c r="AA3" s="136">
        <v>-0.13263268788095212</v>
      </c>
      <c r="AB3" s="136">
        <v>-0.13263268788095212</v>
      </c>
      <c r="AC3" s="136">
        <v>-0.13263268788095212</v>
      </c>
      <c r="AD3" s="195">
        <v>-0.13263268788095212</v>
      </c>
      <c r="AE3" s="195">
        <v>-0.13263268788095212</v>
      </c>
      <c r="AF3" s="195">
        <v>-0.13263268788095212</v>
      </c>
      <c r="AG3" s="195">
        <v>-0.13263268788095212</v>
      </c>
      <c r="AH3" s="195">
        <v>-0.13263268788095212</v>
      </c>
      <c r="AJ3" s="408"/>
      <c r="AK3" s="190" t="s">
        <v>268</v>
      </c>
      <c r="AL3" s="136">
        <v>-0.13263268788095212</v>
      </c>
      <c r="AM3" s="136">
        <v>-0.13263268788095212</v>
      </c>
      <c r="AN3" s="195">
        <v>-0.13263268788095212</v>
      </c>
      <c r="AO3" s="195">
        <v>-0.13263268788095212</v>
      </c>
      <c r="AP3" s="195">
        <v>-0.13263268788095212</v>
      </c>
      <c r="AQ3" s="195">
        <v>-0.13263268788095212</v>
      </c>
      <c r="AR3" s="195">
        <v>-0.13263268788095212</v>
      </c>
      <c r="AS3" s="195">
        <v>-0.13263268788095212</v>
      </c>
      <c r="AT3" s="195">
        <v>-0.13263268788095212</v>
      </c>
      <c r="AU3" s="195">
        <v>-0.13263268788095212</v>
      </c>
    </row>
    <row r="4" spans="1:47">
      <c r="A4" s="34" t="s">
        <v>271</v>
      </c>
      <c r="B4" s="11">
        <v>0.35</v>
      </c>
      <c r="C4" s="11">
        <v>0.63</v>
      </c>
      <c r="D4" s="11">
        <v>0.28999999999999998</v>
      </c>
      <c r="E4" s="11">
        <v>0.28000000000000003</v>
      </c>
      <c r="F4" s="13">
        <v>0.64</v>
      </c>
      <c r="G4" s="11">
        <f t="shared" si="0"/>
        <v>0.64</v>
      </c>
      <c r="H4" s="11">
        <f t="shared" si="1"/>
        <v>0.28000000000000003</v>
      </c>
      <c r="K4" s="48" t="s">
        <v>271</v>
      </c>
      <c r="L4" s="13">
        <f t="shared" ref="L4:L13" si="8">U4/U$1</f>
        <v>6.9374665514471537E-2</v>
      </c>
      <c r="M4" s="13">
        <f>((G4-B4)/(G4-H4))+0.0001</f>
        <v>0.80565555555555568</v>
      </c>
      <c r="N4" s="11">
        <f t="shared" si="3"/>
        <v>2.7877777777777803E-2</v>
      </c>
      <c r="O4" s="11">
        <f t="shared" si="4"/>
        <v>0.97232222222222231</v>
      </c>
      <c r="P4" s="11">
        <f t="shared" si="5"/>
        <v>1.0001</v>
      </c>
      <c r="Q4" s="11">
        <f t="shared" si="6"/>
        <v>1E-4</v>
      </c>
      <c r="S4" s="179" t="s">
        <v>256</v>
      </c>
      <c r="T4" s="184">
        <f>0.290441283278577</f>
        <v>0.29044128327857699</v>
      </c>
      <c r="U4">
        <f t="shared" si="7"/>
        <v>6.4624057064898432E-2</v>
      </c>
      <c r="W4" s="407"/>
      <c r="X4" s="191" t="s">
        <v>207</v>
      </c>
      <c r="Y4" s="136">
        <v>0.44239179470583806</v>
      </c>
      <c r="Z4" s="136">
        <v>0.44239179470583806</v>
      </c>
      <c r="AA4" s="136">
        <v>0.44239179470583806</v>
      </c>
      <c r="AB4" s="136">
        <v>0.44239179470583806</v>
      </c>
      <c r="AC4" s="136">
        <v>0.44239179470583806</v>
      </c>
      <c r="AD4" s="195">
        <v>0.44239179470583806</v>
      </c>
      <c r="AE4" s="195">
        <v>0.44239179470583806</v>
      </c>
      <c r="AF4" s="195">
        <v>0.44239179470583806</v>
      </c>
      <c r="AG4" s="195">
        <v>0.44239179470583806</v>
      </c>
      <c r="AH4" s="195">
        <v>0.44239179470583806</v>
      </c>
      <c r="AJ4" s="408"/>
      <c r="AK4" s="191" t="s">
        <v>207</v>
      </c>
      <c r="AL4" s="136">
        <v>0.44239179470583806</v>
      </c>
      <c r="AM4" s="136">
        <v>0.44239179470583806</v>
      </c>
      <c r="AN4" s="195">
        <v>0.44239179470583806</v>
      </c>
      <c r="AO4" s="195">
        <v>0.44239179470583806</v>
      </c>
      <c r="AP4" s="195">
        <v>0.44239179470583806</v>
      </c>
      <c r="AQ4" s="195">
        <v>0.44239179470583806</v>
      </c>
      <c r="AR4" s="195">
        <v>0.44239179470583806</v>
      </c>
      <c r="AS4" s="195">
        <v>0.44239179470583806</v>
      </c>
      <c r="AT4" s="195">
        <v>0.44239179470583806</v>
      </c>
      <c r="AU4" s="195">
        <v>0.44239179470583806</v>
      </c>
    </row>
    <row r="5" spans="1:47">
      <c r="A5" s="36" t="s">
        <v>272</v>
      </c>
      <c r="B5" s="11">
        <v>3.3180000000000001</v>
      </c>
      <c r="C5" s="11">
        <v>4.5490000000000004</v>
      </c>
      <c r="D5" s="11">
        <v>3.6150000000000002</v>
      </c>
      <c r="E5" s="11">
        <v>1.341</v>
      </c>
      <c r="F5" s="13">
        <v>2.23</v>
      </c>
      <c r="G5" s="11">
        <f t="shared" si="0"/>
        <v>4.5490000000000004</v>
      </c>
      <c r="H5" s="11">
        <f t="shared" si="1"/>
        <v>1.341</v>
      </c>
      <c r="K5" s="49" t="s">
        <v>272</v>
      </c>
      <c r="L5" s="13">
        <f t="shared" si="8"/>
        <v>0.10726780157947344</v>
      </c>
      <c r="M5" s="13">
        <f>((G5-B5)/(G5-H5))+0.0001</f>
        <v>0.38382817955112225</v>
      </c>
      <c r="N5" s="11">
        <f t="shared" si="3"/>
        <v>1E-4</v>
      </c>
      <c r="O5" s="11">
        <f>((G5-D5)/(G5-H5))+0.0001</f>
        <v>0.2912471321695761</v>
      </c>
      <c r="P5" s="11">
        <f t="shared" si="5"/>
        <v>1.0001</v>
      </c>
      <c r="Q5" s="11">
        <f t="shared" si="6"/>
        <v>0.72298029925187035</v>
      </c>
      <c r="S5" s="180" t="s">
        <v>257</v>
      </c>
      <c r="T5" s="185">
        <f>0.184834610246057</f>
        <v>0.18483461024605699</v>
      </c>
      <c r="U5">
        <f t="shared" si="7"/>
        <v>9.9922363287676882E-2</v>
      </c>
      <c r="W5" s="407"/>
      <c r="X5" s="191" t="s">
        <v>208</v>
      </c>
      <c r="Y5" s="136">
        <v>-0.10522279678062191</v>
      </c>
      <c r="Z5" s="136">
        <v>-0.10522279678062191</v>
      </c>
      <c r="AA5" s="136">
        <v>-0.10522279678062191</v>
      </c>
      <c r="AB5" s="136">
        <v>-0.10522279678062191</v>
      </c>
      <c r="AC5" s="136">
        <v>-0.10522279678062191</v>
      </c>
      <c r="AD5" s="195">
        <v>-0.10522279678062191</v>
      </c>
      <c r="AE5" s="195">
        <v>-0.10522279678062191</v>
      </c>
      <c r="AF5" s="195">
        <v>-0.10522279678062191</v>
      </c>
      <c r="AG5" s="195">
        <v>-0.10522279678062191</v>
      </c>
      <c r="AH5" s="195">
        <v>-0.10522279678062191</v>
      </c>
      <c r="AJ5" s="408"/>
      <c r="AK5" s="191" t="s">
        <v>208</v>
      </c>
      <c r="AL5" s="136">
        <v>-0.10522279678062191</v>
      </c>
      <c r="AM5" s="136">
        <v>-0.10522279678062191</v>
      </c>
      <c r="AN5" s="195">
        <v>-0.10522279678062191</v>
      </c>
      <c r="AO5" s="195">
        <v>-0.10522279678062191</v>
      </c>
      <c r="AP5" s="195">
        <v>-0.10522279678062191</v>
      </c>
      <c r="AQ5" s="195">
        <v>-0.10522279678062191</v>
      </c>
      <c r="AR5" s="195">
        <v>-0.10522279678062191</v>
      </c>
      <c r="AS5" s="195">
        <v>-0.10522279678062191</v>
      </c>
      <c r="AT5" s="195">
        <v>-0.10522279678062191</v>
      </c>
      <c r="AU5" s="195">
        <v>-0.10522279678062191</v>
      </c>
    </row>
    <row r="6" spans="1:47">
      <c r="A6" s="36" t="s">
        <v>273</v>
      </c>
      <c r="B6" s="11">
        <v>0.23100000000000001</v>
      </c>
      <c r="C6" s="11">
        <v>0.27900000000000003</v>
      </c>
      <c r="D6" s="11">
        <v>0.16500000000000001</v>
      </c>
      <c r="E6" s="11">
        <v>0.17299999999999999</v>
      </c>
      <c r="F6" s="13">
        <v>0.151</v>
      </c>
      <c r="G6" s="11">
        <f t="shared" si="0"/>
        <v>0.27900000000000003</v>
      </c>
      <c r="H6" s="11">
        <f t="shared" si="1"/>
        <v>0.151</v>
      </c>
      <c r="K6" s="49" t="s">
        <v>273</v>
      </c>
      <c r="L6" s="13">
        <f t="shared" si="8"/>
        <v>0.10381053750338265</v>
      </c>
      <c r="M6" s="13">
        <f>((B6-H6)/(G6-H6))+0.0001</f>
        <v>0.62509999999999999</v>
      </c>
      <c r="N6" s="11">
        <f>((B6-H6)/(G6-H6))+0.0001</f>
        <v>0.62509999999999999</v>
      </c>
      <c r="O6" s="11">
        <f>((D6-H6)/(G6-H6))+0.0001</f>
        <v>0.10947500000000007</v>
      </c>
      <c r="P6" s="11">
        <f>((E6-H6)/(G6-H6))+0.0001</f>
        <v>0.17197499999999988</v>
      </c>
      <c r="Q6" s="11">
        <f>((F6-H6)/(G6-H6))+0.0001</f>
        <v>1E-4</v>
      </c>
      <c r="U6">
        <f t="shared" si="7"/>
        <v>9.6701844251154703E-2</v>
      </c>
      <c r="W6" s="407"/>
      <c r="X6" s="191" t="s">
        <v>209</v>
      </c>
      <c r="Y6" s="136">
        <v>-0.35632603677553176</v>
      </c>
      <c r="Z6" s="136">
        <v>-0.35632603677553176</v>
      </c>
      <c r="AA6" s="136">
        <v>-0.35632603677553176</v>
      </c>
      <c r="AB6" s="136">
        <v>-0.35632603677553176</v>
      </c>
      <c r="AC6" s="136">
        <v>-0.35632603677553176</v>
      </c>
      <c r="AD6" s="195">
        <v>-0.35632603677553176</v>
      </c>
      <c r="AE6" s="195">
        <v>-0.35632603677553176</v>
      </c>
      <c r="AF6" s="195">
        <v>-0.35632603677553176</v>
      </c>
      <c r="AG6" s="195">
        <v>-0.35632603677553176</v>
      </c>
      <c r="AH6" s="195">
        <v>-0.35632603677553176</v>
      </c>
      <c r="AJ6" s="408"/>
      <c r="AK6" s="191" t="s">
        <v>209</v>
      </c>
      <c r="AL6" s="136">
        <v>-0.35632603677553176</v>
      </c>
      <c r="AM6" s="136">
        <v>-0.35632603677553176</v>
      </c>
      <c r="AN6" s="195">
        <v>-0.35632603677553176</v>
      </c>
      <c r="AO6" s="195">
        <v>-0.35632603677553176</v>
      </c>
      <c r="AP6" s="195">
        <v>-0.35632603677553176</v>
      </c>
      <c r="AQ6" s="195">
        <v>-0.35632603677553176</v>
      </c>
      <c r="AR6" s="195">
        <v>-0.35632603677553176</v>
      </c>
      <c r="AS6" s="195">
        <v>-0.35632603677553176</v>
      </c>
      <c r="AT6" s="195">
        <v>-0.35632603677553176</v>
      </c>
      <c r="AU6" s="195">
        <v>-0.35632603677553176</v>
      </c>
    </row>
    <row r="7" spans="1:47">
      <c r="A7" s="37" t="s">
        <v>274</v>
      </c>
      <c r="B7" s="11">
        <v>27.3</v>
      </c>
      <c r="C7" s="11">
        <v>14</v>
      </c>
      <c r="D7" s="11">
        <v>47.9</v>
      </c>
      <c r="E7" s="11">
        <v>1.9</v>
      </c>
      <c r="F7" s="13">
        <v>9</v>
      </c>
      <c r="G7" s="11">
        <f t="shared" si="0"/>
        <v>47.9</v>
      </c>
      <c r="H7" s="11">
        <f t="shared" si="1"/>
        <v>1.9</v>
      </c>
      <c r="K7" s="50" t="s">
        <v>274</v>
      </c>
      <c r="L7" s="13">
        <f t="shared" si="8"/>
        <v>0.11004450464449299</v>
      </c>
      <c r="M7" s="13">
        <f>((B7-H7)/(G7-H7))+0.0001</f>
        <v>0.55227391304347828</v>
      </c>
      <c r="N7" s="11">
        <f>((B7-H7)/(G7-H7))+0.0001</f>
        <v>0.55227391304347828</v>
      </c>
      <c r="O7" s="11">
        <f>((D7-H7)/(G7-H7))+0.0001</f>
        <v>1.0001</v>
      </c>
      <c r="P7" s="11">
        <f>((E7-H7)/(G7-H7))+0.0001</f>
        <v>1E-4</v>
      </c>
      <c r="Q7" s="11">
        <f>((F7-H7)/(G7-H7))+0.0001</f>
        <v>0.15444782608695651</v>
      </c>
      <c r="U7">
        <f t="shared" si="7"/>
        <v>0.10250892447677076</v>
      </c>
    </row>
    <row r="8" spans="1:47">
      <c r="A8" s="38" t="s">
        <v>275</v>
      </c>
      <c r="B8" s="11">
        <v>16</v>
      </c>
      <c r="C8" s="11">
        <v>16</v>
      </c>
      <c r="D8" s="11">
        <v>16</v>
      </c>
      <c r="E8" s="11">
        <v>33</v>
      </c>
      <c r="F8" s="13">
        <v>49</v>
      </c>
      <c r="G8" s="11">
        <f t="shared" si="0"/>
        <v>49</v>
      </c>
      <c r="H8" s="11">
        <f t="shared" si="1"/>
        <v>16</v>
      </c>
      <c r="K8" s="51" t="s">
        <v>275</v>
      </c>
      <c r="L8" s="13">
        <f t="shared" si="8"/>
        <v>8.703133248953468E-2</v>
      </c>
      <c r="M8" s="13">
        <f>((G8-B8)/(G8-H8))+0.0001</f>
        <v>1.0001</v>
      </c>
      <c r="N8" s="11">
        <f>((G8-C8)/(G8-H8))+0.0001</f>
        <v>1.0001</v>
      </c>
      <c r="O8" s="11">
        <f>((G8-D8)/(G8-H8))+0.0001</f>
        <v>1.0001</v>
      </c>
      <c r="P8" s="11">
        <f>((G8-E8)/(G8-H8))+0.0001</f>
        <v>0.48494848484848485</v>
      </c>
      <c r="Q8" s="11">
        <f>((G8-F8)/(G8-H8))+0.0001</f>
        <v>1E-4</v>
      </c>
      <c r="U8">
        <f t="shared" si="7"/>
        <v>8.1071638407605839E-2</v>
      </c>
      <c r="W8" s="411" t="s">
        <v>242</v>
      </c>
      <c r="X8" s="192"/>
      <c r="Y8" s="101">
        <v>0</v>
      </c>
      <c r="Z8" s="193">
        <v>0.1</v>
      </c>
      <c r="AA8" s="194">
        <v>0.2</v>
      </c>
      <c r="AB8" s="194">
        <v>0.3</v>
      </c>
      <c r="AC8" s="194">
        <v>0.4</v>
      </c>
      <c r="AD8" s="163">
        <v>0.5</v>
      </c>
      <c r="AE8" s="162">
        <v>0.6</v>
      </c>
      <c r="AF8" s="162">
        <v>0.7</v>
      </c>
      <c r="AG8" s="162">
        <v>0.8</v>
      </c>
      <c r="AH8" s="162">
        <v>0.9</v>
      </c>
      <c r="AJ8" s="413" t="s">
        <v>244</v>
      </c>
      <c r="AK8" s="192"/>
      <c r="AL8" s="101">
        <v>0</v>
      </c>
      <c r="AM8" s="193">
        <v>0.1</v>
      </c>
      <c r="AN8" s="194">
        <v>0.2</v>
      </c>
      <c r="AO8" s="194">
        <v>0.3</v>
      </c>
      <c r="AP8" s="194">
        <v>0.4</v>
      </c>
      <c r="AQ8" s="163">
        <v>0.5</v>
      </c>
      <c r="AR8" s="162">
        <v>0.6</v>
      </c>
      <c r="AS8" s="162">
        <v>0.7</v>
      </c>
      <c r="AT8" s="162">
        <v>0.8</v>
      </c>
      <c r="AU8" s="162">
        <v>0.9</v>
      </c>
    </row>
    <row r="9" spans="1:47">
      <c r="A9" s="38" t="s">
        <v>148</v>
      </c>
      <c r="B9" s="11">
        <v>0.26700000000000002</v>
      </c>
      <c r="C9" s="11">
        <v>0.26700000000000002</v>
      </c>
      <c r="D9" s="11">
        <v>0.23400000000000001</v>
      </c>
      <c r="E9" s="11">
        <v>0.14899999999999999</v>
      </c>
      <c r="F9" s="13">
        <v>8.4000000000000005E-2</v>
      </c>
      <c r="G9" s="11">
        <f t="shared" si="0"/>
        <v>0.26700000000000002</v>
      </c>
      <c r="H9" s="11">
        <f t="shared" si="1"/>
        <v>8.4000000000000005E-2</v>
      </c>
      <c r="K9" s="51" t="s">
        <v>148</v>
      </c>
      <c r="L9" s="13">
        <f t="shared" si="8"/>
        <v>7.1124708426938646E-2</v>
      </c>
      <c r="M9" s="13">
        <f>((B9-H9)/(G9-H9))+0.0001</f>
        <v>1.0001</v>
      </c>
      <c r="N9" s="11">
        <f>((C9-H9)/(G9-H9))+0.0001</f>
        <v>1.0001</v>
      </c>
      <c r="O9" s="11">
        <f>((D9-H9)/(G9-H9))+0.0001</f>
        <v>0.81977213114754111</v>
      </c>
      <c r="P9" s="11">
        <f>((E9-H9)/(G9-H9))+0.0001</f>
        <v>0.35529125683060103</v>
      </c>
      <c r="Q9" s="11">
        <f>((F9-H9)/(G9-H9))+0.0001</f>
        <v>1E-4</v>
      </c>
      <c r="U9">
        <f t="shared" si="7"/>
        <v>6.6254261292949146E-2</v>
      </c>
      <c r="W9" s="406"/>
      <c r="X9" s="189" t="s">
        <v>267</v>
      </c>
      <c r="Y9" s="136">
        <v>0.151789726731268</v>
      </c>
      <c r="Z9" s="136">
        <v>0.15178972673126775</v>
      </c>
      <c r="AA9" s="195">
        <v>0.15178972673126775</v>
      </c>
      <c r="AB9" s="195">
        <v>0.15178972673126775</v>
      </c>
      <c r="AC9" s="195">
        <v>0.15178972673126775</v>
      </c>
      <c r="AD9" s="195">
        <v>0.15178972673126775</v>
      </c>
      <c r="AE9" s="195">
        <v>0.15178972673126775</v>
      </c>
      <c r="AF9" s="195">
        <v>0.15178972673126775</v>
      </c>
      <c r="AG9" s="195">
        <v>0.15178972673126775</v>
      </c>
      <c r="AH9" s="195">
        <v>0.15178972673126775</v>
      </c>
      <c r="AJ9" s="409"/>
      <c r="AK9" s="189" t="s">
        <v>267</v>
      </c>
      <c r="AL9" s="136">
        <v>0.151789726731268</v>
      </c>
      <c r="AM9" s="136">
        <v>0.15178972673126775</v>
      </c>
      <c r="AN9" s="195">
        <v>0.15178972673126775</v>
      </c>
      <c r="AO9" s="195">
        <v>0.15178972673126775</v>
      </c>
      <c r="AP9" s="195">
        <v>0.15178972673126775</v>
      </c>
      <c r="AQ9" s="195">
        <v>0.15178972673126775</v>
      </c>
      <c r="AR9" s="195">
        <v>0.15178972673126775</v>
      </c>
      <c r="AS9" s="195">
        <v>0.15178972673126775</v>
      </c>
      <c r="AT9" s="195">
        <v>0.15178972673126775</v>
      </c>
      <c r="AU9" s="195">
        <v>0.15178972673126775</v>
      </c>
    </row>
    <row r="10" spans="1:47">
      <c r="A10" s="38" t="s">
        <v>149</v>
      </c>
      <c r="B10" s="11">
        <v>0.247</v>
      </c>
      <c r="C10" s="11">
        <v>0.21099999999999999</v>
      </c>
      <c r="D10" s="11">
        <v>0.28899999999999998</v>
      </c>
      <c r="E10" s="11">
        <v>0.126</v>
      </c>
      <c r="F10" s="13">
        <v>0.126</v>
      </c>
      <c r="G10" s="11">
        <f t="shared" si="0"/>
        <v>0.28899999999999998</v>
      </c>
      <c r="H10" s="11">
        <f t="shared" si="1"/>
        <v>0.126</v>
      </c>
      <c r="K10" s="51" t="s">
        <v>149</v>
      </c>
      <c r="L10" s="13">
        <f t="shared" si="8"/>
        <v>8.3622534033594834E-2</v>
      </c>
      <c r="M10" s="13">
        <f t="shared" ref="M10:M13" si="9">((B10-H10)/(G10-H10))+0.0001</f>
        <v>0.74243128834355832</v>
      </c>
      <c r="N10" s="11">
        <f>((C10-H10)/(G10-H10))+0.0001</f>
        <v>0.52157239263803679</v>
      </c>
      <c r="O10" s="11">
        <f t="shared" ref="O10:O13" si="10">((D10-H10)/(G10-H10))+0.0001</f>
        <v>1.0001</v>
      </c>
      <c r="P10" s="11">
        <f t="shared" ref="P10:P13" si="11">((E10-H10)/(G10-H10))+0.0001</f>
        <v>1E-4</v>
      </c>
      <c r="Q10" s="11">
        <f t="shared" ref="Q10:Q13" si="12">((F10-H10)/(G10-H10))+0.0001</f>
        <v>1E-4</v>
      </c>
      <c r="U10">
        <f t="shared" si="7"/>
        <v>7.789626618338312E-2</v>
      </c>
      <c r="W10" s="406"/>
      <c r="X10" s="190" t="s">
        <v>268</v>
      </c>
      <c r="Y10" s="136">
        <v>-0.13263268788095212</v>
      </c>
      <c r="Z10" s="136">
        <v>-0.13263268788095212</v>
      </c>
      <c r="AA10" s="195">
        <v>-0.13263268788095212</v>
      </c>
      <c r="AB10" s="195">
        <v>-0.13263268788095212</v>
      </c>
      <c r="AC10" s="195">
        <v>-0.13263268788095212</v>
      </c>
      <c r="AD10" s="195">
        <v>-0.13263268788095212</v>
      </c>
      <c r="AE10" s="195">
        <v>-0.13263268788095212</v>
      </c>
      <c r="AF10" s="195">
        <v>-0.13263268788095212</v>
      </c>
      <c r="AG10" s="195">
        <v>-0.13263268788095212</v>
      </c>
      <c r="AH10" s="195">
        <v>-0.13263268788095212</v>
      </c>
      <c r="AJ10" s="409"/>
      <c r="AK10" s="190" t="s">
        <v>268</v>
      </c>
      <c r="AL10" s="136">
        <v>-0.13263268788095212</v>
      </c>
      <c r="AM10" s="136">
        <v>-0.13263268788095212</v>
      </c>
      <c r="AN10" s="195">
        <v>-0.13263268788095212</v>
      </c>
      <c r="AO10" s="195">
        <v>-0.13263268788095212</v>
      </c>
      <c r="AP10" s="195">
        <v>-0.13263268788095212</v>
      </c>
      <c r="AQ10" s="195">
        <v>-0.13263268788095212</v>
      </c>
      <c r="AR10" s="195">
        <v>-0.13263268788095212</v>
      </c>
      <c r="AS10" s="195">
        <v>-0.13263268788095212</v>
      </c>
      <c r="AT10" s="195">
        <v>-0.13263268788095212</v>
      </c>
      <c r="AU10" s="195">
        <v>-0.13263268788095212</v>
      </c>
    </row>
    <row r="11" spans="1:47">
      <c r="A11" s="39" t="s">
        <v>277</v>
      </c>
      <c r="B11" s="11">
        <v>16.399999999999999</v>
      </c>
      <c r="C11" s="11">
        <v>9.4</v>
      </c>
      <c r="D11" s="11">
        <v>42.7</v>
      </c>
      <c r="E11" s="11">
        <v>15.4</v>
      </c>
      <c r="F11" s="13">
        <v>23.8</v>
      </c>
      <c r="G11" s="11">
        <f t="shared" si="0"/>
        <v>42.7</v>
      </c>
      <c r="H11" s="11">
        <f t="shared" si="1"/>
        <v>9.4</v>
      </c>
      <c r="K11" s="52" t="s">
        <v>277</v>
      </c>
      <c r="L11" s="13">
        <f t="shared" si="8"/>
        <v>8.9046227902907851E-2</v>
      </c>
      <c r="M11" s="13">
        <f t="shared" si="9"/>
        <v>0.21031021021021012</v>
      </c>
      <c r="N11" s="11">
        <f t="shared" ref="N11:N13" si="13">((C11-H11)/(G11-H11))+0.0001</f>
        <v>1E-4</v>
      </c>
      <c r="O11" s="11">
        <f t="shared" si="10"/>
        <v>1.0001</v>
      </c>
      <c r="P11" s="11">
        <f t="shared" si="11"/>
        <v>0.18028018018018013</v>
      </c>
      <c r="Q11" s="11">
        <f t="shared" si="12"/>
        <v>0.43253243243243239</v>
      </c>
      <c r="U11">
        <f t="shared" si="7"/>
        <v>8.2948558681138082E-2</v>
      </c>
      <c r="W11" s="406"/>
      <c r="X11" s="191" t="s">
        <v>207</v>
      </c>
      <c r="Y11" s="136">
        <v>0.44239179470583806</v>
      </c>
      <c r="Z11" s="136">
        <v>0.44239179470583806</v>
      </c>
      <c r="AA11" s="195">
        <v>0.44239179470583806</v>
      </c>
      <c r="AB11" s="195">
        <v>0.44239179470583806</v>
      </c>
      <c r="AC11" s="195">
        <v>0.44239179470583806</v>
      </c>
      <c r="AD11" s="195">
        <v>0.44239179470583806</v>
      </c>
      <c r="AE11" s="195">
        <v>0.44239179470583806</v>
      </c>
      <c r="AF11" s="195">
        <v>0.44239179470583806</v>
      </c>
      <c r="AG11" s="195">
        <v>0.44239179470583806</v>
      </c>
      <c r="AH11" s="195">
        <v>0.44239179470583806</v>
      </c>
      <c r="AJ11" s="409"/>
      <c r="AK11" s="191" t="s">
        <v>207</v>
      </c>
      <c r="AL11" s="136">
        <v>0.44239179470583806</v>
      </c>
      <c r="AM11" s="136">
        <v>0.44239179470583806</v>
      </c>
      <c r="AN11" s="195">
        <v>0.44239179470583806</v>
      </c>
      <c r="AO11" s="195">
        <v>0.44239179470583806</v>
      </c>
      <c r="AP11" s="195">
        <v>0.44239179470583806</v>
      </c>
      <c r="AQ11" s="195">
        <v>0.44239179470583806</v>
      </c>
      <c r="AR11" s="195">
        <v>0.44239179470583806</v>
      </c>
      <c r="AS11" s="195">
        <v>0.44239179470583806</v>
      </c>
      <c r="AT11" s="195">
        <v>0.44239179470583806</v>
      </c>
      <c r="AU11" s="195">
        <v>0.44239179470583806</v>
      </c>
    </row>
    <row r="12" spans="1:47">
      <c r="A12" s="40" t="s">
        <v>279</v>
      </c>
      <c r="B12" s="11">
        <v>0.20399999999999999</v>
      </c>
      <c r="C12" s="11">
        <v>0.17899999999999999</v>
      </c>
      <c r="D12" s="11">
        <v>0.23400000000000001</v>
      </c>
      <c r="E12" s="11">
        <v>0.17899999999999999</v>
      </c>
      <c r="F12" s="13">
        <v>0.20399999999999999</v>
      </c>
      <c r="G12" s="11">
        <f t="shared" si="0"/>
        <v>0.23400000000000001</v>
      </c>
      <c r="H12" s="11">
        <f t="shared" si="1"/>
        <v>0.17899999999999999</v>
      </c>
      <c r="K12" s="53" t="s">
        <v>279</v>
      </c>
      <c r="L12" s="13">
        <f t="shared" si="8"/>
        <v>8.5070817726212195E-2</v>
      </c>
      <c r="M12" s="13">
        <f t="shared" si="9"/>
        <v>0.45464545454545424</v>
      </c>
      <c r="N12" s="11">
        <f t="shared" si="13"/>
        <v>1E-4</v>
      </c>
      <c r="O12" s="11">
        <f t="shared" si="10"/>
        <v>1.0001</v>
      </c>
      <c r="P12" s="11">
        <f t="shared" si="11"/>
        <v>1E-4</v>
      </c>
      <c r="Q12" s="11">
        <f t="shared" si="12"/>
        <v>0.45464545454545424</v>
      </c>
      <c r="U12">
        <f t="shared" si="7"/>
        <v>7.9245374929404283E-2</v>
      </c>
      <c r="W12" s="406"/>
      <c r="X12" s="191" t="s">
        <v>208</v>
      </c>
      <c r="Y12" s="136">
        <v>-0.10522279678062191</v>
      </c>
      <c r="Z12" s="136">
        <v>-0.10522279678062191</v>
      </c>
      <c r="AA12" s="195">
        <v>-0.10522279678062191</v>
      </c>
      <c r="AB12" s="195">
        <v>-0.10522279678062191</v>
      </c>
      <c r="AC12" s="195">
        <v>-0.10522279678062191</v>
      </c>
      <c r="AD12" s="195">
        <v>-0.10522279678062191</v>
      </c>
      <c r="AE12" s="195">
        <v>-0.10522279678062191</v>
      </c>
      <c r="AF12" s="195">
        <v>-0.10522279678062191</v>
      </c>
      <c r="AG12" s="195">
        <v>-0.10522279678062191</v>
      </c>
      <c r="AH12" s="195">
        <v>-0.10522279678062191</v>
      </c>
      <c r="AJ12" s="409"/>
      <c r="AK12" s="191" t="s">
        <v>208</v>
      </c>
      <c r="AL12" s="136">
        <v>-0.10522279678062191</v>
      </c>
      <c r="AM12" s="136">
        <v>-0.10522279678062191</v>
      </c>
      <c r="AN12" s="195">
        <v>-0.10522279678062191</v>
      </c>
      <c r="AO12" s="195">
        <v>-0.10522279678062191</v>
      </c>
      <c r="AP12" s="195">
        <v>-0.10522279678062191</v>
      </c>
      <c r="AQ12" s="195">
        <v>-0.10522279678062191</v>
      </c>
      <c r="AR12" s="195">
        <v>-0.10522279678062191</v>
      </c>
      <c r="AS12" s="195">
        <v>-0.10522279678062191</v>
      </c>
      <c r="AT12" s="195">
        <v>-0.10522279678062191</v>
      </c>
      <c r="AU12" s="195">
        <v>-0.10522279678062191</v>
      </c>
    </row>
    <row r="13" spans="1:47">
      <c r="A13" s="40" t="s">
        <v>280</v>
      </c>
      <c r="B13" s="11">
        <v>0.17899999999999999</v>
      </c>
      <c r="C13" s="11">
        <v>0.17899999999999999</v>
      </c>
      <c r="D13" s="11">
        <v>0.33</v>
      </c>
      <c r="E13" s="11">
        <v>0.20200000000000001</v>
      </c>
      <c r="F13" s="13">
        <v>0.11</v>
      </c>
      <c r="G13" s="11">
        <f t="shared" si="0"/>
        <v>0.33</v>
      </c>
      <c r="H13" s="11">
        <f t="shared" si="1"/>
        <v>0.11</v>
      </c>
      <c r="K13" s="53" t="s">
        <v>280</v>
      </c>
      <c r="L13" s="13">
        <f t="shared" si="8"/>
        <v>5.4889276432978258E-2</v>
      </c>
      <c r="M13" s="13">
        <f t="shared" si="9"/>
        <v>0.31373636363636354</v>
      </c>
      <c r="N13" s="11">
        <f t="shared" si="13"/>
        <v>0.31373636363636354</v>
      </c>
      <c r="O13" s="11">
        <f t="shared" si="10"/>
        <v>1.0001</v>
      </c>
      <c r="P13" s="11">
        <f t="shared" si="11"/>
        <v>0.4182818181818182</v>
      </c>
      <c r="Q13" s="11">
        <f t="shared" si="12"/>
        <v>1E-4</v>
      </c>
      <c r="U13">
        <f t="shared" si="7"/>
        <v>5.1130592214759345E-2</v>
      </c>
      <c r="W13" s="406"/>
      <c r="X13" s="191" t="s">
        <v>209</v>
      </c>
      <c r="Y13" s="136">
        <v>-0.35632603677553176</v>
      </c>
      <c r="Z13" s="136">
        <v>-0.35632603677553176</v>
      </c>
      <c r="AA13" s="195">
        <v>-0.35632603677553176</v>
      </c>
      <c r="AB13" s="195">
        <v>-0.35632603677553176</v>
      </c>
      <c r="AC13" s="195">
        <v>-0.35632603677553176</v>
      </c>
      <c r="AD13" s="195">
        <v>-0.35632603677553176</v>
      </c>
      <c r="AE13" s="195">
        <v>-0.35632603677553176</v>
      </c>
      <c r="AF13" s="195">
        <v>-0.35632603677553176</v>
      </c>
      <c r="AG13" s="195">
        <v>-0.35632603677553176</v>
      </c>
      <c r="AH13" s="195">
        <v>-0.35632603677553176</v>
      </c>
      <c r="AJ13" s="409"/>
      <c r="AK13" s="191" t="s">
        <v>209</v>
      </c>
      <c r="AL13" s="136">
        <v>-0.35632603677553176</v>
      </c>
      <c r="AM13" s="136">
        <v>-0.35632603677553176</v>
      </c>
      <c r="AN13" s="195">
        <v>-0.35632603677553176</v>
      </c>
      <c r="AO13" s="195">
        <v>-0.35632603677553176</v>
      </c>
      <c r="AP13" s="195">
        <v>-0.35632603677553176</v>
      </c>
      <c r="AQ13" s="195">
        <v>-0.35632603677553176</v>
      </c>
      <c r="AR13" s="195">
        <v>-0.35632603677553176</v>
      </c>
      <c r="AS13" s="195">
        <v>-0.35632603677553176</v>
      </c>
      <c r="AT13" s="195">
        <v>-0.35632603677553176</v>
      </c>
      <c r="AU13" s="195">
        <v>-0.35632603677553176</v>
      </c>
    </row>
    <row r="15" spans="1:47">
      <c r="K15" s="9" t="s">
        <v>117</v>
      </c>
      <c r="L15" s="86" t="s">
        <v>118</v>
      </c>
      <c r="M15" s="43" t="s">
        <v>119</v>
      </c>
      <c r="N15" s="43" t="s">
        <v>299</v>
      </c>
      <c r="O15" s="43" t="s">
        <v>300</v>
      </c>
      <c r="P15" s="43" t="s">
        <v>120</v>
      </c>
      <c r="Q15" s="43" t="s">
        <v>301</v>
      </c>
      <c r="R15" s="12" t="s">
        <v>302</v>
      </c>
      <c r="S15" s="43" t="s">
        <v>303</v>
      </c>
      <c r="T15" s="12" t="s">
        <v>123</v>
      </c>
      <c r="U15" s="87" t="s">
        <v>125</v>
      </c>
      <c r="V15" s="88" t="s">
        <v>304</v>
      </c>
      <c r="W15" s="88" t="s">
        <v>305</v>
      </c>
      <c r="X15" s="9" t="s">
        <v>306</v>
      </c>
      <c r="Y15" s="9" t="s">
        <v>307</v>
      </c>
      <c r="Z15" s="9" t="s">
        <v>308</v>
      </c>
      <c r="AA15" s="9" t="s">
        <v>309</v>
      </c>
      <c r="AB15" s="9" t="s">
        <v>310</v>
      </c>
      <c r="AC15" s="9" t="s">
        <v>311</v>
      </c>
      <c r="AD15" s="9" t="s">
        <v>312</v>
      </c>
      <c r="AE15" s="9" t="s">
        <v>313</v>
      </c>
      <c r="AG15" s="99"/>
      <c r="AH15" s="99"/>
      <c r="AI15" s="99"/>
      <c r="AJ15" s="99"/>
      <c r="AK15" s="99"/>
    </row>
    <row r="16" spans="1:47">
      <c r="A16" s="101" t="s">
        <v>5</v>
      </c>
      <c r="B16" s="33" t="s">
        <v>287</v>
      </c>
      <c r="C16" s="19" t="s">
        <v>288</v>
      </c>
      <c r="D16" s="19" t="s">
        <v>289</v>
      </c>
      <c r="E16" s="19" t="s">
        <v>290</v>
      </c>
      <c r="F16" s="43" t="s">
        <v>291</v>
      </c>
      <c r="G16" s="97" t="s">
        <v>122</v>
      </c>
      <c r="K16" s="48" t="s">
        <v>269</v>
      </c>
      <c r="L16" s="11">
        <f>M2-N2</f>
        <v>5.8139534883720978E-2</v>
      </c>
      <c r="M16" s="11">
        <f>M2-O2</f>
        <v>-0.80232558139534871</v>
      </c>
      <c r="N16" s="11">
        <f>M2-P2</f>
        <v>-0.84883720930232553</v>
      </c>
      <c r="O16" s="11">
        <f>M2-Q2</f>
        <v>0.15116279069767444</v>
      </c>
      <c r="P16" s="11">
        <f>N2-M2</f>
        <v>-5.8139534883720978E-2</v>
      </c>
      <c r="Q16" s="11">
        <f>N2-O2</f>
        <v>-0.86046511627906974</v>
      </c>
      <c r="R16" s="11">
        <f>N2-P2</f>
        <v>-0.90697674418604657</v>
      </c>
      <c r="S16" s="11">
        <f>N2-Q2</f>
        <v>9.3023255813953445E-2</v>
      </c>
      <c r="T16" s="11">
        <f>O2-M2</f>
        <v>0.80232558139534871</v>
      </c>
      <c r="U16" s="11">
        <f>O2-N2</f>
        <v>0.86046511627906974</v>
      </c>
      <c r="V16" s="11">
        <f>O2-P2</f>
        <v>-4.6511627906976827E-2</v>
      </c>
      <c r="W16" s="13">
        <f>O2-Q2</f>
        <v>0.95348837209302317</v>
      </c>
      <c r="X16" s="11">
        <f>P2-M2</f>
        <v>0.84883720930232553</v>
      </c>
      <c r="Y16" s="11">
        <f>P2-N2</f>
        <v>0.90697674418604657</v>
      </c>
      <c r="Z16" s="11">
        <f>P2-O2</f>
        <v>4.6511627906976827E-2</v>
      </c>
      <c r="AA16" s="11">
        <f>P2-Q2</f>
        <v>1</v>
      </c>
      <c r="AB16" s="11">
        <f>Q2-M2</f>
        <v>-0.15116279069767444</v>
      </c>
      <c r="AC16" s="11">
        <f>Q2-N2</f>
        <v>-9.3023255813953445E-2</v>
      </c>
      <c r="AD16" s="11">
        <f>Q2-O2</f>
        <v>-0.95348837209302317</v>
      </c>
      <c r="AE16" s="11">
        <f>Q2-P2</f>
        <v>-1</v>
      </c>
      <c r="AG16" s="99"/>
      <c r="AH16" s="99"/>
      <c r="AI16" s="99"/>
      <c r="AJ16" s="99"/>
      <c r="AK16" s="99"/>
    </row>
    <row r="17" spans="1:37">
      <c r="A17" s="18" t="s">
        <v>287</v>
      </c>
      <c r="B17" s="125" t="s">
        <v>124</v>
      </c>
      <c r="C17" s="125">
        <f>L57</f>
        <v>0.22753793168977593</v>
      </c>
      <c r="D17" s="125">
        <f t="shared" ref="D17:F17" si="14">M57</f>
        <v>7.6284040914107565E-2</v>
      </c>
      <c r="E17" s="125">
        <f t="shared" si="14"/>
        <v>0.35289494141471467</v>
      </c>
      <c r="F17" s="125">
        <f t="shared" si="14"/>
        <v>0.46266076373184795</v>
      </c>
      <c r="G17" s="172">
        <f>AVERAGE(C17:F17)</f>
        <v>0.27984441943761151</v>
      </c>
      <c r="K17" s="47" t="s">
        <v>270</v>
      </c>
      <c r="L17" s="11">
        <f>M3-N3</f>
        <v>0.79591836734693877</v>
      </c>
      <c r="M17" s="11">
        <f t="shared" ref="M17:M27" si="15">M3-O3</f>
        <v>-0.20408163265306123</v>
      </c>
      <c r="N17" s="11">
        <f>M3-P3</f>
        <v>0.77551020408163263</v>
      </c>
      <c r="O17" s="11">
        <f t="shared" ref="O17:O27" si="16">M3-Q3</f>
        <v>0.75510204081632648</v>
      </c>
      <c r="P17" s="11">
        <f>N3-M3</f>
        <v>-0.79591836734693877</v>
      </c>
      <c r="Q17" s="11">
        <f t="shared" ref="Q17:Q26" si="17">N3-O3</f>
        <v>-1</v>
      </c>
      <c r="R17" s="11">
        <f t="shared" ref="R17:R27" si="18">N3-P3</f>
        <v>-2.0408163265306142E-2</v>
      </c>
      <c r="S17" s="11">
        <f t="shared" ref="S17:S27" si="19">N3-Q3</f>
        <v>-4.0816326530612283E-2</v>
      </c>
      <c r="T17" s="11">
        <f t="shared" ref="T17:T27" si="20">O3-M3</f>
        <v>0.20408163265306123</v>
      </c>
      <c r="U17" s="11">
        <f t="shared" ref="U17:U27" si="21">O3-N3</f>
        <v>1</v>
      </c>
      <c r="V17" s="11">
        <f t="shared" ref="V17:V27" si="22">O3-P3</f>
        <v>0.97959183673469385</v>
      </c>
      <c r="W17" s="13">
        <f t="shared" ref="W17:W27" si="23">O3-Q3</f>
        <v>0.95918367346938771</v>
      </c>
      <c r="X17" s="11">
        <f t="shared" ref="X17:X27" si="24">P3-M3</f>
        <v>-0.77551020408163263</v>
      </c>
      <c r="Y17" s="11">
        <f t="shared" ref="Y17:Y27" si="25">P3-N3</f>
        <v>2.0408163265306142E-2</v>
      </c>
      <c r="Z17" s="11">
        <f t="shared" ref="Z17:Z27" si="26">P3-O3</f>
        <v>-0.97959183673469385</v>
      </c>
      <c r="AA17" s="11">
        <f t="shared" ref="AA17:AA27" si="27">P3-Q3</f>
        <v>-2.0408163265306145E-2</v>
      </c>
      <c r="AB17" s="11">
        <f t="shared" ref="AB17:AB27" si="28">Q3-M3</f>
        <v>-0.75510204081632648</v>
      </c>
      <c r="AC17" s="11">
        <f t="shared" ref="AC17:AC27" si="29">Q3-N3</f>
        <v>4.0816326530612283E-2</v>
      </c>
      <c r="AD17" s="11">
        <f t="shared" ref="AD17:AD27" si="30">Q3-O3</f>
        <v>-0.95918367346938771</v>
      </c>
      <c r="AE17" s="11">
        <f t="shared" ref="AE17:AE27" si="31">Q3-P3</f>
        <v>2.0408163265306145E-2</v>
      </c>
      <c r="AG17" s="99"/>
      <c r="AH17" s="99"/>
      <c r="AI17" s="99"/>
      <c r="AJ17" s="99"/>
      <c r="AK17" s="99"/>
    </row>
    <row r="18" spans="1:37">
      <c r="A18" s="43" t="s">
        <v>288</v>
      </c>
      <c r="B18" s="125">
        <f>P57</f>
        <v>0</v>
      </c>
      <c r="C18" s="125" t="s">
        <v>124</v>
      </c>
      <c r="D18" s="125">
        <f>Q57</f>
        <v>6.6353075493564034E-2</v>
      </c>
      <c r="E18" s="125">
        <f>R57</f>
        <v>0.24210585409235891</v>
      </c>
      <c r="F18" s="125">
        <f t="shared" ref="F18" si="32">S57</f>
        <v>0.33635452650598857</v>
      </c>
      <c r="G18" s="172">
        <f>AVERAGE(D18:F18,B18)</f>
        <v>0.16120336402297786</v>
      </c>
      <c r="K18" s="48" t="s">
        <v>271</v>
      </c>
      <c r="L18" s="11">
        <f t="shared" ref="L18:L23" si="33">M4-N4</f>
        <v>0.7777777777777779</v>
      </c>
      <c r="M18" s="11">
        <f t="shared" si="15"/>
        <v>-0.16666666666666663</v>
      </c>
      <c r="N18" s="11">
        <f t="shared" ref="N18:N27" si="34">M4-P4</f>
        <v>-0.19444444444444431</v>
      </c>
      <c r="O18" s="11">
        <f t="shared" si="16"/>
        <v>0.80555555555555569</v>
      </c>
      <c r="P18" s="11">
        <f t="shared" ref="P18:P27" si="35">N4-M4</f>
        <v>-0.7777777777777779</v>
      </c>
      <c r="Q18" s="11">
        <f t="shared" si="17"/>
        <v>-0.94444444444444453</v>
      </c>
      <c r="R18" s="11">
        <f t="shared" si="18"/>
        <v>-0.97222222222222221</v>
      </c>
      <c r="S18" s="11">
        <f t="shared" si="19"/>
        <v>2.7777777777777804E-2</v>
      </c>
      <c r="T18" s="11">
        <f t="shared" si="20"/>
        <v>0.16666666666666663</v>
      </c>
      <c r="U18" s="11">
        <f t="shared" si="21"/>
        <v>0.94444444444444453</v>
      </c>
      <c r="V18" s="11">
        <f t="shared" si="22"/>
        <v>-2.7777777777777679E-2</v>
      </c>
      <c r="W18" s="13">
        <f t="shared" si="23"/>
        <v>0.97222222222222232</v>
      </c>
      <c r="X18" s="11">
        <f t="shared" si="24"/>
        <v>0.19444444444444431</v>
      </c>
      <c r="Y18" s="11">
        <f t="shared" si="25"/>
        <v>0.97222222222222221</v>
      </c>
      <c r="Z18" s="11">
        <f t="shared" si="26"/>
        <v>2.7777777777777679E-2</v>
      </c>
      <c r="AA18" s="11">
        <f t="shared" si="27"/>
        <v>1</v>
      </c>
      <c r="AB18" s="11">
        <f t="shared" si="28"/>
        <v>-0.80555555555555569</v>
      </c>
      <c r="AC18" s="11">
        <f t="shared" si="29"/>
        <v>-2.7777777777777804E-2</v>
      </c>
      <c r="AD18" s="11">
        <f t="shared" si="30"/>
        <v>-0.97222222222222232</v>
      </c>
      <c r="AE18" s="11">
        <f t="shared" si="31"/>
        <v>-1</v>
      </c>
    </row>
    <row r="19" spans="1:37">
      <c r="A19" s="43" t="s">
        <v>289</v>
      </c>
      <c r="B19" s="125">
        <f>T57</f>
        <v>0.30876569529376385</v>
      </c>
      <c r="C19" s="125">
        <f>U57</f>
        <v>0.52637266156299611</v>
      </c>
      <c r="D19" s="125" t="s">
        <v>124</v>
      </c>
      <c r="E19" s="125">
        <f>V57</f>
        <v>0.52593856208568279</v>
      </c>
      <c r="F19" s="125">
        <f>W57</f>
        <v>0.68528533288695714</v>
      </c>
      <c r="G19" s="172">
        <f>AVERAGE(B19:C19,E19:F19)</f>
        <v>0.51159056295734995</v>
      </c>
      <c r="K19" s="49" t="s">
        <v>272</v>
      </c>
      <c r="L19" s="11">
        <f t="shared" si="33"/>
        <v>0.38372817955112226</v>
      </c>
      <c r="M19" s="11">
        <f t="shared" si="15"/>
        <v>9.2581047381546155E-2</v>
      </c>
      <c r="N19" s="11">
        <f t="shared" si="34"/>
        <v>-0.61627182044887774</v>
      </c>
      <c r="O19" s="11">
        <f t="shared" si="16"/>
        <v>-0.3391521197007481</v>
      </c>
      <c r="P19" s="11">
        <f t="shared" si="35"/>
        <v>-0.38372817955112226</v>
      </c>
      <c r="Q19" s="11">
        <f t="shared" si="17"/>
        <v>-0.29114713216957611</v>
      </c>
      <c r="R19" s="11">
        <f t="shared" si="18"/>
        <v>-1</v>
      </c>
      <c r="S19" s="11">
        <f t="shared" si="19"/>
        <v>-0.72288029925187036</v>
      </c>
      <c r="T19" s="11">
        <f t="shared" si="20"/>
        <v>-9.2581047381546155E-2</v>
      </c>
      <c r="U19" s="11">
        <f t="shared" si="21"/>
        <v>0.29114713216957611</v>
      </c>
      <c r="V19" s="11">
        <f t="shared" si="22"/>
        <v>-0.70885286783042389</v>
      </c>
      <c r="W19" s="13">
        <f t="shared" si="23"/>
        <v>-0.43173316708229426</v>
      </c>
      <c r="X19" s="11">
        <f t="shared" si="24"/>
        <v>0.61627182044887774</v>
      </c>
      <c r="Y19" s="11">
        <f t="shared" si="25"/>
        <v>1</v>
      </c>
      <c r="Z19" s="11">
        <f t="shared" si="26"/>
        <v>0.70885286783042389</v>
      </c>
      <c r="AA19" s="11">
        <f t="shared" si="27"/>
        <v>0.27711970074812964</v>
      </c>
      <c r="AB19" s="11">
        <f t="shared" si="28"/>
        <v>0.3391521197007481</v>
      </c>
      <c r="AC19" s="11">
        <f t="shared" si="29"/>
        <v>0.72288029925187036</v>
      </c>
      <c r="AD19" s="11">
        <f t="shared" si="30"/>
        <v>0.43173316708229426</v>
      </c>
      <c r="AE19" s="11">
        <f t="shared" si="31"/>
        <v>-0.27711970074812964</v>
      </c>
    </row>
    <row r="20" spans="1:37">
      <c r="A20" s="43" t="s">
        <v>290</v>
      </c>
      <c r="B20" s="125">
        <f>X57</f>
        <v>0.1472849226052029</v>
      </c>
      <c r="C20" s="125">
        <f t="shared" ref="C20:D20" si="36">Y57</f>
        <v>0.2640337669726231</v>
      </c>
      <c r="D20" s="125">
        <f t="shared" si="36"/>
        <v>8.7846888896514777E-2</v>
      </c>
      <c r="E20" s="125" t="s">
        <v>124</v>
      </c>
      <c r="F20" s="136">
        <f>AA57</f>
        <v>0.2803399053363933</v>
      </c>
      <c r="G20" s="172">
        <f>AVERAGE(B20:D20,F20)</f>
        <v>0.19487637095268351</v>
      </c>
      <c r="K20" s="49" t="s">
        <v>273</v>
      </c>
      <c r="L20" s="11">
        <f t="shared" si="33"/>
        <v>0</v>
      </c>
      <c r="M20" s="11">
        <f t="shared" si="15"/>
        <v>0.51562499999999989</v>
      </c>
      <c r="N20" s="11">
        <f t="shared" si="34"/>
        <v>0.45312500000000011</v>
      </c>
      <c r="O20" s="11">
        <f t="shared" si="16"/>
        <v>0.625</v>
      </c>
      <c r="P20" s="11">
        <f t="shared" si="35"/>
        <v>0</v>
      </c>
      <c r="Q20" s="11">
        <f t="shared" si="17"/>
        <v>0.51562499999999989</v>
      </c>
      <c r="R20" s="11">
        <f t="shared" si="18"/>
        <v>0.45312500000000011</v>
      </c>
      <c r="S20" s="11">
        <f t="shared" si="19"/>
        <v>0.625</v>
      </c>
      <c r="T20" s="11">
        <f t="shared" si="20"/>
        <v>-0.51562499999999989</v>
      </c>
      <c r="U20" s="11">
        <f t="shared" si="21"/>
        <v>-0.51562499999999989</v>
      </c>
      <c r="V20" s="11">
        <f t="shared" si="22"/>
        <v>-6.2499999999999806E-2</v>
      </c>
      <c r="W20" s="13">
        <f t="shared" si="23"/>
        <v>0.10937500000000007</v>
      </c>
      <c r="X20" s="11">
        <f t="shared" si="24"/>
        <v>-0.45312500000000011</v>
      </c>
      <c r="Y20" s="11">
        <f t="shared" si="25"/>
        <v>-0.45312500000000011</v>
      </c>
      <c r="Z20" s="11">
        <f t="shared" si="26"/>
        <v>6.2499999999999806E-2</v>
      </c>
      <c r="AA20" s="11">
        <f t="shared" si="27"/>
        <v>0.17187499999999989</v>
      </c>
      <c r="AB20" s="11">
        <f t="shared" si="28"/>
        <v>-0.625</v>
      </c>
      <c r="AC20" s="11">
        <f t="shared" si="29"/>
        <v>-0.625</v>
      </c>
      <c r="AD20" s="11">
        <f t="shared" si="30"/>
        <v>-0.10937500000000007</v>
      </c>
      <c r="AE20" s="11">
        <f t="shared" si="31"/>
        <v>-0.17187499999999989</v>
      </c>
    </row>
    <row r="21" spans="1:37">
      <c r="A21" s="12" t="s">
        <v>291</v>
      </c>
      <c r="B21" s="166">
        <f>AB57</f>
        <v>5.616815292640831E-2</v>
      </c>
      <c r="C21" s="166">
        <f t="shared" ref="C21:E21" si="37">AC57</f>
        <v>0.15739984739032489</v>
      </c>
      <c r="D21" s="166">
        <f t="shared" si="37"/>
        <v>4.6311067701861192E-2</v>
      </c>
      <c r="E21" s="166">
        <f t="shared" si="37"/>
        <v>7.9457313340465491E-2</v>
      </c>
      <c r="F21" s="167" t="s">
        <v>124</v>
      </c>
      <c r="G21" s="173">
        <f>AVERAGE(B21:E21)</f>
        <v>8.4834095339764964E-2</v>
      </c>
      <c r="K21" s="50" t="s">
        <v>274</v>
      </c>
      <c r="L21" s="11">
        <f t="shared" si="33"/>
        <v>0</v>
      </c>
      <c r="M21" s="11">
        <f t="shared" si="15"/>
        <v>-0.44782608695652171</v>
      </c>
      <c r="N21" s="11">
        <f t="shared" si="34"/>
        <v>0.55217391304347829</v>
      </c>
      <c r="O21" s="11">
        <f t="shared" si="16"/>
        <v>0.39782608695652177</v>
      </c>
      <c r="P21" s="11">
        <f t="shared" si="35"/>
        <v>0</v>
      </c>
      <c r="Q21" s="11">
        <f t="shared" si="17"/>
        <v>-0.44782608695652171</v>
      </c>
      <c r="R21" s="11">
        <f t="shared" si="18"/>
        <v>0.55217391304347829</v>
      </c>
      <c r="S21" s="11">
        <f t="shared" si="19"/>
        <v>0.39782608695652177</v>
      </c>
      <c r="T21" s="11">
        <f t="shared" si="20"/>
        <v>0.44782608695652171</v>
      </c>
      <c r="U21" s="11">
        <f t="shared" si="21"/>
        <v>0.44782608695652171</v>
      </c>
      <c r="V21" s="11">
        <f t="shared" si="22"/>
        <v>1</v>
      </c>
      <c r="W21" s="13">
        <f t="shared" si="23"/>
        <v>0.84565217391304348</v>
      </c>
      <c r="X21" s="11">
        <f t="shared" si="24"/>
        <v>-0.55217391304347829</v>
      </c>
      <c r="Y21" s="11">
        <f t="shared" si="25"/>
        <v>-0.55217391304347829</v>
      </c>
      <c r="Z21" s="11">
        <f t="shared" si="26"/>
        <v>-1</v>
      </c>
      <c r="AA21" s="11">
        <f t="shared" si="27"/>
        <v>-0.15434782608695652</v>
      </c>
      <c r="AB21" s="11">
        <f t="shared" si="28"/>
        <v>-0.39782608695652177</v>
      </c>
      <c r="AC21" s="11">
        <f t="shared" si="29"/>
        <v>-0.39782608695652177</v>
      </c>
      <c r="AD21" s="11">
        <f t="shared" si="30"/>
        <v>-0.84565217391304348</v>
      </c>
      <c r="AE21" s="11">
        <f t="shared" si="31"/>
        <v>0.15434782608695652</v>
      </c>
    </row>
    <row r="22" spans="1:37">
      <c r="A22" s="98" t="s">
        <v>127</v>
      </c>
      <c r="B22" s="174">
        <f>AVERAGE(B18:B21)</f>
        <v>0.12805469270634376</v>
      </c>
      <c r="C22" s="174">
        <f>AVERAGE(C19:C21,C17)</f>
        <v>0.29383605190392997</v>
      </c>
      <c r="D22" s="174">
        <f>AVERAGE(D17:D18,D20:D21)</f>
        <v>6.9198768251511888E-2</v>
      </c>
      <c r="E22" s="174">
        <f>AVERAGE(E17:E19,E21)</f>
        <v>0.30009916773330542</v>
      </c>
      <c r="F22" s="174">
        <f>AVERAGE(F17:F20)</f>
        <v>0.44116013211529675</v>
      </c>
      <c r="G22" s="166"/>
      <c r="K22" s="51" t="s">
        <v>275</v>
      </c>
      <c r="L22" s="11">
        <f t="shared" si="33"/>
        <v>0</v>
      </c>
      <c r="M22" s="11">
        <f t="shared" si="15"/>
        <v>0</v>
      </c>
      <c r="N22" s="11">
        <f t="shared" si="34"/>
        <v>0.51515151515151514</v>
      </c>
      <c r="O22" s="11">
        <f t="shared" si="16"/>
        <v>1</v>
      </c>
      <c r="P22" s="11">
        <f t="shared" si="35"/>
        <v>0</v>
      </c>
      <c r="Q22" s="11">
        <f t="shared" si="17"/>
        <v>0</v>
      </c>
      <c r="R22" s="11">
        <f t="shared" si="18"/>
        <v>0.51515151515151514</v>
      </c>
      <c r="S22" s="11">
        <f t="shared" si="19"/>
        <v>1</v>
      </c>
      <c r="T22" s="11">
        <f t="shared" si="20"/>
        <v>0</v>
      </c>
      <c r="U22" s="11">
        <f t="shared" si="21"/>
        <v>0</v>
      </c>
      <c r="V22" s="11">
        <f t="shared" si="22"/>
        <v>0.51515151515151514</v>
      </c>
      <c r="W22" s="13">
        <f t="shared" si="23"/>
        <v>1</v>
      </c>
      <c r="X22" s="11">
        <f t="shared" si="24"/>
        <v>-0.51515151515151514</v>
      </c>
      <c r="Y22" s="11">
        <f t="shared" si="25"/>
        <v>-0.51515151515151514</v>
      </c>
      <c r="Z22" s="11">
        <f t="shared" si="26"/>
        <v>-0.51515151515151514</v>
      </c>
      <c r="AA22" s="11">
        <f t="shared" si="27"/>
        <v>0.48484848484848486</v>
      </c>
      <c r="AB22" s="11">
        <f t="shared" si="28"/>
        <v>-1</v>
      </c>
      <c r="AC22" s="11">
        <f t="shared" si="29"/>
        <v>-1</v>
      </c>
      <c r="AD22" s="11">
        <f t="shared" si="30"/>
        <v>-1</v>
      </c>
      <c r="AE22" s="11">
        <f t="shared" si="31"/>
        <v>-0.48484848484848486</v>
      </c>
    </row>
    <row r="23" spans="1:37">
      <c r="A23" s="43" t="s">
        <v>128</v>
      </c>
      <c r="B23" s="125">
        <f>G17-B22</f>
        <v>0.15178972673126775</v>
      </c>
      <c r="C23" s="125">
        <f>G18-C22</f>
        <v>-0.13263268788095212</v>
      </c>
      <c r="D23" s="125">
        <f>G19-D22</f>
        <v>0.44239179470583806</v>
      </c>
      <c r="E23" s="125">
        <f>G20-E22</f>
        <v>-0.10522279678062191</v>
      </c>
      <c r="F23" s="125">
        <f>G21-F22</f>
        <v>-0.35632603677553176</v>
      </c>
      <c r="G23" s="165"/>
      <c r="K23" s="51" t="s">
        <v>148</v>
      </c>
      <c r="L23" s="11">
        <f t="shared" si="33"/>
        <v>0</v>
      </c>
      <c r="M23" s="11">
        <f t="shared" si="15"/>
        <v>0.18032786885245888</v>
      </c>
      <c r="N23" s="11">
        <f t="shared" si="34"/>
        <v>0.64480874316939896</v>
      </c>
      <c r="O23" s="11">
        <f t="shared" si="16"/>
        <v>1</v>
      </c>
      <c r="P23" s="11">
        <f t="shared" si="35"/>
        <v>0</v>
      </c>
      <c r="Q23" s="11">
        <f t="shared" si="17"/>
        <v>0.18032786885245888</v>
      </c>
      <c r="R23" s="11">
        <f t="shared" si="18"/>
        <v>0.64480874316939896</v>
      </c>
      <c r="S23" s="11">
        <f t="shared" si="19"/>
        <v>1</v>
      </c>
      <c r="T23" s="11">
        <f t="shared" si="20"/>
        <v>-0.18032786885245888</v>
      </c>
      <c r="U23" s="11">
        <f t="shared" si="21"/>
        <v>-0.18032786885245888</v>
      </c>
      <c r="V23" s="11">
        <f t="shared" si="22"/>
        <v>0.46448087431694007</v>
      </c>
      <c r="W23" s="13">
        <f t="shared" si="23"/>
        <v>0.81967213114754112</v>
      </c>
      <c r="X23" s="11">
        <f t="shared" si="24"/>
        <v>-0.64480874316939896</v>
      </c>
      <c r="Y23" s="11">
        <f t="shared" si="25"/>
        <v>-0.64480874316939896</v>
      </c>
      <c r="Z23" s="11">
        <f t="shared" si="26"/>
        <v>-0.46448087431694007</v>
      </c>
      <c r="AA23" s="11">
        <f t="shared" si="27"/>
        <v>0.35519125683060104</v>
      </c>
      <c r="AB23" s="11">
        <f t="shared" si="28"/>
        <v>-1</v>
      </c>
      <c r="AC23" s="11">
        <f t="shared" si="29"/>
        <v>-1</v>
      </c>
      <c r="AD23" s="11">
        <f t="shared" si="30"/>
        <v>-0.81967213114754112</v>
      </c>
      <c r="AE23" s="11">
        <f t="shared" si="31"/>
        <v>-0.35519125683060104</v>
      </c>
    </row>
    <row r="24" spans="1:37">
      <c r="B24">
        <v>2</v>
      </c>
      <c r="C24">
        <v>4</v>
      </c>
      <c r="D24">
        <v>1</v>
      </c>
      <c r="E24">
        <v>3</v>
      </c>
      <c r="F24">
        <v>5</v>
      </c>
      <c r="K24" s="51" t="s">
        <v>149</v>
      </c>
      <c r="L24" s="11">
        <f>M10-N10</f>
        <v>0.22085889570552153</v>
      </c>
      <c r="M24" s="11">
        <f t="shared" si="15"/>
        <v>-0.25766871165644167</v>
      </c>
      <c r="N24" s="11">
        <f t="shared" si="34"/>
        <v>0.74233128834355833</v>
      </c>
      <c r="O24" s="11">
        <f t="shared" si="16"/>
        <v>0.74233128834355833</v>
      </c>
      <c r="P24" s="11">
        <f t="shared" si="35"/>
        <v>-0.22085889570552153</v>
      </c>
      <c r="Q24" s="11">
        <f t="shared" si="17"/>
        <v>-0.4785276073619632</v>
      </c>
      <c r="R24" s="11">
        <f t="shared" si="18"/>
        <v>0.5214723926380368</v>
      </c>
      <c r="S24" s="11">
        <f t="shared" si="19"/>
        <v>0.5214723926380368</v>
      </c>
      <c r="T24" s="11">
        <f t="shared" si="20"/>
        <v>0.25766871165644167</v>
      </c>
      <c r="U24" s="11">
        <f t="shared" si="21"/>
        <v>0.4785276073619632</v>
      </c>
      <c r="V24" s="11">
        <f t="shared" si="22"/>
        <v>1</v>
      </c>
      <c r="W24" s="13">
        <f t="shared" si="23"/>
        <v>1</v>
      </c>
      <c r="X24" s="11">
        <f t="shared" si="24"/>
        <v>-0.74233128834355833</v>
      </c>
      <c r="Y24" s="11">
        <f t="shared" si="25"/>
        <v>-0.5214723926380368</v>
      </c>
      <c r="Z24" s="11">
        <f t="shared" si="26"/>
        <v>-1</v>
      </c>
      <c r="AA24" s="11">
        <f t="shared" si="27"/>
        <v>0</v>
      </c>
      <c r="AB24" s="11">
        <f t="shared" si="28"/>
        <v>-0.74233128834355833</v>
      </c>
      <c r="AC24" s="11">
        <f t="shared" si="29"/>
        <v>-0.5214723926380368</v>
      </c>
      <c r="AD24" s="11">
        <f t="shared" si="30"/>
        <v>-1</v>
      </c>
      <c r="AE24" s="11">
        <f t="shared" si="31"/>
        <v>0</v>
      </c>
    </row>
    <row r="25" spans="1:37">
      <c r="K25" s="52" t="s">
        <v>277</v>
      </c>
      <c r="L25" s="11">
        <f t="shared" ref="L25:L26" si="38">M11-N11</f>
        <v>0.21021021021021014</v>
      </c>
      <c r="M25" s="11">
        <f t="shared" si="15"/>
        <v>-0.78978978978978986</v>
      </c>
      <c r="N25" s="11">
        <f t="shared" si="34"/>
        <v>3.0030030030029992E-2</v>
      </c>
      <c r="O25" s="11">
        <f t="shared" si="16"/>
        <v>-0.22222222222222227</v>
      </c>
      <c r="P25" s="11">
        <f t="shared" si="35"/>
        <v>-0.21021021021021014</v>
      </c>
      <c r="Q25" s="11">
        <f t="shared" si="17"/>
        <v>-1</v>
      </c>
      <c r="R25" s="11">
        <f t="shared" si="18"/>
        <v>-0.18018018018018014</v>
      </c>
      <c r="S25" s="11">
        <f t="shared" si="19"/>
        <v>-0.4324324324324324</v>
      </c>
      <c r="T25" s="11">
        <f t="shared" si="20"/>
        <v>0.78978978978978986</v>
      </c>
      <c r="U25" s="11">
        <f t="shared" si="21"/>
        <v>1</v>
      </c>
      <c r="V25" s="11">
        <f t="shared" si="22"/>
        <v>0.81981981981981988</v>
      </c>
      <c r="W25" s="13">
        <f t="shared" si="23"/>
        <v>0.56756756756756754</v>
      </c>
      <c r="X25" s="11">
        <f t="shared" si="24"/>
        <v>-3.0030030030029992E-2</v>
      </c>
      <c r="Y25" s="11">
        <f t="shared" si="25"/>
        <v>0.18018018018018014</v>
      </c>
      <c r="Z25" s="11">
        <f t="shared" si="26"/>
        <v>-0.81981981981981988</v>
      </c>
      <c r="AA25" s="11">
        <f t="shared" si="27"/>
        <v>-0.25225225225225223</v>
      </c>
      <c r="AB25" s="11">
        <f t="shared" si="28"/>
        <v>0.22222222222222227</v>
      </c>
      <c r="AC25" s="11">
        <f t="shared" si="29"/>
        <v>0.4324324324324324</v>
      </c>
      <c r="AD25" s="11">
        <f t="shared" si="30"/>
        <v>-0.56756756756756754</v>
      </c>
      <c r="AE25" s="11">
        <f t="shared" si="31"/>
        <v>0.25225225225225223</v>
      </c>
    </row>
    <row r="26" spans="1:37">
      <c r="A26" s="101" t="s">
        <v>314</v>
      </c>
      <c r="B26" s="101" t="s">
        <v>207</v>
      </c>
      <c r="C26" s="101" t="s">
        <v>205</v>
      </c>
      <c r="D26" s="101" t="s">
        <v>208</v>
      </c>
      <c r="E26" s="101" t="s">
        <v>206</v>
      </c>
      <c r="F26" s="101" t="s">
        <v>209</v>
      </c>
      <c r="K26" s="53" t="s">
        <v>279</v>
      </c>
      <c r="L26" s="11">
        <f t="shared" si="38"/>
        <v>0.45454545454545425</v>
      </c>
      <c r="M26" s="11">
        <f t="shared" si="15"/>
        <v>-0.54545454545454575</v>
      </c>
      <c r="N26" s="11">
        <f t="shared" si="34"/>
        <v>0.45454545454545425</v>
      </c>
      <c r="O26" s="11">
        <f t="shared" si="16"/>
        <v>0</v>
      </c>
      <c r="P26" s="11">
        <f t="shared" si="35"/>
        <v>-0.45454545454545425</v>
      </c>
      <c r="Q26" s="11">
        <f t="shared" si="17"/>
        <v>-1</v>
      </c>
      <c r="R26" s="11">
        <f t="shared" si="18"/>
        <v>0</v>
      </c>
      <c r="S26" s="11">
        <f t="shared" si="19"/>
        <v>-0.45454545454545425</v>
      </c>
      <c r="T26" s="11">
        <f t="shared" si="20"/>
        <v>0.54545454545454575</v>
      </c>
      <c r="U26" s="11">
        <f t="shared" si="21"/>
        <v>1</v>
      </c>
      <c r="V26" s="11">
        <f t="shared" si="22"/>
        <v>1</v>
      </c>
      <c r="W26" s="13">
        <f t="shared" si="23"/>
        <v>0.54545454545454575</v>
      </c>
      <c r="X26" s="11">
        <f t="shared" si="24"/>
        <v>-0.45454545454545425</v>
      </c>
      <c r="Y26" s="11">
        <f t="shared" si="25"/>
        <v>0</v>
      </c>
      <c r="Z26" s="11">
        <f t="shared" si="26"/>
        <v>-1</v>
      </c>
      <c r="AA26" s="11">
        <f t="shared" si="27"/>
        <v>-0.45454545454545425</v>
      </c>
      <c r="AB26" s="11">
        <f t="shared" si="28"/>
        <v>0</v>
      </c>
      <c r="AC26" s="11">
        <f t="shared" si="29"/>
        <v>0.45454545454545425</v>
      </c>
      <c r="AD26" s="11">
        <f t="shared" si="30"/>
        <v>-0.54545454545454575</v>
      </c>
      <c r="AE26" s="11">
        <f t="shared" si="31"/>
        <v>0.45454545454545425</v>
      </c>
    </row>
    <row r="27" spans="1:37">
      <c r="A27" s="101" t="s">
        <v>283</v>
      </c>
      <c r="B27" s="101" t="s">
        <v>207</v>
      </c>
      <c r="C27" s="101" t="s">
        <v>205</v>
      </c>
      <c r="D27" s="101" t="s">
        <v>206</v>
      </c>
      <c r="E27" s="101" t="s">
        <v>208</v>
      </c>
      <c r="F27" s="101" t="s">
        <v>209</v>
      </c>
      <c r="K27" s="53" t="s">
        <v>280</v>
      </c>
      <c r="L27" s="11">
        <f>M13-N13</f>
        <v>0</v>
      </c>
      <c r="M27" s="11">
        <f t="shared" si="15"/>
        <v>-0.68636363636363651</v>
      </c>
      <c r="N27" s="11">
        <f t="shared" si="34"/>
        <v>-0.10454545454545466</v>
      </c>
      <c r="O27" s="11">
        <f t="shared" si="16"/>
        <v>0.31363636363636355</v>
      </c>
      <c r="P27" s="11">
        <f t="shared" si="35"/>
        <v>0</v>
      </c>
      <c r="Q27" s="11">
        <f>N13-O13</f>
        <v>-0.68636363636363651</v>
      </c>
      <c r="R27" s="11">
        <f t="shared" si="18"/>
        <v>-0.10454545454545466</v>
      </c>
      <c r="S27" s="11">
        <f t="shared" si="19"/>
        <v>0.31363636363636355</v>
      </c>
      <c r="T27" s="11">
        <f t="shared" si="20"/>
        <v>0.68636363636363651</v>
      </c>
      <c r="U27" s="11">
        <f t="shared" si="21"/>
        <v>0.68636363636363651</v>
      </c>
      <c r="V27" s="11">
        <f t="shared" si="22"/>
        <v>0.58181818181818179</v>
      </c>
      <c r="W27" s="13">
        <f t="shared" si="23"/>
        <v>1</v>
      </c>
      <c r="X27" s="11">
        <f t="shared" si="24"/>
        <v>0.10454545454545466</v>
      </c>
      <c r="Y27" s="11">
        <f t="shared" si="25"/>
        <v>0.10454545454545466</v>
      </c>
      <c r="Z27" s="11">
        <f t="shared" si="26"/>
        <v>-0.58181818181818179</v>
      </c>
      <c r="AA27" s="11">
        <f t="shared" si="27"/>
        <v>0.41818181818181821</v>
      </c>
      <c r="AB27" s="11">
        <f t="shared" si="28"/>
        <v>-0.31363636363636355</v>
      </c>
      <c r="AC27" s="11">
        <f t="shared" si="29"/>
        <v>-0.31363636363636355</v>
      </c>
      <c r="AD27" s="11">
        <f t="shared" si="30"/>
        <v>-1</v>
      </c>
      <c r="AE27" s="11">
        <f t="shared" si="31"/>
        <v>-0.41818181818181821</v>
      </c>
    </row>
    <row r="29" spans="1:37">
      <c r="B29" s="19" t="s">
        <v>129</v>
      </c>
      <c r="C29" s="162" t="s">
        <v>283</v>
      </c>
      <c r="D29" s="162" t="s">
        <v>131</v>
      </c>
    </row>
    <row r="30" spans="1:37">
      <c r="A30" s="48" t="s">
        <v>269</v>
      </c>
      <c r="B30" s="136">
        <v>0.101609413997378</v>
      </c>
      <c r="C30" s="136">
        <v>4.54881737634509E-2</v>
      </c>
      <c r="D30" s="125">
        <v>0.371684356480731</v>
      </c>
      <c r="K30" s="9" t="s">
        <v>126</v>
      </c>
      <c r="L30" s="89" t="s">
        <v>118</v>
      </c>
      <c r="M30" s="12" t="s">
        <v>119</v>
      </c>
      <c r="N30" s="12" t="s">
        <v>299</v>
      </c>
      <c r="O30" s="12" t="s">
        <v>300</v>
      </c>
      <c r="P30" s="12" t="s">
        <v>120</v>
      </c>
      <c r="Q30" s="12" t="s">
        <v>301</v>
      </c>
      <c r="R30" s="12" t="s">
        <v>302</v>
      </c>
      <c r="S30" s="12" t="s">
        <v>303</v>
      </c>
      <c r="T30" s="12" t="s">
        <v>123</v>
      </c>
      <c r="U30" s="87" t="s">
        <v>125</v>
      </c>
      <c r="V30" s="88" t="s">
        <v>304</v>
      </c>
      <c r="W30" s="88" t="s">
        <v>305</v>
      </c>
      <c r="X30" s="9" t="s">
        <v>306</v>
      </c>
      <c r="Y30" s="9" t="s">
        <v>307</v>
      </c>
      <c r="Z30" s="9" t="s">
        <v>308</v>
      </c>
      <c r="AA30" s="9" t="s">
        <v>309</v>
      </c>
      <c r="AB30" s="9" t="s">
        <v>310</v>
      </c>
      <c r="AC30" s="9" t="s">
        <v>311</v>
      </c>
      <c r="AD30" s="9" t="s">
        <v>312</v>
      </c>
      <c r="AE30" s="9" t="s">
        <v>313</v>
      </c>
    </row>
    <row r="31" spans="1:37">
      <c r="A31" s="47" t="s">
        <v>270</v>
      </c>
      <c r="B31" s="136">
        <v>0.13872845891735761</v>
      </c>
      <c r="C31" s="136">
        <v>2.7027531603158302E-2</v>
      </c>
      <c r="D31" s="125">
        <v>0.220842251074368</v>
      </c>
      <c r="K31" s="48" t="s">
        <v>269</v>
      </c>
      <c r="L31" s="90">
        <v>5.8139534883720999E-2</v>
      </c>
      <c r="M31" s="90">
        <v>0</v>
      </c>
      <c r="N31" s="90">
        <v>0</v>
      </c>
      <c r="O31" s="90">
        <v>0.15116279069767444</v>
      </c>
      <c r="P31" s="90">
        <v>0</v>
      </c>
      <c r="Q31" s="90">
        <v>0</v>
      </c>
      <c r="R31" s="90">
        <v>0</v>
      </c>
      <c r="S31" s="90">
        <v>9.3023255813953445E-2</v>
      </c>
      <c r="T31" s="90">
        <v>0.80232558139534871</v>
      </c>
      <c r="U31" s="90">
        <v>0.86046511627906974</v>
      </c>
      <c r="V31" s="90">
        <v>0</v>
      </c>
      <c r="W31" s="90">
        <v>0.95348837209302317</v>
      </c>
      <c r="X31" s="90">
        <v>0.84883720930232553</v>
      </c>
      <c r="Y31" s="90">
        <v>0.90697674418604657</v>
      </c>
      <c r="Z31" s="90">
        <v>4.6511627906976827E-2</v>
      </c>
      <c r="AA31" s="90">
        <v>1</v>
      </c>
      <c r="AB31" s="90">
        <v>0</v>
      </c>
      <c r="AC31" s="90">
        <v>0</v>
      </c>
      <c r="AD31" s="90">
        <v>0</v>
      </c>
      <c r="AE31" s="90">
        <v>0</v>
      </c>
    </row>
    <row r="32" spans="1:37">
      <c r="A32" s="48" t="s">
        <v>271</v>
      </c>
      <c r="B32" s="136">
        <v>8.3746172057538065E-2</v>
      </c>
      <c r="C32" s="136">
        <v>4.9868174854104753E-2</v>
      </c>
      <c r="D32" s="125">
        <v>0.40747339244490099</v>
      </c>
      <c r="K32" s="47" t="s">
        <v>270</v>
      </c>
      <c r="L32" s="90">
        <v>0.79591836734693877</v>
      </c>
      <c r="M32" s="90">
        <v>0</v>
      </c>
      <c r="N32" s="90">
        <v>0.77551020408163263</v>
      </c>
      <c r="O32" s="90">
        <v>0.75510204081632648</v>
      </c>
      <c r="P32" s="90">
        <v>0</v>
      </c>
      <c r="Q32" s="90">
        <v>0</v>
      </c>
      <c r="R32" s="90">
        <v>0</v>
      </c>
      <c r="S32" s="90">
        <v>0</v>
      </c>
      <c r="T32" s="90">
        <v>0.20408163265306123</v>
      </c>
      <c r="U32" s="90">
        <v>1</v>
      </c>
      <c r="V32" s="90">
        <v>0.97959183673469385</v>
      </c>
      <c r="W32" s="90">
        <v>0.95918367346938771</v>
      </c>
      <c r="X32" s="90">
        <v>0</v>
      </c>
      <c r="Y32" s="90">
        <v>2.0408163265306142E-2</v>
      </c>
      <c r="Z32" s="90">
        <v>0</v>
      </c>
      <c r="AA32" s="90">
        <v>0</v>
      </c>
      <c r="AB32" s="90">
        <v>0</v>
      </c>
      <c r="AC32" s="90">
        <v>4.0816326530612283E-2</v>
      </c>
      <c r="AD32" s="90">
        <v>0</v>
      </c>
      <c r="AE32" s="90">
        <v>2.0408163265306145E-2</v>
      </c>
    </row>
    <row r="33" spans="1:31">
      <c r="A33" s="49" t="s">
        <v>272</v>
      </c>
      <c r="B33" s="176">
        <v>5.9421879421809626E-2</v>
      </c>
      <c r="C33" s="136">
        <v>0.16802697562153965</v>
      </c>
      <c r="D33" s="125">
        <v>0.417624101834628</v>
      </c>
      <c r="K33" s="48" t="s">
        <v>271</v>
      </c>
      <c r="L33" s="90">
        <v>0.7777777777777779</v>
      </c>
      <c r="M33" s="90">
        <v>0</v>
      </c>
      <c r="N33" s="90">
        <v>0</v>
      </c>
      <c r="O33" s="90">
        <v>0.80555555555555569</v>
      </c>
      <c r="P33" s="90">
        <v>0</v>
      </c>
      <c r="Q33" s="90">
        <v>0</v>
      </c>
      <c r="R33" s="90">
        <v>0</v>
      </c>
      <c r="S33" s="90">
        <v>2.7777777777777804E-2</v>
      </c>
      <c r="T33" s="90">
        <v>0.16666666666666663</v>
      </c>
      <c r="U33" s="90">
        <v>0.94444444444444453</v>
      </c>
      <c r="V33" s="90">
        <v>0</v>
      </c>
      <c r="W33" s="90">
        <v>0.97222222222222232</v>
      </c>
      <c r="X33" s="90">
        <v>0.19444444444444431</v>
      </c>
      <c r="Y33" s="90">
        <v>0.97222222222222221</v>
      </c>
      <c r="Z33" s="90">
        <v>2.7777777777777679E-2</v>
      </c>
      <c r="AA33" s="90">
        <v>1</v>
      </c>
      <c r="AB33" s="90">
        <v>0</v>
      </c>
      <c r="AC33" s="90">
        <v>0</v>
      </c>
      <c r="AD33" s="90">
        <v>0</v>
      </c>
      <c r="AE33" s="90">
        <v>0</v>
      </c>
    </row>
    <row r="34" spans="1:31">
      <c r="A34" s="49" t="s">
        <v>273</v>
      </c>
      <c r="B34" s="176">
        <v>9.3325962456387926E-2</v>
      </c>
      <c r="C34" s="136">
        <v>0.10019984188156116</v>
      </c>
      <c r="D34" s="125">
        <v>0.24904256483203899</v>
      </c>
      <c r="K34" s="49" t="s">
        <v>272</v>
      </c>
      <c r="L34" s="90">
        <v>0.38372817955112226</v>
      </c>
      <c r="M34" s="90">
        <v>9.2581047381546197E-2</v>
      </c>
      <c r="N34" s="90">
        <v>0</v>
      </c>
      <c r="O34" s="90">
        <v>0</v>
      </c>
      <c r="P34" s="90">
        <v>0</v>
      </c>
      <c r="Q34" s="90">
        <v>0</v>
      </c>
      <c r="R34" s="90">
        <v>0</v>
      </c>
      <c r="S34" s="90">
        <v>0</v>
      </c>
      <c r="T34" s="90">
        <v>0</v>
      </c>
      <c r="U34" s="90">
        <v>0.29114713216957611</v>
      </c>
      <c r="V34" s="90">
        <v>0</v>
      </c>
      <c r="W34" s="90">
        <v>0</v>
      </c>
      <c r="X34" s="90">
        <v>0.61627182044887774</v>
      </c>
      <c r="Y34" s="90">
        <v>1</v>
      </c>
      <c r="Z34" s="90">
        <v>0.70885286783042389</v>
      </c>
      <c r="AA34" s="90">
        <v>0.27711970074812964</v>
      </c>
      <c r="AB34" s="90">
        <v>0.3391521197007481</v>
      </c>
      <c r="AC34" s="90">
        <v>0.72288029925187036</v>
      </c>
      <c r="AD34" s="90">
        <v>0.43173316708229426</v>
      </c>
      <c r="AE34" s="90">
        <v>0</v>
      </c>
    </row>
    <row r="35" spans="1:31">
      <c r="A35" s="50" t="s">
        <v>274</v>
      </c>
      <c r="B35" s="176">
        <v>7.8352192336344814E-2</v>
      </c>
      <c r="C35" s="136">
        <v>0.1341134087515502</v>
      </c>
      <c r="D35" s="125">
        <v>0.33333333333333298</v>
      </c>
      <c r="K35" s="49" t="s">
        <v>273</v>
      </c>
      <c r="L35" s="90">
        <v>0</v>
      </c>
      <c r="M35" s="90">
        <v>0.51562499999999989</v>
      </c>
      <c r="N35" s="90">
        <v>0.45312500000000011</v>
      </c>
      <c r="O35" s="90">
        <v>0.625</v>
      </c>
      <c r="P35" s="90">
        <v>0</v>
      </c>
      <c r="Q35" s="90">
        <v>0.51562499999999989</v>
      </c>
      <c r="R35" s="90">
        <v>0.45312500000000011</v>
      </c>
      <c r="S35" s="90">
        <v>0.625</v>
      </c>
      <c r="T35" s="90">
        <v>0</v>
      </c>
      <c r="U35" s="90">
        <v>0</v>
      </c>
      <c r="V35" s="90">
        <v>0</v>
      </c>
      <c r="W35" s="90">
        <v>0.10937500000000007</v>
      </c>
      <c r="X35" s="90">
        <v>0</v>
      </c>
      <c r="Y35" s="90">
        <v>0</v>
      </c>
      <c r="Z35" s="90">
        <v>6.2499999999999806E-2</v>
      </c>
      <c r="AA35" s="90">
        <v>0.17187499999999989</v>
      </c>
      <c r="AB35" s="90">
        <v>0</v>
      </c>
      <c r="AC35" s="90">
        <v>0</v>
      </c>
      <c r="AD35" s="90">
        <v>0</v>
      </c>
      <c r="AE35" s="90">
        <v>0</v>
      </c>
    </row>
    <row r="36" spans="1:31">
      <c r="A36" s="51" t="s">
        <v>275</v>
      </c>
      <c r="B36" s="176">
        <v>4.6323927858436344E-2</v>
      </c>
      <c r="C36" s="136">
        <v>0.14188370585022853</v>
      </c>
      <c r="D36" s="125">
        <v>0.48851080758426702</v>
      </c>
      <c r="K36" s="50" t="s">
        <v>274</v>
      </c>
      <c r="L36" s="90">
        <v>0</v>
      </c>
      <c r="M36" s="90">
        <v>0</v>
      </c>
      <c r="N36" s="90">
        <v>0.55217391304347829</v>
      </c>
      <c r="O36" s="90">
        <v>0.39782608695652177</v>
      </c>
      <c r="P36" s="90">
        <v>0</v>
      </c>
      <c r="Q36" s="90">
        <v>0</v>
      </c>
      <c r="R36" s="90">
        <v>0.55217391304347829</v>
      </c>
      <c r="S36" s="90">
        <v>0.39782608695652177</v>
      </c>
      <c r="T36" s="90">
        <v>0.44782608695652171</v>
      </c>
      <c r="U36" s="90">
        <v>0.44782608695652171</v>
      </c>
      <c r="V36" s="90">
        <v>1</v>
      </c>
      <c r="W36" s="90">
        <v>0.84565217391304348</v>
      </c>
      <c r="X36" s="90">
        <v>0</v>
      </c>
      <c r="Y36" s="90">
        <v>0</v>
      </c>
      <c r="Z36" s="90">
        <v>0</v>
      </c>
      <c r="AA36" s="90">
        <v>0</v>
      </c>
      <c r="AB36" s="90">
        <v>0</v>
      </c>
      <c r="AC36" s="90">
        <v>0</v>
      </c>
      <c r="AD36" s="90">
        <v>0</v>
      </c>
      <c r="AE36" s="90">
        <v>0.15434782608695652</v>
      </c>
    </row>
    <row r="37" spans="1:31">
      <c r="A37" s="51" t="s">
        <v>148</v>
      </c>
      <c r="B37" s="176">
        <v>5.1081675947059493E-2</v>
      </c>
      <c r="C37" s="136">
        <v>8.5933498815186513E-2</v>
      </c>
      <c r="D37" s="125">
        <v>0.29587219091289901</v>
      </c>
      <c r="K37" s="51" t="s">
        <v>275</v>
      </c>
      <c r="L37" s="90">
        <v>0</v>
      </c>
      <c r="M37" s="90">
        <v>0</v>
      </c>
      <c r="N37" s="90">
        <v>0.51515151515151514</v>
      </c>
      <c r="O37" s="90">
        <v>1</v>
      </c>
      <c r="P37" s="90">
        <v>0</v>
      </c>
      <c r="Q37" s="90">
        <v>0</v>
      </c>
      <c r="R37" s="90">
        <v>0.51515151515151514</v>
      </c>
      <c r="S37" s="90">
        <v>1</v>
      </c>
      <c r="T37" s="90">
        <v>0</v>
      </c>
      <c r="U37" s="90">
        <v>0</v>
      </c>
      <c r="V37" s="90">
        <v>0.51515151515151514</v>
      </c>
      <c r="W37" s="90">
        <v>1</v>
      </c>
      <c r="X37" s="90">
        <v>0</v>
      </c>
      <c r="Y37" s="90">
        <v>0</v>
      </c>
      <c r="Z37" s="90">
        <v>0</v>
      </c>
      <c r="AA37" s="90">
        <v>0.48484848484848486</v>
      </c>
      <c r="AB37" s="90">
        <v>0</v>
      </c>
      <c r="AC37" s="90">
        <v>0</v>
      </c>
      <c r="AD37" s="90">
        <v>0</v>
      </c>
      <c r="AE37" s="90">
        <v>0</v>
      </c>
    </row>
    <row r="38" spans="1:31">
      <c r="A38" s="51" t="s">
        <v>149</v>
      </c>
      <c r="B38" s="176">
        <v>9.6892895188036732E-2</v>
      </c>
      <c r="C38" s="136">
        <v>6.2624078613161965E-2</v>
      </c>
      <c r="D38" s="125">
        <v>0.215617001502834</v>
      </c>
      <c r="K38" s="51" t="s">
        <v>148</v>
      </c>
      <c r="L38" s="90">
        <v>0</v>
      </c>
      <c r="M38" s="90">
        <v>0.18032786885245888</v>
      </c>
      <c r="N38" s="90">
        <v>0.64480874316939896</v>
      </c>
      <c r="O38" s="90">
        <v>1</v>
      </c>
      <c r="P38" s="90">
        <v>0</v>
      </c>
      <c r="Q38" s="90">
        <v>0.18032786885245888</v>
      </c>
      <c r="R38" s="90">
        <v>0.64480874316939896</v>
      </c>
      <c r="S38" s="90">
        <v>1</v>
      </c>
      <c r="T38" s="90">
        <v>0</v>
      </c>
      <c r="U38" s="90">
        <v>0</v>
      </c>
      <c r="V38" s="90">
        <v>0.46448087431694007</v>
      </c>
      <c r="W38" s="90">
        <v>0.81967213114754112</v>
      </c>
      <c r="X38" s="90">
        <v>0</v>
      </c>
      <c r="Y38" s="90">
        <v>0</v>
      </c>
      <c r="Z38" s="90">
        <v>0</v>
      </c>
      <c r="AA38" s="90">
        <v>0.35519125683060104</v>
      </c>
      <c r="AB38" s="90">
        <v>0</v>
      </c>
      <c r="AC38" s="90">
        <v>0</v>
      </c>
      <c r="AD38" s="90">
        <v>0</v>
      </c>
      <c r="AE38" s="90">
        <v>0</v>
      </c>
    </row>
    <row r="39" spans="1:31">
      <c r="A39" s="52" t="s">
        <v>277</v>
      </c>
      <c r="B39" s="176">
        <v>8.2008098055530804E-2</v>
      </c>
      <c r="C39" s="136">
        <v>8.3899804414671139E-2</v>
      </c>
      <c r="D39" s="125">
        <v>0.45391825861499302</v>
      </c>
      <c r="K39" s="51" t="s">
        <v>149</v>
      </c>
      <c r="L39" s="90">
        <v>0.22085889570552153</v>
      </c>
      <c r="M39" s="90">
        <v>0</v>
      </c>
      <c r="N39" s="90">
        <v>0.74233128834355833</v>
      </c>
      <c r="O39" s="90">
        <v>0.74233128834355833</v>
      </c>
      <c r="P39" s="90">
        <v>0</v>
      </c>
      <c r="Q39" s="90">
        <v>0</v>
      </c>
      <c r="R39" s="90">
        <v>0.5214723926380368</v>
      </c>
      <c r="S39" s="90">
        <v>0.5214723926380368</v>
      </c>
      <c r="T39" s="90">
        <v>0.25766871165644167</v>
      </c>
      <c r="U39" s="90">
        <v>0.4785276073619632</v>
      </c>
      <c r="V39" s="90">
        <v>1</v>
      </c>
      <c r="W39" s="90">
        <v>1</v>
      </c>
      <c r="X39" s="90">
        <v>0</v>
      </c>
      <c r="Y39" s="90">
        <v>0</v>
      </c>
      <c r="Z39" s="90">
        <v>0</v>
      </c>
      <c r="AA39" s="90">
        <v>0</v>
      </c>
      <c r="AB39" s="90">
        <v>0</v>
      </c>
      <c r="AC39" s="90">
        <v>0</v>
      </c>
      <c r="AD39" s="90">
        <v>0</v>
      </c>
      <c r="AE39" s="90">
        <v>0</v>
      </c>
    </row>
    <row r="40" spans="1:31">
      <c r="A40" s="53" t="s">
        <v>279</v>
      </c>
      <c r="B40" s="176">
        <v>0.1044627082947613</v>
      </c>
      <c r="C40" s="136">
        <v>6.0115514428193184E-2</v>
      </c>
      <c r="D40" s="125">
        <v>0.32523949031063898</v>
      </c>
      <c r="K40" s="52" t="s">
        <v>277</v>
      </c>
      <c r="L40" s="90">
        <v>0.21021021021021014</v>
      </c>
      <c r="M40" s="90">
        <v>0</v>
      </c>
      <c r="N40" s="90">
        <v>3.0030030030029992E-2</v>
      </c>
      <c r="O40" s="90">
        <v>0</v>
      </c>
      <c r="P40" s="90">
        <v>0</v>
      </c>
      <c r="Q40" s="90">
        <v>0</v>
      </c>
      <c r="R40" s="90">
        <v>0</v>
      </c>
      <c r="S40" s="90">
        <v>0</v>
      </c>
      <c r="T40" s="90">
        <v>0.78978978978978986</v>
      </c>
      <c r="U40" s="90">
        <v>1</v>
      </c>
      <c r="V40" s="90">
        <v>0.81981981981981988</v>
      </c>
      <c r="W40" s="90">
        <v>0.56756756756756754</v>
      </c>
      <c r="X40" s="90">
        <v>0</v>
      </c>
      <c r="Y40" s="90">
        <v>0.18018018018018014</v>
      </c>
      <c r="Z40" s="90">
        <v>0</v>
      </c>
      <c r="AA40" s="90">
        <v>0</v>
      </c>
      <c r="AB40" s="90">
        <v>0.22222222222222227</v>
      </c>
      <c r="AC40" s="90">
        <v>0.4324324324324324</v>
      </c>
      <c r="AD40" s="90">
        <v>0</v>
      </c>
      <c r="AE40" s="90">
        <v>0.25225225225225223</v>
      </c>
    </row>
    <row r="41" spans="1:31">
      <c r="A41" s="53" t="s">
        <v>280</v>
      </c>
      <c r="B41" s="176">
        <v>6.4046615469359414E-2</v>
      </c>
      <c r="C41" s="136">
        <v>4.0819291403192667E-2</v>
      </c>
      <c r="D41" s="125">
        <v>0.220842251074368</v>
      </c>
      <c r="K41" s="53" t="s">
        <v>279</v>
      </c>
      <c r="L41" s="90">
        <v>0.45454545454545425</v>
      </c>
      <c r="M41" s="90">
        <v>0</v>
      </c>
      <c r="N41" s="90">
        <v>0.45454545454545425</v>
      </c>
      <c r="O41" s="90">
        <v>0</v>
      </c>
      <c r="P41" s="90">
        <v>0</v>
      </c>
      <c r="Q41" s="90">
        <v>0</v>
      </c>
      <c r="R41" s="90">
        <v>0</v>
      </c>
      <c r="S41" s="90">
        <v>0</v>
      </c>
      <c r="T41" s="90">
        <v>0.54545454545454575</v>
      </c>
      <c r="U41" s="90">
        <v>1</v>
      </c>
      <c r="V41" s="90">
        <v>1</v>
      </c>
      <c r="W41" s="90">
        <v>0.54545454545454575</v>
      </c>
      <c r="X41" s="90">
        <v>0</v>
      </c>
      <c r="Y41" s="90">
        <v>0</v>
      </c>
      <c r="Z41" s="90">
        <v>0</v>
      </c>
      <c r="AA41" s="90">
        <v>0</v>
      </c>
      <c r="AB41" s="90">
        <v>0</v>
      </c>
      <c r="AC41" s="90">
        <v>0.45454545454545425</v>
      </c>
      <c r="AD41" s="90">
        <v>0</v>
      </c>
      <c r="AE41" s="90">
        <v>0.45454545454545425</v>
      </c>
    </row>
    <row r="42" spans="1:31">
      <c r="K42" s="53" t="s">
        <v>280</v>
      </c>
      <c r="L42" s="90">
        <v>0</v>
      </c>
      <c r="M42" s="90">
        <v>0</v>
      </c>
      <c r="N42" s="90">
        <v>0</v>
      </c>
      <c r="O42" s="90">
        <v>0.31363636363636355</v>
      </c>
      <c r="P42" s="90">
        <v>0</v>
      </c>
      <c r="Q42" s="90">
        <v>0</v>
      </c>
      <c r="R42" s="90">
        <v>0</v>
      </c>
      <c r="S42" s="90">
        <v>0.31363636363636355</v>
      </c>
      <c r="T42" s="90">
        <v>0.68636363636363651</v>
      </c>
      <c r="U42" s="90">
        <v>0.68636363636363651</v>
      </c>
      <c r="V42" s="90">
        <v>0.58181818181818179</v>
      </c>
      <c r="W42" s="90">
        <v>1</v>
      </c>
      <c r="X42" s="90">
        <v>0.10454545454545466</v>
      </c>
      <c r="Y42" s="90">
        <v>0.10454545454545466</v>
      </c>
      <c r="Z42" s="90">
        <v>0</v>
      </c>
      <c r="AA42" s="90">
        <v>0.41818181818181821</v>
      </c>
      <c r="AB42" s="90">
        <v>0</v>
      </c>
      <c r="AC42" s="90">
        <v>0</v>
      </c>
      <c r="AD42" s="90">
        <v>0</v>
      </c>
      <c r="AE42" s="90">
        <v>0</v>
      </c>
    </row>
    <row r="43" spans="1:31">
      <c r="A43" s="101" t="s">
        <v>129</v>
      </c>
      <c r="B43" s="57" t="s">
        <v>287</v>
      </c>
      <c r="C43" s="9" t="s">
        <v>288</v>
      </c>
      <c r="D43" s="9" t="s">
        <v>289</v>
      </c>
      <c r="E43" s="9" t="s">
        <v>290</v>
      </c>
      <c r="F43" s="12" t="s">
        <v>291</v>
      </c>
      <c r="G43" s="97" t="s">
        <v>122</v>
      </c>
    </row>
    <row r="44" spans="1:31">
      <c r="A44" s="18" t="s">
        <v>287</v>
      </c>
      <c r="B44" s="136" t="s">
        <v>124</v>
      </c>
      <c r="C44" s="125">
        <f>L72</f>
        <v>0.29038346040104457</v>
      </c>
      <c r="D44" s="125">
        <f t="shared" ref="D44:F44" si="39">M72</f>
        <v>6.2833988986771241E-2</v>
      </c>
      <c r="E44" s="125">
        <f t="shared" si="39"/>
        <v>0.3718118343418062</v>
      </c>
      <c r="F44" s="125">
        <f t="shared" si="39"/>
        <v>0.46649475090393105</v>
      </c>
      <c r="G44" s="173">
        <f>AVERAGE(C44:F44)</f>
        <v>0.29788100865838824</v>
      </c>
      <c r="K44" s="43" t="s">
        <v>315</v>
      </c>
      <c r="L44" s="91" t="s">
        <v>118</v>
      </c>
      <c r="M44" s="19" t="s">
        <v>119</v>
      </c>
      <c r="N44" s="19" t="s">
        <v>299</v>
      </c>
      <c r="O44" s="19" t="s">
        <v>300</v>
      </c>
      <c r="P44" s="19" t="s">
        <v>120</v>
      </c>
      <c r="Q44" s="19" t="s">
        <v>301</v>
      </c>
      <c r="R44" s="19" t="s">
        <v>302</v>
      </c>
      <c r="S44" s="19" t="s">
        <v>303</v>
      </c>
      <c r="T44" s="19" t="s">
        <v>123</v>
      </c>
      <c r="U44" s="92" t="s">
        <v>125</v>
      </c>
      <c r="V44" s="93" t="s">
        <v>304</v>
      </c>
      <c r="W44" s="93" t="s">
        <v>305</v>
      </c>
      <c r="X44" s="19" t="s">
        <v>306</v>
      </c>
      <c r="Y44" s="19" t="s">
        <v>307</v>
      </c>
      <c r="Z44" s="19" t="s">
        <v>308</v>
      </c>
      <c r="AA44" s="19" t="s">
        <v>309</v>
      </c>
      <c r="AB44" s="19" t="s">
        <v>310</v>
      </c>
      <c r="AC44" s="19" t="s">
        <v>311</v>
      </c>
      <c r="AD44" s="19" t="s">
        <v>312</v>
      </c>
      <c r="AE44" s="19" t="s">
        <v>313</v>
      </c>
    </row>
    <row r="45" spans="1:31">
      <c r="A45" s="43" t="s">
        <v>288</v>
      </c>
      <c r="B45" s="136">
        <f>P72</f>
        <v>0</v>
      </c>
      <c r="C45" s="125" t="s">
        <v>124</v>
      </c>
      <c r="D45" s="125">
        <f>Q72</f>
        <v>5.7332649152520163E-2</v>
      </c>
      <c r="E45" s="125">
        <f t="shared" ref="E45:F45" si="40">R72</f>
        <v>0.19288108614973049</v>
      </c>
      <c r="F45" s="125">
        <f t="shared" si="40"/>
        <v>0.26929751495326737</v>
      </c>
      <c r="G45" s="173">
        <f>AVERAGE(B45:F45)</f>
        <v>0.12987781256387951</v>
      </c>
      <c r="K45" s="46" t="s">
        <v>269</v>
      </c>
      <c r="L45" s="11">
        <f>L2*L31</f>
        <v>4.2432093562626361E-3</v>
      </c>
      <c r="M45" s="11">
        <f>L2*M31</f>
        <v>0</v>
      </c>
      <c r="N45" s="11">
        <f>L2*N31</f>
        <v>0</v>
      </c>
      <c r="O45" s="11">
        <f>L2*O31</f>
        <v>1.1032344326282844E-2</v>
      </c>
      <c r="P45" s="11">
        <f>L2*P31</f>
        <v>0</v>
      </c>
      <c r="Q45" s="11">
        <f>L2*Q31</f>
        <v>0</v>
      </c>
      <c r="R45" s="11">
        <f>L2*R31</f>
        <v>0</v>
      </c>
      <c r="S45" s="11">
        <f>L2*S31</f>
        <v>6.789134970020207E-3</v>
      </c>
      <c r="T45" s="11">
        <f>L2*T31</f>
        <v>5.8556289116424305E-2</v>
      </c>
      <c r="U45" s="11">
        <f>L2*U31</f>
        <v>6.279949847268694E-2</v>
      </c>
      <c r="V45" s="11">
        <f>L2*V31</f>
        <v>0</v>
      </c>
      <c r="W45" s="11">
        <f>L2*W31</f>
        <v>6.9588633442707146E-2</v>
      </c>
      <c r="X45" s="11">
        <f>L2*X31</f>
        <v>6.1950856601434415E-2</v>
      </c>
      <c r="Y45" s="11">
        <f>L2*Y31</f>
        <v>6.6194065957697057E-2</v>
      </c>
      <c r="Z45" s="11">
        <f>L2*Z31</f>
        <v>3.3945674850101113E-3</v>
      </c>
      <c r="AA45" s="11">
        <f>L2*AA31</f>
        <v>7.2983200927717262E-2</v>
      </c>
      <c r="AB45" s="11">
        <f>L2*AB31</f>
        <v>0</v>
      </c>
      <c r="AC45" s="11">
        <f>L2*AC31</f>
        <v>0</v>
      </c>
      <c r="AD45" s="11">
        <f>L2*AD31</f>
        <v>0</v>
      </c>
      <c r="AE45" s="11">
        <f>L2*AE31</f>
        <v>0</v>
      </c>
    </row>
    <row r="46" spans="1:31">
      <c r="A46" s="43" t="s">
        <v>289</v>
      </c>
      <c r="B46" s="136">
        <f>T72</f>
        <v>0.34955596654966264</v>
      </c>
      <c r="C46" s="136">
        <f>U72</f>
        <v>0.63443808711645622</v>
      </c>
      <c r="D46" s="125" t="s">
        <v>124</v>
      </c>
      <c r="E46" s="125">
        <f>V72</f>
        <v>0.56769071436252083</v>
      </c>
      <c r="F46" s="125">
        <f>W72</f>
        <v>0.74049404651095563</v>
      </c>
      <c r="G46" s="173">
        <f>AVERAGE(B46:F46)</f>
        <v>0.57304470363489879</v>
      </c>
      <c r="K46" s="47" t="s">
        <v>270</v>
      </c>
      <c r="L46" s="11">
        <f t="shared" ref="L46:L56" si="41">L3*L32</f>
        <v>5.2319210610480352E-2</v>
      </c>
      <c r="M46" s="11">
        <f t="shared" ref="M46:M56" si="42">L3*M32</f>
        <v>0</v>
      </c>
      <c r="N46" s="11">
        <f t="shared" ref="N46:N56" si="43">L3*N32</f>
        <v>5.0977692389698799E-2</v>
      </c>
      <c r="O46" s="11">
        <f t="shared" ref="O46:O56" si="44">L3*O32</f>
        <v>4.9636174168917253E-2</v>
      </c>
      <c r="P46" s="11">
        <f t="shared" ref="P46:P56" si="45">L3*P32</f>
        <v>0</v>
      </c>
      <c r="Q46" s="11">
        <f t="shared" ref="Q46:Q56" si="46">L3*Q32</f>
        <v>0</v>
      </c>
      <c r="R46" s="11">
        <f t="shared" ref="R46:R56" si="47">L3*R32</f>
        <v>0</v>
      </c>
      <c r="S46" s="11">
        <f t="shared" ref="S46:S56" si="48">L3*S32</f>
        <v>0</v>
      </c>
      <c r="T46" s="11">
        <f t="shared" ref="T46:T56" si="49">L3*T32</f>
        <v>1.3415182207815474E-2</v>
      </c>
      <c r="U46" s="11">
        <f t="shared" ref="U46:U56" si="50">L3*U32</f>
        <v>6.5734392818295823E-2</v>
      </c>
      <c r="V46" s="11">
        <f t="shared" ref="V46:V56" si="51">L3*V32</f>
        <v>6.4392874597514277E-2</v>
      </c>
      <c r="W46" s="11">
        <f t="shared" ref="W46:W56" si="52">L3*W32</f>
        <v>6.3051356376732731E-2</v>
      </c>
      <c r="X46" s="11">
        <f t="shared" ref="X46:X56" si="53">L3*X32</f>
        <v>0</v>
      </c>
      <c r="Y46" s="11">
        <f t="shared" ref="Y46:Y56" si="54">L3*Y32</f>
        <v>1.3415182207815487E-3</v>
      </c>
      <c r="Z46" s="11">
        <f t="shared" ref="Z46:Z56" si="55">L3*Z32</f>
        <v>0</v>
      </c>
      <c r="AA46" s="11">
        <f t="shared" ref="AA46:AA56" si="56">L3*AA32</f>
        <v>0</v>
      </c>
      <c r="AB46" s="11">
        <f t="shared" ref="AB46:AB56" si="57">L3*AB32</f>
        <v>0</v>
      </c>
      <c r="AC46" s="11">
        <f t="shared" ref="AC46:AC56" si="58">L3*AC32</f>
        <v>2.6830364415630975E-3</v>
      </c>
      <c r="AD46" s="11">
        <f t="shared" ref="AD46:AD56" si="59">L3*AD32</f>
        <v>0</v>
      </c>
      <c r="AE46" s="11">
        <f t="shared" ref="AE46:AE56" si="60">L3*AE32</f>
        <v>1.341518220781549E-3</v>
      </c>
    </row>
    <row r="47" spans="1:31">
      <c r="A47" s="43" t="s">
        <v>290</v>
      </c>
      <c r="B47" s="136">
        <f>X72</f>
        <v>0.14584964164857028</v>
      </c>
      <c r="C47" s="136">
        <f t="shared" ref="C47:D47" si="61">Y72</f>
        <v>0.25730235385753913</v>
      </c>
      <c r="D47" s="136">
        <f t="shared" si="61"/>
        <v>5.5006544106393468E-2</v>
      </c>
      <c r="E47" s="125" t="s">
        <v>124</v>
      </c>
      <c r="F47" s="136">
        <f>AA72</f>
        <v>0.28524994031578244</v>
      </c>
      <c r="G47" s="173">
        <f>AVERAGE(B47:F47)</f>
        <v>0.18585211998207132</v>
      </c>
      <c r="K47" s="48" t="s">
        <v>271</v>
      </c>
      <c r="L47" s="11">
        <f t="shared" si="41"/>
        <v>5.3958073177922318E-2</v>
      </c>
      <c r="M47" s="11">
        <f t="shared" si="42"/>
        <v>0</v>
      </c>
      <c r="N47" s="11">
        <f t="shared" si="43"/>
        <v>0</v>
      </c>
      <c r="O47" s="11">
        <f t="shared" si="44"/>
        <v>5.5885147219990973E-2</v>
      </c>
      <c r="P47" s="11">
        <f t="shared" si="45"/>
        <v>0</v>
      </c>
      <c r="Q47" s="11">
        <f t="shared" si="46"/>
        <v>0</v>
      </c>
      <c r="R47" s="11">
        <f t="shared" si="47"/>
        <v>0</v>
      </c>
      <c r="S47" s="11">
        <f t="shared" si="48"/>
        <v>1.9270740420686556E-3</v>
      </c>
      <c r="T47" s="11">
        <f t="shared" si="49"/>
        <v>1.1562444252411921E-2</v>
      </c>
      <c r="U47" s="11">
        <f t="shared" si="50"/>
        <v>6.5520517430334241E-2</v>
      </c>
      <c r="V47" s="11">
        <f t="shared" si="51"/>
        <v>0</v>
      </c>
      <c r="W47" s="11">
        <f t="shared" si="52"/>
        <v>6.7447591472402896E-2</v>
      </c>
      <c r="X47" s="11">
        <f t="shared" si="53"/>
        <v>1.3489518294480567E-2</v>
      </c>
      <c r="Y47" s="11">
        <f t="shared" si="54"/>
        <v>6.7447591472402882E-2</v>
      </c>
      <c r="Z47" s="11">
        <f t="shared" si="55"/>
        <v>1.9270740420686469E-3</v>
      </c>
      <c r="AA47" s="11">
        <f t="shared" si="56"/>
        <v>6.9374665514471537E-2</v>
      </c>
      <c r="AB47" s="11">
        <f t="shared" si="57"/>
        <v>0</v>
      </c>
      <c r="AC47" s="11">
        <f t="shared" si="58"/>
        <v>0</v>
      </c>
      <c r="AD47" s="11">
        <f t="shared" si="59"/>
        <v>0</v>
      </c>
      <c r="AE47" s="11">
        <f t="shared" si="60"/>
        <v>0</v>
      </c>
    </row>
    <row r="48" spans="1:31">
      <c r="A48" s="12" t="s">
        <v>291</v>
      </c>
      <c r="B48" s="136">
        <f>AB72</f>
        <v>3.8377078152626962E-2</v>
      </c>
      <c r="C48" s="136">
        <f t="shared" ref="C48:E48" si="62">AC72</f>
        <v>0.13156330260300789</v>
      </c>
      <c r="D48" s="136">
        <f t="shared" si="62"/>
        <v>2.5654396196760076E-2</v>
      </c>
      <c r="E48" s="136">
        <f t="shared" si="62"/>
        <v>8.3094460257714331E-2</v>
      </c>
      <c r="F48" s="167" t="s">
        <v>124</v>
      </c>
      <c r="G48" s="173">
        <f>AVERAGE(B48:E48)</f>
        <v>6.967230930252731E-2</v>
      </c>
      <c r="K48" s="49" t="s">
        <v>272</v>
      </c>
      <c r="L48" s="11">
        <f t="shared" si="41"/>
        <v>4.1161678224542336E-2</v>
      </c>
      <c r="M48" s="11">
        <f>L5*M34</f>
        <v>9.930965420543527E-3</v>
      </c>
      <c r="N48" s="11">
        <f t="shared" si="43"/>
        <v>0</v>
      </c>
      <c r="O48" s="11">
        <f t="shared" si="44"/>
        <v>0</v>
      </c>
      <c r="P48" s="11">
        <f t="shared" si="45"/>
        <v>0</v>
      </c>
      <c r="Q48" s="11">
        <f t="shared" si="46"/>
        <v>0</v>
      </c>
      <c r="R48" s="11">
        <f t="shared" si="47"/>
        <v>0</v>
      </c>
      <c r="S48" s="11">
        <f t="shared" si="48"/>
        <v>0</v>
      </c>
      <c r="T48" s="11">
        <f t="shared" si="49"/>
        <v>0</v>
      </c>
      <c r="U48" s="11">
        <f t="shared" si="50"/>
        <v>3.1230712803998816E-2</v>
      </c>
      <c r="V48" s="11">
        <f t="shared" si="51"/>
        <v>0</v>
      </c>
      <c r="W48" s="11">
        <f t="shared" si="52"/>
        <v>0</v>
      </c>
      <c r="X48" s="11">
        <f t="shared" si="53"/>
        <v>6.6106123354931101E-2</v>
      </c>
      <c r="Y48" s="11">
        <f t="shared" si="54"/>
        <v>0.10726780157947344</v>
      </c>
      <c r="Z48" s="11">
        <f t="shared" si="55"/>
        <v>7.6037088775474618E-2</v>
      </c>
      <c r="AA48" s="11">
        <f t="shared" si="56"/>
        <v>2.9726021073613426E-2</v>
      </c>
      <c r="AB48" s="11">
        <f t="shared" si="57"/>
        <v>3.6380102281317668E-2</v>
      </c>
      <c r="AC48" s="11">
        <f t="shared" si="58"/>
        <v>7.7541780505860011E-2</v>
      </c>
      <c r="AD48" s="11">
        <f t="shared" si="59"/>
        <v>4.6311067701861192E-2</v>
      </c>
      <c r="AE48" s="11">
        <f t="shared" si="60"/>
        <v>0</v>
      </c>
    </row>
    <row r="49" spans="1:31">
      <c r="A49" s="98" t="s">
        <v>127</v>
      </c>
      <c r="B49" s="175">
        <f>AVERAGE(B44:B48)</f>
        <v>0.13344567158771498</v>
      </c>
      <c r="C49" s="175">
        <f t="shared" ref="C49:F49" si="63">AVERAGE(C44:C48)</f>
        <v>0.32842180099451196</v>
      </c>
      <c r="D49" s="175">
        <f t="shared" si="63"/>
        <v>5.0206894610611237E-2</v>
      </c>
      <c r="E49" s="175">
        <f t="shared" si="63"/>
        <v>0.30386952377794302</v>
      </c>
      <c r="F49" s="175">
        <f t="shared" si="63"/>
        <v>0.44038406317098411</v>
      </c>
      <c r="G49" s="125"/>
      <c r="K49" s="49" t="s">
        <v>273</v>
      </c>
      <c r="L49" s="11">
        <f>L6*L35</f>
        <v>0</v>
      </c>
      <c r="M49" s="11">
        <f t="shared" si="42"/>
        <v>5.3527308400181668E-2</v>
      </c>
      <c r="N49" s="11">
        <f t="shared" si="43"/>
        <v>4.7039149806220273E-2</v>
      </c>
      <c r="O49" s="11">
        <f t="shared" si="44"/>
        <v>6.4881585939614156E-2</v>
      </c>
      <c r="P49" s="11">
        <f t="shared" si="45"/>
        <v>0</v>
      </c>
      <c r="Q49" s="11">
        <f t="shared" si="46"/>
        <v>5.3527308400181668E-2</v>
      </c>
      <c r="R49" s="11">
        <f t="shared" si="47"/>
        <v>4.7039149806220273E-2</v>
      </c>
      <c r="S49" s="11">
        <f t="shared" si="48"/>
        <v>6.4881585939614156E-2</v>
      </c>
      <c r="T49" s="11">
        <f t="shared" si="49"/>
        <v>0</v>
      </c>
      <c r="U49" s="11">
        <f t="shared" si="50"/>
        <v>0</v>
      </c>
      <c r="V49" s="11">
        <f t="shared" si="51"/>
        <v>0</v>
      </c>
      <c r="W49" s="11">
        <f t="shared" si="52"/>
        <v>1.1354277539432484E-2</v>
      </c>
      <c r="X49" s="11">
        <f t="shared" si="53"/>
        <v>0</v>
      </c>
      <c r="Y49" s="11">
        <f t="shared" si="54"/>
        <v>0</v>
      </c>
      <c r="Z49" s="11">
        <f t="shared" si="55"/>
        <v>6.4881585939613956E-3</v>
      </c>
      <c r="AA49" s="11">
        <f t="shared" si="56"/>
        <v>1.7842436133393882E-2</v>
      </c>
      <c r="AB49" s="11">
        <f t="shared" si="57"/>
        <v>0</v>
      </c>
      <c r="AC49" s="11">
        <f t="shared" si="58"/>
        <v>0</v>
      </c>
      <c r="AD49" s="11">
        <f t="shared" si="59"/>
        <v>0</v>
      </c>
      <c r="AE49" s="11">
        <f t="shared" si="60"/>
        <v>0</v>
      </c>
    </row>
    <row r="50" spans="1:31">
      <c r="A50" s="43" t="s">
        <v>128</v>
      </c>
      <c r="B50" s="136">
        <f>G44-B49</f>
        <v>0.16443533707067326</v>
      </c>
      <c r="C50" s="136">
        <f>G45-C49</f>
        <v>-0.19854398843063245</v>
      </c>
      <c r="D50" s="136">
        <f>G46-D49</f>
        <v>0.52283780902428756</v>
      </c>
      <c r="E50" s="136">
        <f>G47-E49</f>
        <v>-0.11801740379587169</v>
      </c>
      <c r="F50" s="136">
        <f>G48-F49</f>
        <v>-0.37071175386845678</v>
      </c>
      <c r="G50" s="125"/>
      <c r="K50" s="50" t="s">
        <v>274</v>
      </c>
      <c r="L50" s="11">
        <f>L7*L36</f>
        <v>0</v>
      </c>
      <c r="M50" s="11">
        <f t="shared" si="42"/>
        <v>0</v>
      </c>
      <c r="N50" s="11">
        <f t="shared" si="43"/>
        <v>6.0763704738480917E-2</v>
      </c>
      <c r="O50" s="11">
        <f t="shared" si="44"/>
        <v>4.3778574673787429E-2</v>
      </c>
      <c r="P50" s="11">
        <f t="shared" si="45"/>
        <v>0</v>
      </c>
      <c r="Q50" s="11">
        <f t="shared" si="46"/>
        <v>0</v>
      </c>
      <c r="R50" s="11">
        <f t="shared" si="47"/>
        <v>6.0763704738480917E-2</v>
      </c>
      <c r="S50" s="11">
        <f t="shared" si="48"/>
        <v>4.3778574673787429E-2</v>
      </c>
      <c r="T50" s="11">
        <f t="shared" si="49"/>
        <v>4.9280799906012071E-2</v>
      </c>
      <c r="U50" s="11">
        <f t="shared" si="50"/>
        <v>4.9280799906012071E-2</v>
      </c>
      <c r="V50" s="11">
        <f t="shared" si="51"/>
        <v>0.11004450464449299</v>
      </c>
      <c r="W50" s="11">
        <f t="shared" si="52"/>
        <v>9.30593745797995E-2</v>
      </c>
      <c r="X50" s="11">
        <f t="shared" si="53"/>
        <v>0</v>
      </c>
      <c r="Y50" s="11">
        <f t="shared" si="54"/>
        <v>0</v>
      </c>
      <c r="Z50" s="11">
        <f t="shared" si="55"/>
        <v>0</v>
      </c>
      <c r="AA50" s="11">
        <f t="shared" si="56"/>
        <v>0</v>
      </c>
      <c r="AB50" s="11">
        <f t="shared" si="57"/>
        <v>0</v>
      </c>
      <c r="AC50" s="11">
        <f t="shared" si="58"/>
        <v>0</v>
      </c>
      <c r="AD50" s="11">
        <f t="shared" si="59"/>
        <v>0</v>
      </c>
      <c r="AE50" s="11">
        <f t="shared" si="60"/>
        <v>1.6985130064693484E-2</v>
      </c>
    </row>
    <row r="51" spans="1:31">
      <c r="B51">
        <v>2</v>
      </c>
      <c r="C51">
        <v>4</v>
      </c>
      <c r="D51">
        <v>1</v>
      </c>
      <c r="E51">
        <v>3</v>
      </c>
      <c r="F51">
        <v>5</v>
      </c>
      <c r="K51" s="51" t="s">
        <v>275</v>
      </c>
      <c r="L51" s="11">
        <f t="shared" si="41"/>
        <v>0</v>
      </c>
      <c r="M51" s="11">
        <f t="shared" si="42"/>
        <v>0</v>
      </c>
      <c r="N51" s="11">
        <f t="shared" si="43"/>
        <v>4.4834322797639076E-2</v>
      </c>
      <c r="O51" s="11">
        <f t="shared" si="44"/>
        <v>8.703133248953468E-2</v>
      </c>
      <c r="P51" s="11">
        <f t="shared" si="45"/>
        <v>0</v>
      </c>
      <c r="Q51" s="11">
        <f t="shared" si="46"/>
        <v>0</v>
      </c>
      <c r="R51" s="11">
        <f t="shared" si="47"/>
        <v>4.4834322797639076E-2</v>
      </c>
      <c r="S51" s="11">
        <f t="shared" si="48"/>
        <v>8.703133248953468E-2</v>
      </c>
      <c r="T51" s="11">
        <f t="shared" si="49"/>
        <v>0</v>
      </c>
      <c r="U51" s="11">
        <f t="shared" si="50"/>
        <v>0</v>
      </c>
      <c r="V51" s="11">
        <f t="shared" si="51"/>
        <v>4.4834322797639076E-2</v>
      </c>
      <c r="W51" s="11">
        <f t="shared" si="52"/>
        <v>8.703133248953468E-2</v>
      </c>
      <c r="X51" s="11">
        <f t="shared" si="53"/>
        <v>0</v>
      </c>
      <c r="Y51" s="11">
        <f t="shared" si="54"/>
        <v>0</v>
      </c>
      <c r="Z51" s="11">
        <f t="shared" si="55"/>
        <v>0</v>
      </c>
      <c r="AA51" s="11">
        <f t="shared" si="56"/>
        <v>4.2197009691895604E-2</v>
      </c>
      <c r="AB51" s="11">
        <f t="shared" si="57"/>
        <v>0</v>
      </c>
      <c r="AC51" s="11">
        <f t="shared" si="58"/>
        <v>0</v>
      </c>
      <c r="AD51" s="11">
        <f t="shared" si="59"/>
        <v>0</v>
      </c>
      <c r="AE51" s="11">
        <f t="shared" si="60"/>
        <v>0</v>
      </c>
    </row>
    <row r="52" spans="1:31">
      <c r="K52" s="51" t="s">
        <v>148</v>
      </c>
      <c r="L52" s="11">
        <f t="shared" si="41"/>
        <v>0</v>
      </c>
      <c r="M52" s="11">
        <f t="shared" si="42"/>
        <v>1.282576709338237E-2</v>
      </c>
      <c r="N52" s="11">
        <f t="shared" si="43"/>
        <v>4.5861833849064268E-2</v>
      </c>
      <c r="O52" s="11">
        <f t="shared" si="44"/>
        <v>7.1124708426938646E-2</v>
      </c>
      <c r="P52" s="11">
        <f t="shared" si="45"/>
        <v>0</v>
      </c>
      <c r="Q52" s="11">
        <f t="shared" si="46"/>
        <v>1.282576709338237E-2</v>
      </c>
      <c r="R52" s="11">
        <f t="shared" si="47"/>
        <v>4.5861833849064268E-2</v>
      </c>
      <c r="S52" s="11">
        <f t="shared" si="48"/>
        <v>7.1124708426938646E-2</v>
      </c>
      <c r="T52" s="11">
        <f t="shared" si="49"/>
        <v>0</v>
      </c>
      <c r="U52" s="11">
        <f t="shared" si="50"/>
        <v>0</v>
      </c>
      <c r="V52" s="11">
        <f t="shared" si="51"/>
        <v>3.3036066755681895E-2</v>
      </c>
      <c r="W52" s="11">
        <f t="shared" si="52"/>
        <v>5.829894133355628E-2</v>
      </c>
      <c r="X52" s="11">
        <f t="shared" si="53"/>
        <v>0</v>
      </c>
      <c r="Y52" s="11">
        <f t="shared" si="54"/>
        <v>0</v>
      </c>
      <c r="Z52" s="11">
        <f t="shared" si="55"/>
        <v>0</v>
      </c>
      <c r="AA52" s="11">
        <f t="shared" si="56"/>
        <v>2.5262874577874378E-2</v>
      </c>
      <c r="AB52" s="11">
        <f t="shared" si="57"/>
        <v>0</v>
      </c>
      <c r="AC52" s="11">
        <f t="shared" si="58"/>
        <v>0</v>
      </c>
      <c r="AD52" s="11">
        <f t="shared" si="59"/>
        <v>0</v>
      </c>
      <c r="AE52" s="11">
        <f t="shared" si="60"/>
        <v>0</v>
      </c>
    </row>
    <row r="53" spans="1:31">
      <c r="A53" s="101" t="s">
        <v>283</v>
      </c>
      <c r="B53" s="57" t="s">
        <v>287</v>
      </c>
      <c r="C53" s="9" t="s">
        <v>288</v>
      </c>
      <c r="D53" s="9" t="s">
        <v>289</v>
      </c>
      <c r="E53" s="9" t="s">
        <v>290</v>
      </c>
      <c r="F53" s="12" t="s">
        <v>291</v>
      </c>
      <c r="G53" s="97" t="s">
        <v>122</v>
      </c>
      <c r="K53" s="51" t="s">
        <v>149</v>
      </c>
      <c r="L53" s="11">
        <f t="shared" si="41"/>
        <v>1.8468780522757147E-2</v>
      </c>
      <c r="M53" s="11">
        <f t="shared" si="42"/>
        <v>0</v>
      </c>
      <c r="N53" s="11">
        <f t="shared" si="43"/>
        <v>6.2075623423711507E-2</v>
      </c>
      <c r="O53" s="11">
        <f t="shared" si="44"/>
        <v>6.2075623423711507E-2</v>
      </c>
      <c r="P53" s="11">
        <f t="shared" si="45"/>
        <v>0</v>
      </c>
      <c r="Q53" s="11">
        <f t="shared" si="46"/>
        <v>0</v>
      </c>
      <c r="R53" s="11">
        <f t="shared" si="47"/>
        <v>4.360684290095436E-2</v>
      </c>
      <c r="S53" s="11">
        <f t="shared" si="48"/>
        <v>4.360684290095436E-2</v>
      </c>
      <c r="T53" s="11">
        <f t="shared" si="49"/>
        <v>2.1546910609883327E-2</v>
      </c>
      <c r="U53" s="11">
        <f t="shared" si="50"/>
        <v>4.0015691132640474E-2</v>
      </c>
      <c r="V53" s="11">
        <f t="shared" si="51"/>
        <v>8.3622534033594834E-2</v>
      </c>
      <c r="W53" s="11">
        <f t="shared" si="52"/>
        <v>8.3622534033594834E-2</v>
      </c>
      <c r="X53" s="11">
        <f t="shared" si="53"/>
        <v>0</v>
      </c>
      <c r="Y53" s="11">
        <f t="shared" si="54"/>
        <v>0</v>
      </c>
      <c r="Z53" s="11">
        <f t="shared" si="55"/>
        <v>0</v>
      </c>
      <c r="AA53" s="11">
        <f t="shared" si="56"/>
        <v>0</v>
      </c>
      <c r="AB53" s="11">
        <f t="shared" si="57"/>
        <v>0</v>
      </c>
      <c r="AC53" s="11">
        <f t="shared" si="58"/>
        <v>0</v>
      </c>
      <c r="AD53" s="11">
        <f t="shared" si="59"/>
        <v>0</v>
      </c>
      <c r="AE53" s="11">
        <f t="shared" si="60"/>
        <v>0</v>
      </c>
    </row>
    <row r="54" spans="1:31">
      <c r="A54" s="18" t="s">
        <v>287</v>
      </c>
      <c r="B54" s="125" t="s">
        <v>124</v>
      </c>
      <c r="C54" s="125">
        <f>L87</f>
        <v>0.18621232798359311</v>
      </c>
      <c r="D54" s="125">
        <f t="shared" ref="D54:F54" si="64">M87</f>
        <v>8.2717861565953524E-2</v>
      </c>
      <c r="E54" s="125">
        <f t="shared" si="64"/>
        <v>0.34525194345045984</v>
      </c>
      <c r="F54" s="125">
        <f t="shared" si="64"/>
        <v>0.47054239439430423</v>
      </c>
      <c r="G54" s="173">
        <f>AVERAGE(C54:F54)</f>
        <v>0.27118113184857767</v>
      </c>
      <c r="K54" s="52" t="s">
        <v>277</v>
      </c>
      <c r="L54" s="11">
        <f t="shared" si="41"/>
        <v>1.8718426285896539E-2</v>
      </c>
      <c r="M54" s="11">
        <f t="shared" si="42"/>
        <v>0</v>
      </c>
      <c r="N54" s="11">
        <f t="shared" si="43"/>
        <v>2.6740608979852172E-3</v>
      </c>
      <c r="O54" s="11">
        <f t="shared" si="44"/>
        <v>0</v>
      </c>
      <c r="P54" s="11">
        <f t="shared" si="45"/>
        <v>0</v>
      </c>
      <c r="Q54" s="11">
        <f t="shared" si="46"/>
        <v>0</v>
      </c>
      <c r="R54" s="11">
        <f t="shared" si="47"/>
        <v>0</v>
      </c>
      <c r="S54" s="11">
        <f t="shared" si="48"/>
        <v>0</v>
      </c>
      <c r="T54" s="11">
        <f t="shared" si="49"/>
        <v>7.0327801617011312E-2</v>
      </c>
      <c r="U54" s="11">
        <f t="shared" si="50"/>
        <v>8.9046227902907851E-2</v>
      </c>
      <c r="V54" s="11">
        <f t="shared" si="51"/>
        <v>7.3001862514996532E-2</v>
      </c>
      <c r="W54" s="11">
        <f t="shared" si="52"/>
        <v>5.053975097192067E-2</v>
      </c>
      <c r="X54" s="11">
        <f t="shared" si="53"/>
        <v>0</v>
      </c>
      <c r="Y54" s="11">
        <f t="shared" si="54"/>
        <v>1.6044365387911323E-2</v>
      </c>
      <c r="Z54" s="11">
        <f t="shared" si="55"/>
        <v>0</v>
      </c>
      <c r="AA54" s="11">
        <f t="shared" si="56"/>
        <v>0</v>
      </c>
      <c r="AB54" s="11">
        <f t="shared" si="57"/>
        <v>1.9788050645090639E-2</v>
      </c>
      <c r="AC54" s="11">
        <f t="shared" si="58"/>
        <v>3.8506476930987174E-2</v>
      </c>
      <c r="AD54" s="11">
        <f t="shared" si="59"/>
        <v>0</v>
      </c>
      <c r="AE54" s="11">
        <f t="shared" si="60"/>
        <v>2.2462111543075852E-2</v>
      </c>
    </row>
    <row r="55" spans="1:31">
      <c r="A55" s="43" t="s">
        <v>288</v>
      </c>
      <c r="B55" s="125">
        <f>P87</f>
        <v>0</v>
      </c>
      <c r="C55" s="125" t="s">
        <v>124</v>
      </c>
      <c r="D55" s="125">
        <f>Q87</f>
        <v>6.7161748174557848E-2</v>
      </c>
      <c r="E55" s="125">
        <f t="shared" ref="E55:F55" si="65">R87</f>
        <v>0.28061598457691</v>
      </c>
      <c r="F55" s="125">
        <f t="shared" si="65"/>
        <v>0.39487174579027673</v>
      </c>
      <c r="G55" s="173">
        <f>AVERAGE(B55:F55)</f>
        <v>0.18566236963543614</v>
      </c>
      <c r="K55" s="53" t="s">
        <v>279</v>
      </c>
      <c r="L55" s="11">
        <f t="shared" si="41"/>
        <v>3.8668553511914609E-2</v>
      </c>
      <c r="M55" s="11">
        <f t="shared" si="42"/>
        <v>0</v>
      </c>
      <c r="N55" s="11">
        <f t="shared" si="43"/>
        <v>3.8668553511914609E-2</v>
      </c>
      <c r="O55" s="11">
        <f t="shared" si="44"/>
        <v>0</v>
      </c>
      <c r="P55" s="11">
        <f t="shared" si="45"/>
        <v>0</v>
      </c>
      <c r="Q55" s="11">
        <f t="shared" si="46"/>
        <v>0</v>
      </c>
      <c r="R55" s="11">
        <f t="shared" si="47"/>
        <v>0</v>
      </c>
      <c r="S55" s="11">
        <f t="shared" si="48"/>
        <v>0</v>
      </c>
      <c r="T55" s="11">
        <f t="shared" si="49"/>
        <v>4.6402264214297585E-2</v>
      </c>
      <c r="U55" s="11">
        <f t="shared" si="50"/>
        <v>8.5070817726212195E-2</v>
      </c>
      <c r="V55" s="11">
        <f t="shared" si="51"/>
        <v>8.5070817726212195E-2</v>
      </c>
      <c r="W55" s="11">
        <f t="shared" si="52"/>
        <v>4.6402264214297585E-2</v>
      </c>
      <c r="X55" s="11">
        <f t="shared" si="53"/>
        <v>0</v>
      </c>
      <c r="Y55" s="11">
        <f t="shared" si="54"/>
        <v>0</v>
      </c>
      <c r="Z55" s="11">
        <f t="shared" si="55"/>
        <v>0</v>
      </c>
      <c r="AA55" s="11">
        <f t="shared" si="56"/>
        <v>0</v>
      </c>
      <c r="AB55" s="11">
        <f t="shared" si="57"/>
        <v>0</v>
      </c>
      <c r="AC55" s="11">
        <f t="shared" si="58"/>
        <v>3.8668553511914609E-2</v>
      </c>
      <c r="AD55" s="11">
        <f t="shared" si="59"/>
        <v>0</v>
      </c>
      <c r="AE55" s="11">
        <f t="shared" si="60"/>
        <v>3.8668553511914609E-2</v>
      </c>
    </row>
    <row r="56" spans="1:31">
      <c r="A56" s="43" t="s">
        <v>289</v>
      </c>
      <c r="B56" s="125">
        <f>T87</f>
        <v>0.25358962618829084</v>
      </c>
      <c r="C56" s="125">
        <f>U87</f>
        <v>0.42424584078048827</v>
      </c>
      <c r="D56" s="125" t="s">
        <v>124</v>
      </c>
      <c r="E56" s="125">
        <f>V87</f>
        <v>0.48886715227076277</v>
      </c>
      <c r="F56" s="125">
        <f>W87</f>
        <v>0.63832587142699926</v>
      </c>
      <c r="G56" s="173">
        <f>AVERAGE(B56:F56)</f>
        <v>0.45125712266663531</v>
      </c>
      <c r="K56" s="94" t="s">
        <v>280</v>
      </c>
      <c r="L56" s="42">
        <f t="shared" si="41"/>
        <v>0</v>
      </c>
      <c r="M56" s="42">
        <f t="shared" si="42"/>
        <v>0</v>
      </c>
      <c r="N56" s="42">
        <f t="shared" si="43"/>
        <v>0</v>
      </c>
      <c r="O56" s="42">
        <f t="shared" si="44"/>
        <v>1.7215273063070448E-2</v>
      </c>
      <c r="P56" s="42">
        <f t="shared" si="45"/>
        <v>0</v>
      </c>
      <c r="Q56" s="42">
        <f t="shared" si="46"/>
        <v>0</v>
      </c>
      <c r="R56" s="42">
        <f t="shared" si="47"/>
        <v>0</v>
      </c>
      <c r="S56" s="42">
        <f t="shared" si="48"/>
        <v>1.7215273063070448E-2</v>
      </c>
      <c r="T56" s="42">
        <f t="shared" si="49"/>
        <v>3.767400336990781E-2</v>
      </c>
      <c r="U56" s="42">
        <f t="shared" si="50"/>
        <v>3.767400336990781E-2</v>
      </c>
      <c r="V56" s="42">
        <f t="shared" si="51"/>
        <v>3.1935579015550983E-2</v>
      </c>
      <c r="W56" s="42">
        <f t="shared" si="52"/>
        <v>5.4889276432978258E-2</v>
      </c>
      <c r="X56" s="42">
        <f t="shared" si="53"/>
        <v>5.738424354356824E-3</v>
      </c>
      <c r="Y56" s="42">
        <f t="shared" si="54"/>
        <v>5.738424354356824E-3</v>
      </c>
      <c r="Z56" s="42">
        <f t="shared" si="55"/>
        <v>0</v>
      </c>
      <c r="AA56" s="42">
        <f t="shared" si="56"/>
        <v>2.2953697417427272E-2</v>
      </c>
      <c r="AB56" s="42">
        <f t="shared" si="57"/>
        <v>0</v>
      </c>
      <c r="AC56" s="42">
        <f t="shared" si="58"/>
        <v>0</v>
      </c>
      <c r="AD56" s="42">
        <f t="shared" si="59"/>
        <v>0</v>
      </c>
      <c r="AE56" s="42">
        <f t="shared" si="60"/>
        <v>0</v>
      </c>
    </row>
    <row r="57" spans="1:31">
      <c r="A57" s="43" t="s">
        <v>290</v>
      </c>
      <c r="B57" s="125">
        <f>X87</f>
        <v>0.15612640555336732</v>
      </c>
      <c r="C57" s="125">
        <f t="shared" ref="C57:D57" si="66">Y87</f>
        <v>0.27770277466341053</v>
      </c>
      <c r="D57" s="125">
        <f t="shared" si="66"/>
        <v>0.12886984975133287</v>
      </c>
      <c r="E57" s="125" t="s">
        <v>124</v>
      </c>
      <c r="F57" s="136">
        <f>AA87</f>
        <v>0.2755265943928723</v>
      </c>
      <c r="G57" s="173">
        <f>AVERAGE(B57:F57)</f>
        <v>0.20955640609024576</v>
      </c>
      <c r="K57" s="95" t="s">
        <v>48</v>
      </c>
      <c r="L57" s="96">
        <f>SUM(L45:L56)</f>
        <v>0.22753793168977593</v>
      </c>
      <c r="M57" s="96">
        <f>SUM(M45:M56)</f>
        <v>7.6284040914107565E-2</v>
      </c>
      <c r="N57" s="96">
        <f>SUM(N45:N56)</f>
        <v>0.35289494141471467</v>
      </c>
      <c r="O57" s="96">
        <f t="shared" ref="O57:AE57" si="67">SUM(O45:O56)</f>
        <v>0.46266076373184795</v>
      </c>
      <c r="P57" s="96">
        <f t="shared" si="67"/>
        <v>0</v>
      </c>
      <c r="Q57" s="96">
        <f t="shared" si="67"/>
        <v>6.6353075493564034E-2</v>
      </c>
      <c r="R57" s="96">
        <f t="shared" si="67"/>
        <v>0.24210585409235891</v>
      </c>
      <c r="S57" s="96">
        <f t="shared" si="67"/>
        <v>0.33635452650598857</v>
      </c>
      <c r="T57" s="96">
        <f t="shared" si="67"/>
        <v>0.30876569529376385</v>
      </c>
      <c r="U57" s="96">
        <f t="shared" si="67"/>
        <v>0.52637266156299611</v>
      </c>
      <c r="V57" s="96">
        <f t="shared" si="67"/>
        <v>0.52593856208568279</v>
      </c>
      <c r="W57" s="96">
        <f t="shared" si="67"/>
        <v>0.68528533288695714</v>
      </c>
      <c r="X57" s="96">
        <f t="shared" si="67"/>
        <v>0.1472849226052029</v>
      </c>
      <c r="Y57" s="96">
        <f t="shared" si="67"/>
        <v>0.2640337669726231</v>
      </c>
      <c r="Z57" s="96">
        <f t="shared" si="67"/>
        <v>8.7846888896514777E-2</v>
      </c>
      <c r="AA57" s="96">
        <f t="shared" si="67"/>
        <v>0.2803399053363933</v>
      </c>
      <c r="AB57" s="96">
        <f t="shared" si="67"/>
        <v>5.616815292640831E-2</v>
      </c>
      <c r="AC57" s="96">
        <f t="shared" si="67"/>
        <v>0.15739984739032489</v>
      </c>
      <c r="AD57" s="96">
        <f t="shared" si="67"/>
        <v>4.6311067701861192E-2</v>
      </c>
      <c r="AE57" s="96">
        <f t="shared" si="67"/>
        <v>7.9457313340465491E-2</v>
      </c>
    </row>
    <row r="58" spans="1:31">
      <c r="A58" s="12" t="s">
        <v>291</v>
      </c>
      <c r="B58" s="125">
        <f>AB87</f>
        <v>7.5631105929989131E-2</v>
      </c>
      <c r="C58" s="125">
        <f t="shared" ref="C58:E58" si="68">AC87</f>
        <v>0.18617278530955472</v>
      </c>
      <c r="D58" s="125">
        <f t="shared" si="68"/>
        <v>7.254281834034676E-2</v>
      </c>
      <c r="E58" s="125">
        <f t="shared" si="68"/>
        <v>6.9740843825649795E-2</v>
      </c>
      <c r="F58" s="125" t="s">
        <v>124</v>
      </c>
      <c r="G58" s="173">
        <f>AVERAGE(B58:F58)</f>
        <v>0.10102188835138509</v>
      </c>
    </row>
    <row r="59" spans="1:31">
      <c r="A59" s="98" t="s">
        <v>127</v>
      </c>
      <c r="B59" s="177">
        <f>AVERAGE(B54:B58)</f>
        <v>0.12133678441791182</v>
      </c>
      <c r="C59" s="177">
        <f>AVERAGE(C54:C58)</f>
        <v>0.26858343218426162</v>
      </c>
      <c r="D59" s="177">
        <f t="shared" ref="D59:F59" si="69">AVERAGE(D54:D58)</f>
        <v>8.7823069458047756E-2</v>
      </c>
      <c r="E59" s="177">
        <f t="shared" si="69"/>
        <v>0.29611898103094558</v>
      </c>
      <c r="F59" s="177">
        <f t="shared" si="69"/>
        <v>0.44481665150111316</v>
      </c>
      <c r="G59" s="178"/>
      <c r="K59" s="19" t="s">
        <v>316</v>
      </c>
      <c r="L59" s="168" t="s">
        <v>118</v>
      </c>
      <c r="M59" s="9" t="s">
        <v>119</v>
      </c>
      <c r="N59" s="9" t="s">
        <v>299</v>
      </c>
      <c r="O59" s="9" t="s">
        <v>300</v>
      </c>
      <c r="P59" s="9" t="s">
        <v>120</v>
      </c>
      <c r="Q59" s="9" t="s">
        <v>301</v>
      </c>
      <c r="R59" s="9" t="s">
        <v>302</v>
      </c>
      <c r="S59" s="9" t="s">
        <v>303</v>
      </c>
      <c r="T59" s="9" t="s">
        <v>123</v>
      </c>
      <c r="U59" s="169" t="s">
        <v>125</v>
      </c>
      <c r="V59" s="170" t="s">
        <v>304</v>
      </c>
      <c r="W59" s="170" t="s">
        <v>305</v>
      </c>
      <c r="X59" s="9" t="s">
        <v>306</v>
      </c>
      <c r="Y59" s="9" t="s">
        <v>307</v>
      </c>
      <c r="Z59" s="9" t="s">
        <v>308</v>
      </c>
      <c r="AA59" s="9" t="s">
        <v>309</v>
      </c>
      <c r="AB59" s="9" t="s">
        <v>310</v>
      </c>
      <c r="AC59" s="9" t="s">
        <v>311</v>
      </c>
      <c r="AD59" s="9" t="s">
        <v>312</v>
      </c>
      <c r="AE59" s="9" t="s">
        <v>313</v>
      </c>
    </row>
    <row r="60" spans="1:31">
      <c r="A60" s="43" t="s">
        <v>128</v>
      </c>
      <c r="B60" s="125">
        <f>G54-B59</f>
        <v>0.14984434743066585</v>
      </c>
      <c r="C60" s="125">
        <f>G55-C59</f>
        <v>-8.2921062548825475E-2</v>
      </c>
      <c r="D60" s="125">
        <f>G56-D59</f>
        <v>0.36343405320858757</v>
      </c>
      <c r="E60" s="125">
        <f>G57-E59</f>
        <v>-8.6562574940699827E-2</v>
      </c>
      <c r="F60" s="125">
        <f>G58-F59</f>
        <v>-0.34379476314972807</v>
      </c>
      <c r="G60" s="125"/>
      <c r="K60" s="48" t="s">
        <v>269</v>
      </c>
      <c r="L60" s="125">
        <f>B30*L31</f>
        <v>5.9075240696150064E-3</v>
      </c>
      <c r="M60" s="125">
        <f>B30*M31</f>
        <v>0</v>
      </c>
      <c r="N60" s="125">
        <f>B30*N31</f>
        <v>0</v>
      </c>
      <c r="O60" s="125">
        <f>B30*O31</f>
        <v>1.5359562580999001E-2</v>
      </c>
      <c r="P60" s="125">
        <f>B30*P31</f>
        <v>0</v>
      </c>
      <c r="Q60" s="125">
        <f>B30*Q31</f>
        <v>0</v>
      </c>
      <c r="R60" s="125">
        <f>B30*R31</f>
        <v>0</v>
      </c>
      <c r="S60" s="125">
        <f>B30*S31</f>
        <v>9.4520385113839953E-3</v>
      </c>
      <c r="T60" s="125">
        <f>B30*T31</f>
        <v>8.1523832160686982E-2</v>
      </c>
      <c r="U60" s="125">
        <f>B30*U31</f>
        <v>8.7431356230301988E-2</v>
      </c>
      <c r="V60" s="125">
        <f>B30*V31</f>
        <v>0</v>
      </c>
      <c r="W60" s="125">
        <f>B30*W31</f>
        <v>9.6883394741685988E-2</v>
      </c>
      <c r="X60" s="125">
        <f>B30*X31</f>
        <v>8.6249851416378989E-2</v>
      </c>
      <c r="Y60" s="125">
        <f>B30*Y31</f>
        <v>9.2157375485993995E-2</v>
      </c>
      <c r="Z60" s="125">
        <f>B30*Z31</f>
        <v>4.7260192556920081E-3</v>
      </c>
      <c r="AA60" s="125">
        <f>B30*AA31</f>
        <v>0.101609413997378</v>
      </c>
      <c r="AB60" s="125">
        <f>B30*AB31</f>
        <v>0</v>
      </c>
      <c r="AC60" s="125">
        <f>B30*AC31</f>
        <v>0</v>
      </c>
      <c r="AD60" s="125">
        <f>B30*AD31</f>
        <v>0</v>
      </c>
      <c r="AE60" s="125">
        <f>B30*AE31</f>
        <v>0</v>
      </c>
    </row>
    <row r="61" spans="1:31">
      <c r="B61">
        <v>2</v>
      </c>
      <c r="C61">
        <v>3</v>
      </c>
      <c r="D61">
        <v>1</v>
      </c>
      <c r="E61">
        <v>4</v>
      </c>
      <c r="F61">
        <v>5</v>
      </c>
      <c r="K61" s="47" t="s">
        <v>270</v>
      </c>
      <c r="L61" s="125">
        <f t="shared" ref="L61:L71" si="70">B31*L32</f>
        <v>0.11041652852606014</v>
      </c>
      <c r="M61" s="125">
        <f t="shared" ref="M61:M71" si="71">B31*M32</f>
        <v>0</v>
      </c>
      <c r="N61" s="125">
        <f>B31*N32</f>
        <v>0.10758533548693039</v>
      </c>
      <c r="O61" s="125">
        <f t="shared" ref="O61:O71" si="72">B31*O32</f>
        <v>0.10475414244780064</v>
      </c>
      <c r="P61" s="125">
        <f t="shared" ref="P61:P71" si="73">B31*P32</f>
        <v>0</v>
      </c>
      <c r="Q61" s="125">
        <f t="shared" ref="Q61:Q71" si="74">B31*Q32</f>
        <v>0</v>
      </c>
      <c r="R61" s="125">
        <f t="shared" ref="R61:R71" si="75">B31*R32</f>
        <v>0</v>
      </c>
      <c r="S61" s="125">
        <f t="shared" ref="S61:S71" si="76">B31*S32</f>
        <v>0</v>
      </c>
      <c r="T61" s="125">
        <f t="shared" ref="T61:T71" si="77">B31*T32</f>
        <v>2.8311930391297473E-2</v>
      </c>
      <c r="U61" s="125">
        <f t="shared" ref="U61:U71" si="78">B31*U32</f>
        <v>0.13872845891735761</v>
      </c>
      <c r="V61" s="125">
        <f t="shared" ref="V61:V71" si="79">B31*V32</f>
        <v>0.13589726587822787</v>
      </c>
      <c r="W61" s="125">
        <f t="shared" ref="W61:W71" si="80">B31*W32</f>
        <v>0.1330660728390981</v>
      </c>
      <c r="X61" s="125">
        <f t="shared" ref="X61:X71" si="81">B31*X32</f>
        <v>0</v>
      </c>
      <c r="Y61" s="125">
        <f t="shared" ref="Y61:Y71" si="82">B31*Y32</f>
        <v>2.8311930391297499E-3</v>
      </c>
      <c r="Z61" s="125">
        <f t="shared" ref="Z61:Z71" si="83">B31*Z32</f>
        <v>0</v>
      </c>
      <c r="AA61" s="125">
        <f t="shared" ref="AA61:AA71" si="84">B31*AA32</f>
        <v>0</v>
      </c>
      <c r="AB61" s="125">
        <f t="shared" ref="AB61:AB71" si="85">B31*AB32</f>
        <v>0</v>
      </c>
      <c r="AC61" s="125">
        <f t="shared" ref="AC61:AC71" si="86">B31*AC32</f>
        <v>5.6623860782594997E-3</v>
      </c>
      <c r="AD61" s="125">
        <f t="shared" ref="AD61:AD71" si="87">B31*AD32</f>
        <v>0</v>
      </c>
      <c r="AE61" s="125">
        <f t="shared" ref="AE61:AE71" si="88">B31*AE32</f>
        <v>2.8311930391297503E-3</v>
      </c>
    </row>
    <row r="62" spans="1:31">
      <c r="K62" s="48" t="s">
        <v>271</v>
      </c>
      <c r="L62" s="125">
        <f t="shared" si="70"/>
        <v>6.5135911600307392E-2</v>
      </c>
      <c r="M62" s="125">
        <f t="shared" si="71"/>
        <v>0</v>
      </c>
      <c r="N62" s="125">
        <f t="shared" ref="N62:N71" si="89">B32*N33</f>
        <v>0</v>
      </c>
      <c r="O62" s="125">
        <f t="shared" si="72"/>
        <v>6.7462194157461228E-2</v>
      </c>
      <c r="P62" s="125">
        <f t="shared" si="73"/>
        <v>0</v>
      </c>
      <c r="Q62" s="125">
        <f t="shared" si="74"/>
        <v>0</v>
      </c>
      <c r="R62" s="125">
        <f t="shared" si="75"/>
        <v>0</v>
      </c>
      <c r="S62" s="125">
        <f t="shared" si="76"/>
        <v>2.3262825571538372E-3</v>
      </c>
      <c r="T62" s="125">
        <f t="shared" si="77"/>
        <v>1.3957695342923009E-2</v>
      </c>
      <c r="U62" s="125">
        <f t="shared" si="78"/>
        <v>7.9093606943230407E-2</v>
      </c>
      <c r="V62" s="125">
        <f t="shared" si="79"/>
        <v>0</v>
      </c>
      <c r="W62" s="125">
        <f t="shared" si="80"/>
        <v>8.1419889500384243E-2</v>
      </c>
      <c r="X62" s="125">
        <f t="shared" si="81"/>
        <v>1.6283977900076834E-2</v>
      </c>
      <c r="Y62" s="125">
        <f t="shared" si="82"/>
        <v>8.1419889500384229E-2</v>
      </c>
      <c r="Z62" s="125">
        <f t="shared" si="83"/>
        <v>2.3262825571538268E-3</v>
      </c>
      <c r="AA62" s="125">
        <f t="shared" si="84"/>
        <v>8.3746172057538065E-2</v>
      </c>
      <c r="AB62" s="125">
        <f t="shared" si="85"/>
        <v>0</v>
      </c>
      <c r="AC62" s="125">
        <f t="shared" si="86"/>
        <v>0</v>
      </c>
      <c r="AD62" s="125">
        <f t="shared" si="87"/>
        <v>0</v>
      </c>
      <c r="AE62" s="125">
        <f t="shared" si="88"/>
        <v>0</v>
      </c>
    </row>
    <row r="63" spans="1:31">
      <c r="A63" s="101" t="s">
        <v>131</v>
      </c>
      <c r="B63" s="57" t="s">
        <v>287</v>
      </c>
      <c r="C63" s="9" t="s">
        <v>288</v>
      </c>
      <c r="D63" s="9" t="s">
        <v>289</v>
      </c>
      <c r="E63" s="9" t="s">
        <v>290</v>
      </c>
      <c r="F63" s="12" t="s">
        <v>291</v>
      </c>
      <c r="G63" s="97" t="s">
        <v>122</v>
      </c>
      <c r="K63" s="49" t="s">
        <v>272</v>
      </c>
      <c r="L63" s="125">
        <f t="shared" si="70"/>
        <v>2.28018496160373E-2</v>
      </c>
      <c r="M63" s="125">
        <f t="shared" si="71"/>
        <v>5.5013398342510823E-3</v>
      </c>
      <c r="N63" s="125">
        <f t="shared" si="89"/>
        <v>0</v>
      </c>
      <c r="O63" s="125">
        <f t="shared" si="72"/>
        <v>0</v>
      </c>
      <c r="P63" s="125">
        <f t="shared" si="73"/>
        <v>0</v>
      </c>
      <c r="Q63" s="125">
        <f t="shared" si="74"/>
        <v>0</v>
      </c>
      <c r="R63" s="125">
        <f t="shared" si="75"/>
        <v>0</v>
      </c>
      <c r="S63" s="125">
        <f t="shared" si="76"/>
        <v>0</v>
      </c>
      <c r="T63" s="125">
        <f t="shared" si="77"/>
        <v>0</v>
      </c>
      <c r="U63" s="125">
        <f t="shared" si="78"/>
        <v>1.7300509781786221E-2</v>
      </c>
      <c r="V63" s="125">
        <f t="shared" si="79"/>
        <v>0</v>
      </c>
      <c r="W63" s="125">
        <f t="shared" si="80"/>
        <v>0</v>
      </c>
      <c r="X63" s="125">
        <f t="shared" si="81"/>
        <v>3.6620029805772322E-2</v>
      </c>
      <c r="Y63" s="125">
        <f t="shared" si="82"/>
        <v>5.9421879421809626E-2</v>
      </c>
      <c r="Z63" s="125">
        <f t="shared" si="83"/>
        <v>4.2121369640023401E-2</v>
      </c>
      <c r="AA63" s="125">
        <f t="shared" si="84"/>
        <v>1.6466973443263325E-2</v>
      </c>
      <c r="AB63" s="125">
        <f t="shared" si="85"/>
        <v>2.0153056362508998E-2</v>
      </c>
      <c r="AC63" s="125">
        <f t="shared" si="86"/>
        <v>4.2954905978546301E-2</v>
      </c>
      <c r="AD63" s="125">
        <f t="shared" si="87"/>
        <v>2.5654396196760076E-2</v>
      </c>
      <c r="AE63" s="125">
        <f t="shared" si="88"/>
        <v>0</v>
      </c>
    </row>
    <row r="64" spans="1:31">
      <c r="A64" s="18" t="s">
        <v>287</v>
      </c>
      <c r="B64" s="125" t="s">
        <v>124</v>
      </c>
      <c r="C64" s="125">
        <f>L102</f>
        <v>0.96543516290706344</v>
      </c>
      <c r="D64" s="125">
        <f t="shared" ref="D64:F64" si="90">M102</f>
        <v>0.22043065089117839</v>
      </c>
      <c r="E64" s="125">
        <f t="shared" si="90"/>
        <v>1.2321354180719308</v>
      </c>
      <c r="F64" s="125">
        <f t="shared" si="90"/>
        <v>1.8531524383420541</v>
      </c>
      <c r="G64" s="173">
        <f>AVERAGE(C64:F64)</f>
        <v>1.0677884175530568</v>
      </c>
      <c r="K64" s="49" t="s">
        <v>273</v>
      </c>
      <c r="L64" s="125">
        <f t="shared" si="70"/>
        <v>0</v>
      </c>
      <c r="M64" s="125">
        <f t="shared" si="71"/>
        <v>4.8121199391575012E-2</v>
      </c>
      <c r="N64" s="125">
        <f t="shared" si="89"/>
        <v>4.2288326738050788E-2</v>
      </c>
      <c r="O64" s="125">
        <f t="shared" si="72"/>
        <v>5.8328726535242452E-2</v>
      </c>
      <c r="P64" s="125">
        <f t="shared" si="73"/>
        <v>0</v>
      </c>
      <c r="Q64" s="125">
        <f t="shared" si="74"/>
        <v>4.8121199391575012E-2</v>
      </c>
      <c r="R64" s="125">
        <f t="shared" si="75"/>
        <v>4.2288326738050788E-2</v>
      </c>
      <c r="S64" s="125">
        <f t="shared" si="76"/>
        <v>5.8328726535242452E-2</v>
      </c>
      <c r="T64" s="125">
        <f t="shared" si="77"/>
        <v>0</v>
      </c>
      <c r="U64" s="125">
        <f t="shared" si="78"/>
        <v>0</v>
      </c>
      <c r="V64" s="125">
        <f t="shared" si="79"/>
        <v>0</v>
      </c>
      <c r="W64" s="125">
        <f t="shared" si="80"/>
        <v>1.0207527143667437E-2</v>
      </c>
      <c r="X64" s="125">
        <f t="shared" si="81"/>
        <v>0</v>
      </c>
      <c r="Y64" s="125">
        <f t="shared" si="82"/>
        <v>0</v>
      </c>
      <c r="Z64" s="125">
        <f t="shared" si="83"/>
        <v>5.8328726535242272E-3</v>
      </c>
      <c r="AA64" s="125">
        <f t="shared" si="84"/>
        <v>1.6040399797191664E-2</v>
      </c>
      <c r="AB64" s="125">
        <f t="shared" si="85"/>
        <v>0</v>
      </c>
      <c r="AC64" s="125">
        <f t="shared" si="86"/>
        <v>0</v>
      </c>
      <c r="AD64" s="125">
        <f t="shared" si="87"/>
        <v>0</v>
      </c>
      <c r="AE64" s="125">
        <f t="shared" si="88"/>
        <v>0</v>
      </c>
    </row>
    <row r="65" spans="1:31">
      <c r="A65" s="43" t="s">
        <v>288</v>
      </c>
      <c r="B65" s="125">
        <f>P102</f>
        <v>0</v>
      </c>
      <c r="C65" s="125" t="s">
        <v>124</v>
      </c>
      <c r="D65" s="125">
        <f>Q102</f>
        <v>0.18176657413155101</v>
      </c>
      <c r="E65" s="125">
        <f t="shared" ref="E65:F65" si="91">R102</f>
        <v>0.85178175512738052</v>
      </c>
      <c r="F65" s="125">
        <f t="shared" si="91"/>
        <v>1.3002397657213633</v>
      </c>
      <c r="G65" s="173">
        <f>AVERAGE(B65:F65)</f>
        <v>0.58344702374507373</v>
      </c>
      <c r="K65" s="50" t="s">
        <v>274</v>
      </c>
      <c r="L65" s="125">
        <f t="shared" si="70"/>
        <v>0</v>
      </c>
      <c r="M65" s="125">
        <f t="shared" si="71"/>
        <v>0</v>
      </c>
      <c r="N65" s="125">
        <f t="shared" si="89"/>
        <v>4.326403663789475E-2</v>
      </c>
      <c r="O65" s="125">
        <f t="shared" si="72"/>
        <v>3.1170546081632829E-2</v>
      </c>
      <c r="P65" s="125">
        <f t="shared" si="73"/>
        <v>0</v>
      </c>
      <c r="Q65" s="125">
        <f t="shared" si="74"/>
        <v>0</v>
      </c>
      <c r="R65" s="125">
        <f t="shared" si="75"/>
        <v>4.326403663789475E-2</v>
      </c>
      <c r="S65" s="125">
        <f t="shared" si="76"/>
        <v>3.1170546081632829E-2</v>
      </c>
      <c r="T65" s="125">
        <f t="shared" si="77"/>
        <v>3.5088155698450064E-2</v>
      </c>
      <c r="U65" s="125">
        <f t="shared" si="78"/>
        <v>3.5088155698450064E-2</v>
      </c>
      <c r="V65" s="125">
        <f t="shared" si="79"/>
        <v>7.8352192336344814E-2</v>
      </c>
      <c r="W65" s="125">
        <f t="shared" si="80"/>
        <v>6.6258701780082904E-2</v>
      </c>
      <c r="X65" s="125">
        <f t="shared" si="81"/>
        <v>0</v>
      </c>
      <c r="Y65" s="125">
        <f t="shared" si="82"/>
        <v>0</v>
      </c>
      <c r="Z65" s="125">
        <f t="shared" si="83"/>
        <v>0</v>
      </c>
      <c r="AA65" s="125">
        <f t="shared" si="84"/>
        <v>0</v>
      </c>
      <c r="AB65" s="125">
        <f t="shared" si="85"/>
        <v>0</v>
      </c>
      <c r="AC65" s="125">
        <f t="shared" si="86"/>
        <v>0</v>
      </c>
      <c r="AD65" s="125">
        <f t="shared" si="87"/>
        <v>0</v>
      </c>
      <c r="AE65" s="125">
        <f t="shared" si="88"/>
        <v>1.2093490556261917E-2</v>
      </c>
    </row>
    <row r="66" spans="1:31">
      <c r="A66" s="43" t="s">
        <v>289</v>
      </c>
      <c r="B66" s="125">
        <f>T102</f>
        <v>1.3035085188631188</v>
      </c>
      <c r="C66" s="125">
        <f>U102</f>
        <v>2.2302796050105544</v>
      </c>
      <c r="D66" s="125" t="s">
        <v>124</v>
      </c>
      <c r="E66" s="125">
        <f>V102</f>
        <v>1.9802303701009809</v>
      </c>
      <c r="F66" s="125">
        <f>W102</f>
        <v>2.8740236589369563</v>
      </c>
      <c r="G66" s="173">
        <f>AVERAGE(B66:F66)</f>
        <v>2.0970105382279027</v>
      </c>
      <c r="K66" s="51" t="s">
        <v>275</v>
      </c>
      <c r="L66" s="125">
        <f t="shared" si="70"/>
        <v>0</v>
      </c>
      <c r="M66" s="125">
        <f t="shared" si="71"/>
        <v>0</v>
      </c>
      <c r="N66" s="125">
        <f t="shared" si="89"/>
        <v>2.3863841624042963E-2</v>
      </c>
      <c r="O66" s="125">
        <f t="shared" si="72"/>
        <v>4.6323927858436344E-2</v>
      </c>
      <c r="P66" s="125">
        <f t="shared" si="73"/>
        <v>0</v>
      </c>
      <c r="Q66" s="125">
        <f t="shared" si="74"/>
        <v>0</v>
      </c>
      <c r="R66" s="125">
        <f t="shared" si="75"/>
        <v>2.3863841624042963E-2</v>
      </c>
      <c r="S66" s="125">
        <f t="shared" si="76"/>
        <v>4.6323927858436344E-2</v>
      </c>
      <c r="T66" s="125">
        <f t="shared" si="77"/>
        <v>0</v>
      </c>
      <c r="U66" s="125">
        <f t="shared" si="78"/>
        <v>0</v>
      </c>
      <c r="V66" s="125">
        <f t="shared" si="79"/>
        <v>2.3863841624042963E-2</v>
      </c>
      <c r="W66" s="125">
        <f t="shared" si="80"/>
        <v>4.6323927858436344E-2</v>
      </c>
      <c r="X66" s="125">
        <f t="shared" si="81"/>
        <v>0</v>
      </c>
      <c r="Y66" s="125">
        <f t="shared" si="82"/>
        <v>0</v>
      </c>
      <c r="Z66" s="125">
        <f t="shared" si="83"/>
        <v>0</v>
      </c>
      <c r="AA66" s="125">
        <f t="shared" si="84"/>
        <v>2.246008623439338E-2</v>
      </c>
      <c r="AB66" s="125">
        <f t="shared" si="85"/>
        <v>0</v>
      </c>
      <c r="AC66" s="125">
        <f t="shared" si="86"/>
        <v>0</v>
      </c>
      <c r="AD66" s="125">
        <f t="shared" si="87"/>
        <v>0</v>
      </c>
      <c r="AE66" s="125">
        <f t="shared" si="88"/>
        <v>0</v>
      </c>
    </row>
    <row r="67" spans="1:31">
      <c r="A67" s="43" t="s">
        <v>290</v>
      </c>
      <c r="B67" s="125">
        <f>X102</f>
        <v>0.6751884683386411</v>
      </c>
      <c r="C67" s="125">
        <f t="shared" ref="C67:D67" si="92">Y102</f>
        <v>1.2602699683011545</v>
      </c>
      <c r="D67" s="125">
        <f t="shared" si="92"/>
        <v>0.34020555239575101</v>
      </c>
      <c r="E67" s="125" t="s">
        <v>124</v>
      </c>
      <c r="F67" s="125">
        <f>AA102</f>
        <v>1.3719909602083198</v>
      </c>
      <c r="G67" s="173">
        <f>AVERAGE(B67:F67)</f>
        <v>0.91191373731096659</v>
      </c>
      <c r="K67" s="51" t="s">
        <v>148</v>
      </c>
      <c r="L67" s="125">
        <f t="shared" si="70"/>
        <v>0</v>
      </c>
      <c r="M67" s="125">
        <f t="shared" si="71"/>
        <v>9.2114497609451472E-3</v>
      </c>
      <c r="N67" s="125">
        <f t="shared" si="89"/>
        <v>3.293791126640995E-2</v>
      </c>
      <c r="O67" s="125">
        <f t="shared" si="72"/>
        <v>5.1081675947059493E-2</v>
      </c>
      <c r="P67" s="125">
        <f t="shared" si="73"/>
        <v>0</v>
      </c>
      <c r="Q67" s="125">
        <f t="shared" si="74"/>
        <v>9.2114497609451472E-3</v>
      </c>
      <c r="R67" s="125">
        <f t="shared" si="75"/>
        <v>3.293791126640995E-2</v>
      </c>
      <c r="S67" s="125">
        <f t="shared" si="76"/>
        <v>5.1081675947059493E-2</v>
      </c>
      <c r="T67" s="125">
        <f t="shared" si="77"/>
        <v>0</v>
      </c>
      <c r="U67" s="125">
        <f t="shared" si="78"/>
        <v>0</v>
      </c>
      <c r="V67" s="125">
        <f t="shared" si="79"/>
        <v>2.3726461505464803E-2</v>
      </c>
      <c r="W67" s="125">
        <f t="shared" si="80"/>
        <v>4.1870226186114343E-2</v>
      </c>
      <c r="X67" s="125">
        <f t="shared" si="81"/>
        <v>0</v>
      </c>
      <c r="Y67" s="125">
        <f t="shared" si="82"/>
        <v>0</v>
      </c>
      <c r="Z67" s="125">
        <f t="shared" si="83"/>
        <v>0</v>
      </c>
      <c r="AA67" s="125">
        <f t="shared" si="84"/>
        <v>1.8143764680649543E-2</v>
      </c>
      <c r="AB67" s="125">
        <f t="shared" si="85"/>
        <v>0</v>
      </c>
      <c r="AC67" s="125">
        <f t="shared" si="86"/>
        <v>0</v>
      </c>
      <c r="AD67" s="125">
        <f t="shared" si="87"/>
        <v>0</v>
      </c>
      <c r="AE67" s="125">
        <f t="shared" si="88"/>
        <v>0</v>
      </c>
    </row>
    <row r="68" spans="1:31">
      <c r="A68" s="12" t="s">
        <v>291</v>
      </c>
      <c r="B68" s="125">
        <f>AB102</f>
        <v>0.24250882351200032</v>
      </c>
      <c r="C68" s="125">
        <f t="shared" ref="C68:E68" si="93">AC102</f>
        <v>0.65503131379837298</v>
      </c>
      <c r="D68" s="125">
        <f t="shared" si="93"/>
        <v>0.18030217613496252</v>
      </c>
      <c r="E68" s="125">
        <f t="shared" si="93"/>
        <v>0.31829429511155571</v>
      </c>
      <c r="F68" s="125" t="s">
        <v>124</v>
      </c>
      <c r="G68" s="173">
        <f>AVERAGE(B68:F68)</f>
        <v>0.3490341521392229</v>
      </c>
      <c r="K68" s="51" t="s">
        <v>149</v>
      </c>
      <c r="L68" s="125">
        <f t="shared" si="70"/>
        <v>2.1399657832940632E-2</v>
      </c>
      <c r="M68" s="125">
        <f t="shared" si="71"/>
        <v>0</v>
      </c>
      <c r="N68" s="125">
        <f t="shared" si="89"/>
        <v>7.1926627716272673E-2</v>
      </c>
      <c r="O68" s="125">
        <f t="shared" si="72"/>
        <v>7.1926627716272673E-2</v>
      </c>
      <c r="P68" s="125">
        <f t="shared" si="73"/>
        <v>0</v>
      </c>
      <c r="Q68" s="125">
        <f t="shared" si="74"/>
        <v>0</v>
      </c>
      <c r="R68" s="125">
        <f t="shared" si="75"/>
        <v>5.0526969883332037E-2</v>
      </c>
      <c r="S68" s="125">
        <f t="shared" si="76"/>
        <v>5.0526969883332037E-2</v>
      </c>
      <c r="T68" s="125">
        <f t="shared" si="77"/>
        <v>2.4966267471764062E-2</v>
      </c>
      <c r="U68" s="125">
        <f t="shared" si="78"/>
        <v>4.6365925304704694E-2</v>
      </c>
      <c r="V68" s="125">
        <f t="shared" si="79"/>
        <v>9.6892895188036732E-2</v>
      </c>
      <c r="W68" s="125">
        <f t="shared" si="80"/>
        <v>9.6892895188036732E-2</v>
      </c>
      <c r="X68" s="125">
        <f t="shared" si="81"/>
        <v>0</v>
      </c>
      <c r="Y68" s="125">
        <f t="shared" si="82"/>
        <v>0</v>
      </c>
      <c r="Z68" s="125">
        <f t="shared" si="83"/>
        <v>0</v>
      </c>
      <c r="AA68" s="125">
        <f t="shared" si="84"/>
        <v>0</v>
      </c>
      <c r="AB68" s="125">
        <f t="shared" si="85"/>
        <v>0</v>
      </c>
      <c r="AC68" s="125">
        <f t="shared" si="86"/>
        <v>0</v>
      </c>
      <c r="AD68" s="125">
        <f t="shared" si="87"/>
        <v>0</v>
      </c>
      <c r="AE68" s="125">
        <f t="shared" si="88"/>
        <v>0</v>
      </c>
    </row>
    <row r="69" spans="1:31">
      <c r="A69" s="98" t="s">
        <v>127</v>
      </c>
      <c r="B69" s="177">
        <f>AVERAGE(B64:B68)</f>
        <v>0.55530145267844011</v>
      </c>
      <c r="C69" s="177">
        <f t="shared" ref="C69:F69" si="94">AVERAGE(C64:C68)</f>
        <v>1.2777540125042863</v>
      </c>
      <c r="D69" s="177">
        <f t="shared" si="94"/>
        <v>0.23067623838836071</v>
      </c>
      <c r="E69" s="177">
        <f t="shared" si="94"/>
        <v>1.0956104596029619</v>
      </c>
      <c r="F69" s="177">
        <f t="shared" si="94"/>
        <v>1.8498517058021733</v>
      </c>
      <c r="G69" s="125"/>
      <c r="K69" s="52" t="s">
        <v>277</v>
      </c>
      <c r="L69" s="125">
        <f t="shared" si="70"/>
        <v>1.7238939531192654E-2</v>
      </c>
      <c r="M69" s="125">
        <f t="shared" si="71"/>
        <v>0</v>
      </c>
      <c r="N69" s="125">
        <f t="shared" si="89"/>
        <v>2.4627056473132342E-3</v>
      </c>
      <c r="O69" s="125">
        <f t="shared" si="72"/>
        <v>0</v>
      </c>
      <c r="P69" s="125">
        <f t="shared" si="73"/>
        <v>0</v>
      </c>
      <c r="Q69" s="125">
        <f t="shared" si="74"/>
        <v>0</v>
      </c>
      <c r="R69" s="125">
        <f t="shared" si="75"/>
        <v>0</v>
      </c>
      <c r="S69" s="125">
        <f t="shared" si="76"/>
        <v>0</v>
      </c>
      <c r="T69" s="125">
        <f t="shared" si="77"/>
        <v>6.476915852433815E-2</v>
      </c>
      <c r="U69" s="125">
        <f t="shared" si="78"/>
        <v>8.2008098055530804E-2</v>
      </c>
      <c r="V69" s="125">
        <f t="shared" si="79"/>
        <v>6.723186417165139E-2</v>
      </c>
      <c r="W69" s="125">
        <f t="shared" si="80"/>
        <v>4.6545136734220185E-2</v>
      </c>
      <c r="X69" s="125">
        <f t="shared" si="81"/>
        <v>0</v>
      </c>
      <c r="Y69" s="125">
        <f t="shared" si="82"/>
        <v>1.4776233883879421E-2</v>
      </c>
      <c r="Z69" s="125">
        <f t="shared" si="83"/>
        <v>0</v>
      </c>
      <c r="AA69" s="125">
        <f t="shared" si="84"/>
        <v>0</v>
      </c>
      <c r="AB69" s="125">
        <f t="shared" si="85"/>
        <v>1.8224021790117961E-2</v>
      </c>
      <c r="AC69" s="125">
        <f t="shared" si="86"/>
        <v>3.5462961321310618E-2</v>
      </c>
      <c r="AD69" s="125">
        <f t="shared" si="87"/>
        <v>0</v>
      </c>
      <c r="AE69" s="125">
        <f t="shared" si="88"/>
        <v>2.068672743743119E-2</v>
      </c>
    </row>
    <row r="70" spans="1:31">
      <c r="A70" s="43" t="s">
        <v>128</v>
      </c>
      <c r="B70" s="125">
        <f>G64-B69</f>
        <v>0.51248696487461665</v>
      </c>
      <c r="C70" s="125">
        <f>G65-C69</f>
        <v>-0.6943069887592126</v>
      </c>
      <c r="D70" s="125">
        <f>G66-D69</f>
        <v>1.866334299839542</v>
      </c>
      <c r="E70" s="125">
        <f>G67-E69</f>
        <v>-0.1836967222919953</v>
      </c>
      <c r="F70" s="125">
        <f>G68-F69</f>
        <v>-1.5008175536629504</v>
      </c>
      <c r="G70" s="125"/>
      <c r="K70" s="53" t="s">
        <v>279</v>
      </c>
      <c r="L70" s="125">
        <f t="shared" si="70"/>
        <v>4.7483049224891473E-2</v>
      </c>
      <c r="M70" s="125">
        <f t="shared" si="71"/>
        <v>0</v>
      </c>
      <c r="N70" s="125">
        <f t="shared" si="89"/>
        <v>4.7483049224891473E-2</v>
      </c>
      <c r="O70" s="125">
        <f t="shared" si="72"/>
        <v>0</v>
      </c>
      <c r="P70" s="125">
        <f t="shared" si="73"/>
        <v>0</v>
      </c>
      <c r="Q70" s="125">
        <f t="shared" si="74"/>
        <v>0</v>
      </c>
      <c r="R70" s="125">
        <f t="shared" si="75"/>
        <v>0</v>
      </c>
      <c r="S70" s="125">
        <f t="shared" si="76"/>
        <v>0</v>
      </c>
      <c r="T70" s="125">
        <f t="shared" si="77"/>
        <v>5.6979659069869827E-2</v>
      </c>
      <c r="U70" s="125">
        <f t="shared" si="78"/>
        <v>0.1044627082947613</v>
      </c>
      <c r="V70" s="125">
        <f t="shared" si="79"/>
        <v>0.1044627082947613</v>
      </c>
      <c r="W70" s="125">
        <f t="shared" si="80"/>
        <v>5.6979659069869827E-2</v>
      </c>
      <c r="X70" s="125">
        <f t="shared" si="81"/>
        <v>0</v>
      </c>
      <c r="Y70" s="125">
        <f t="shared" si="82"/>
        <v>0</v>
      </c>
      <c r="Z70" s="125">
        <f t="shared" si="83"/>
        <v>0</v>
      </c>
      <c r="AA70" s="125">
        <f t="shared" si="84"/>
        <v>0</v>
      </c>
      <c r="AB70" s="125">
        <f t="shared" si="85"/>
        <v>0</v>
      </c>
      <c r="AC70" s="125">
        <f t="shared" si="86"/>
        <v>4.7483049224891473E-2</v>
      </c>
      <c r="AD70" s="125">
        <f t="shared" si="87"/>
        <v>0</v>
      </c>
      <c r="AE70" s="125">
        <f t="shared" si="88"/>
        <v>4.7483049224891473E-2</v>
      </c>
    </row>
    <row r="71" spans="1:31">
      <c r="B71">
        <v>2</v>
      </c>
      <c r="C71">
        <v>4</v>
      </c>
      <c r="D71">
        <v>1</v>
      </c>
      <c r="E71">
        <v>3</v>
      </c>
      <c r="F71">
        <v>5</v>
      </c>
      <c r="K71" s="53" t="s">
        <v>280</v>
      </c>
      <c r="L71" s="125">
        <f t="shared" si="70"/>
        <v>0</v>
      </c>
      <c r="M71" s="125">
        <f t="shared" si="71"/>
        <v>0</v>
      </c>
      <c r="N71" s="125">
        <f t="shared" si="89"/>
        <v>0</v>
      </c>
      <c r="O71" s="125">
        <f t="shared" si="72"/>
        <v>2.0087347579026357E-2</v>
      </c>
      <c r="P71" s="125">
        <f t="shared" si="73"/>
        <v>0</v>
      </c>
      <c r="Q71" s="125">
        <f t="shared" si="74"/>
        <v>0</v>
      </c>
      <c r="R71" s="125">
        <f t="shared" si="75"/>
        <v>0</v>
      </c>
      <c r="S71" s="125">
        <f t="shared" si="76"/>
        <v>2.0087347579026357E-2</v>
      </c>
      <c r="T71" s="125">
        <f t="shared" si="77"/>
        <v>4.3959267890333061E-2</v>
      </c>
      <c r="U71" s="125">
        <f t="shared" si="78"/>
        <v>4.3959267890333061E-2</v>
      </c>
      <c r="V71" s="125">
        <f t="shared" si="79"/>
        <v>3.7263485363990927E-2</v>
      </c>
      <c r="W71" s="125">
        <f t="shared" si="80"/>
        <v>6.4046615469359414E-2</v>
      </c>
      <c r="X71" s="125">
        <f t="shared" si="81"/>
        <v>6.6957825263421278E-3</v>
      </c>
      <c r="Y71" s="125">
        <f t="shared" si="82"/>
        <v>6.6957825263421278E-3</v>
      </c>
      <c r="Z71" s="125">
        <f t="shared" si="83"/>
        <v>0</v>
      </c>
      <c r="AA71" s="125">
        <f t="shared" si="84"/>
        <v>2.6783130105368484E-2</v>
      </c>
      <c r="AB71" s="125">
        <f t="shared" si="85"/>
        <v>0</v>
      </c>
      <c r="AC71" s="125">
        <f t="shared" si="86"/>
        <v>0</v>
      </c>
      <c r="AD71" s="125">
        <f t="shared" si="87"/>
        <v>0</v>
      </c>
      <c r="AE71" s="125">
        <f t="shared" si="88"/>
        <v>0</v>
      </c>
    </row>
    <row r="72" spans="1:31">
      <c r="K72" s="95" t="s">
        <v>48</v>
      </c>
      <c r="L72" s="171">
        <f>SUM(L60:L71)</f>
        <v>0.29038346040104457</v>
      </c>
      <c r="M72" s="171">
        <f>SUM(M60:M71)</f>
        <v>6.2833988986771241E-2</v>
      </c>
      <c r="N72" s="171">
        <f t="shared" ref="N72:S72" si="95">SUM(N60:N71)</f>
        <v>0.3718118343418062</v>
      </c>
      <c r="O72" s="171">
        <f t="shared" si="95"/>
        <v>0.46649475090393105</v>
      </c>
      <c r="P72" s="171">
        <f t="shared" si="95"/>
        <v>0</v>
      </c>
      <c r="Q72" s="171">
        <f t="shared" si="95"/>
        <v>5.7332649152520163E-2</v>
      </c>
      <c r="R72" s="171">
        <f t="shared" si="95"/>
        <v>0.19288108614973049</v>
      </c>
      <c r="S72" s="171">
        <f t="shared" si="95"/>
        <v>0.26929751495326737</v>
      </c>
      <c r="T72" s="171">
        <f t="shared" ref="T72" si="96">SUM(T60:T71)</f>
        <v>0.34955596654966264</v>
      </c>
      <c r="U72" s="171">
        <f t="shared" ref="U72" si="97">SUM(U60:U71)</f>
        <v>0.63443808711645622</v>
      </c>
      <c r="V72" s="171">
        <f t="shared" ref="V72" si="98">SUM(V60:V71)</f>
        <v>0.56769071436252083</v>
      </c>
      <c r="W72" s="171">
        <f t="shared" ref="W72" si="99">SUM(W60:W71)</f>
        <v>0.74049404651095563</v>
      </c>
      <c r="X72" s="171">
        <f t="shared" ref="X72" si="100">SUM(X60:X71)</f>
        <v>0.14584964164857028</v>
      </c>
      <c r="Y72" s="171">
        <f t="shared" ref="Y72" si="101">SUM(Y60:Y71)</f>
        <v>0.25730235385753913</v>
      </c>
      <c r="Z72" s="171">
        <f t="shared" ref="Z72" si="102">SUM(Z60:Z71)</f>
        <v>5.5006544106393468E-2</v>
      </c>
      <c r="AA72" s="171">
        <f>SUM(AA60:AA71)</f>
        <v>0.28524994031578244</v>
      </c>
      <c r="AB72" s="171">
        <f t="shared" ref="AB72" si="103">SUM(AB60:AB71)</f>
        <v>3.8377078152626962E-2</v>
      </c>
      <c r="AC72" s="171">
        <f t="shared" ref="AC72" si="104">SUM(AC60:AC71)</f>
        <v>0.13156330260300789</v>
      </c>
      <c r="AD72" s="171">
        <f t="shared" ref="AD72" si="105">SUM(AD60:AD71)</f>
        <v>2.5654396196760076E-2</v>
      </c>
      <c r="AE72" s="171">
        <f t="shared" ref="AE72" si="106">SUM(AE60:AE71)</f>
        <v>8.3094460257714331E-2</v>
      </c>
    </row>
    <row r="74" spans="1:31">
      <c r="K74" s="19" t="s">
        <v>317</v>
      </c>
      <c r="L74" s="168" t="s">
        <v>118</v>
      </c>
      <c r="M74" s="9" t="s">
        <v>119</v>
      </c>
      <c r="N74" s="9" t="s">
        <v>299</v>
      </c>
      <c r="O74" s="9" t="s">
        <v>300</v>
      </c>
      <c r="P74" s="9" t="s">
        <v>120</v>
      </c>
      <c r="Q74" s="9" t="s">
        <v>301</v>
      </c>
      <c r="R74" s="9" t="s">
        <v>302</v>
      </c>
      <c r="S74" s="9" t="s">
        <v>303</v>
      </c>
      <c r="T74" s="9" t="s">
        <v>123</v>
      </c>
      <c r="U74" s="169" t="s">
        <v>125</v>
      </c>
      <c r="V74" s="170" t="s">
        <v>304</v>
      </c>
      <c r="W74" s="170" t="s">
        <v>305</v>
      </c>
      <c r="X74" s="9" t="s">
        <v>306</v>
      </c>
      <c r="Y74" s="9" t="s">
        <v>307</v>
      </c>
      <c r="Z74" s="9" t="s">
        <v>308</v>
      </c>
      <c r="AA74" s="9" t="s">
        <v>309</v>
      </c>
      <c r="AB74" s="9" t="s">
        <v>310</v>
      </c>
      <c r="AC74" s="9" t="s">
        <v>311</v>
      </c>
      <c r="AD74" s="9" t="s">
        <v>312</v>
      </c>
      <c r="AE74" s="9" t="s">
        <v>313</v>
      </c>
    </row>
    <row r="75" spans="1:31">
      <c r="B75" t="s">
        <v>295</v>
      </c>
      <c r="K75" s="48" t="s">
        <v>269</v>
      </c>
      <c r="L75" s="125">
        <f>C30*L31</f>
        <v>2.644661265316916E-3</v>
      </c>
      <c r="M75" s="125">
        <f>C30*M31</f>
        <v>0</v>
      </c>
      <c r="N75" s="125">
        <f>C30*N31</f>
        <v>0</v>
      </c>
      <c r="O75" s="125">
        <f>C30*O31</f>
        <v>6.8761192898239738E-3</v>
      </c>
      <c r="P75" s="125">
        <f>C30*P31</f>
        <v>0</v>
      </c>
      <c r="Q75" s="125">
        <f>C30*Q31</f>
        <v>0</v>
      </c>
      <c r="R75" s="125">
        <f>C30*R31</f>
        <v>0</v>
      </c>
      <c r="S75" s="125">
        <f>C30*S31</f>
        <v>4.2314580245070583E-3</v>
      </c>
      <c r="T75" s="125">
        <f>C30*T31</f>
        <v>3.6496325461373387E-2</v>
      </c>
      <c r="U75" s="125">
        <f>C30*U31</f>
        <v>3.9140986726690308E-2</v>
      </c>
      <c r="V75" s="125">
        <f>C30*V31</f>
        <v>0</v>
      </c>
      <c r="W75" s="125">
        <f>C30*W31</f>
        <v>4.3372444751197364E-2</v>
      </c>
      <c r="X75" s="125">
        <f>C30*X31</f>
        <v>3.8612054473626922E-2</v>
      </c>
      <c r="Y75" s="125">
        <f>C30*Y31</f>
        <v>4.1256715738943843E-2</v>
      </c>
      <c r="Z75" s="125">
        <f>C30*Z31</f>
        <v>2.1157290122535339E-3</v>
      </c>
      <c r="AA75" s="125">
        <f>C30*AA31</f>
        <v>4.54881737634509E-2</v>
      </c>
      <c r="AB75" s="125">
        <f>C30*AB31</f>
        <v>0</v>
      </c>
      <c r="AC75" s="125">
        <f>C30*AC31</f>
        <v>0</v>
      </c>
      <c r="AD75" s="125">
        <f>C30*AD31</f>
        <v>0</v>
      </c>
      <c r="AE75" s="125">
        <f>C30*AE31</f>
        <v>0</v>
      </c>
    </row>
    <row r="76" spans="1:31">
      <c r="A76" s="19" t="s">
        <v>287</v>
      </c>
      <c r="B76" s="125">
        <v>0.15178972673126775</v>
      </c>
      <c r="K76" s="47" t="s">
        <v>270</v>
      </c>
      <c r="L76" s="125">
        <f t="shared" ref="L76:L86" si="107">C31*L32</f>
        <v>2.1511708827003546E-2</v>
      </c>
      <c r="M76" s="125">
        <f t="shared" ref="M76:M86" si="108">C31*M32</f>
        <v>0</v>
      </c>
      <c r="N76" s="125">
        <f t="shared" ref="N76:N86" si="109">C31*N32</f>
        <v>2.0960126549388069E-2</v>
      </c>
      <c r="O76" s="125">
        <f t="shared" ref="O76:O86" si="110">C31*O32</f>
        <v>2.0408544271772595E-2</v>
      </c>
      <c r="P76" s="125">
        <f t="shared" ref="P76:P86" si="111">C31*P32</f>
        <v>0</v>
      </c>
      <c r="Q76" s="125">
        <f t="shared" ref="Q76:Q86" si="112">C31*Q32</f>
        <v>0</v>
      </c>
      <c r="R76" s="125">
        <f t="shared" ref="R76:R86" si="113">C31*R32</f>
        <v>0</v>
      </c>
      <c r="S76" s="125">
        <f t="shared" ref="S76:S86" si="114">C31*S32</f>
        <v>0</v>
      </c>
      <c r="T76" s="125">
        <f t="shared" ref="T76:T86" si="115">C31*T32</f>
        <v>5.5158227761547551E-3</v>
      </c>
      <c r="U76" s="125">
        <f t="shared" ref="U76:U86" si="116">C31*U32</f>
        <v>2.7027531603158302E-2</v>
      </c>
      <c r="V76" s="125">
        <f t="shared" ref="V76:V86" si="117">C31*V32</f>
        <v>2.6475949325542824E-2</v>
      </c>
      <c r="W76" s="125">
        <f t="shared" ref="W76:W86" si="118">C31*W32</f>
        <v>2.592436704792735E-2</v>
      </c>
      <c r="X76" s="125">
        <f t="shared" ref="X76:X86" si="119">C31*X32</f>
        <v>0</v>
      </c>
      <c r="Y76" s="125">
        <f t="shared" ref="Y76:Y85" si="120">C31*Y32</f>
        <v>5.5158227761547608E-4</v>
      </c>
      <c r="Z76" s="125">
        <f t="shared" ref="Z76:Z86" si="121">C31*Z32</f>
        <v>0</v>
      </c>
      <c r="AA76" s="125">
        <f t="shared" ref="AA76:AA86" si="122">C31*AA32</f>
        <v>0</v>
      </c>
      <c r="AB76" s="125">
        <f t="shared" ref="AB76:AB86" si="123">C31*AB32</f>
        <v>0</v>
      </c>
      <c r="AC76" s="125">
        <f t="shared" ref="AC76:AC86" si="124">C31*AC32</f>
        <v>1.1031645552309522E-3</v>
      </c>
      <c r="AD76" s="125">
        <f t="shared" ref="AD76:AD86" si="125">C31*AD32</f>
        <v>0</v>
      </c>
      <c r="AE76" s="125">
        <f t="shared" ref="AE76:AE86" si="126">C31*AE32</f>
        <v>5.5158227761547619E-4</v>
      </c>
    </row>
    <row r="77" spans="1:31">
      <c r="A77" s="19" t="s">
        <v>288</v>
      </c>
      <c r="B77" s="125">
        <v>-0.13263268788095212</v>
      </c>
      <c r="K77" s="48" t="s">
        <v>271</v>
      </c>
      <c r="L77" s="125">
        <f t="shared" si="107"/>
        <v>3.8786358219859256E-2</v>
      </c>
      <c r="M77" s="125">
        <f t="shared" si="108"/>
        <v>0</v>
      </c>
      <c r="N77" s="125">
        <f t="shared" si="109"/>
        <v>0</v>
      </c>
      <c r="O77" s="125">
        <f t="shared" si="110"/>
        <v>4.0171585299139945E-2</v>
      </c>
      <c r="P77" s="125">
        <f t="shared" si="111"/>
        <v>0</v>
      </c>
      <c r="Q77" s="125">
        <f t="shared" si="112"/>
        <v>0</v>
      </c>
      <c r="R77" s="125">
        <f t="shared" si="113"/>
        <v>0</v>
      </c>
      <c r="S77" s="125">
        <f t="shared" si="114"/>
        <v>1.3852270792806889E-3</v>
      </c>
      <c r="T77" s="125">
        <f t="shared" si="115"/>
        <v>8.3113624756841233E-3</v>
      </c>
      <c r="U77" s="125">
        <f t="shared" si="116"/>
        <v>4.7097720695543382E-2</v>
      </c>
      <c r="V77" s="125">
        <f t="shared" si="117"/>
        <v>0</v>
      </c>
      <c r="W77" s="125">
        <f t="shared" si="118"/>
        <v>4.8482947774824071E-2</v>
      </c>
      <c r="X77" s="125">
        <f t="shared" si="119"/>
        <v>9.696589554964807E-3</v>
      </c>
      <c r="Y77" s="125">
        <f t="shared" si="120"/>
        <v>4.8482947774824064E-2</v>
      </c>
      <c r="Z77" s="125">
        <f t="shared" si="121"/>
        <v>1.3852270792806827E-3</v>
      </c>
      <c r="AA77" s="125">
        <f t="shared" si="122"/>
        <v>4.9868174854104753E-2</v>
      </c>
      <c r="AB77" s="125">
        <f t="shared" si="123"/>
        <v>0</v>
      </c>
      <c r="AC77" s="125">
        <f t="shared" si="124"/>
        <v>0</v>
      </c>
      <c r="AD77" s="125">
        <f t="shared" si="125"/>
        <v>0</v>
      </c>
      <c r="AE77" s="125">
        <f t="shared" si="126"/>
        <v>0</v>
      </c>
    </row>
    <row r="78" spans="1:31">
      <c r="A78" s="19" t="s">
        <v>289</v>
      </c>
      <c r="B78" s="125">
        <v>0.44239179470583806</v>
      </c>
      <c r="K78" s="49" t="s">
        <v>272</v>
      </c>
      <c r="L78" s="125">
        <f t="shared" si="107"/>
        <v>6.4476685470734207E-2</v>
      </c>
      <c r="M78" s="125">
        <f t="shared" si="108"/>
        <v>1.5556113391395669E-2</v>
      </c>
      <c r="N78" s="125">
        <f t="shared" si="109"/>
        <v>0</v>
      </c>
      <c r="O78" s="125">
        <f t="shared" si="110"/>
        <v>0</v>
      </c>
      <c r="P78" s="125">
        <f t="shared" si="111"/>
        <v>0</v>
      </c>
      <c r="Q78" s="125">
        <f t="shared" si="112"/>
        <v>0</v>
      </c>
      <c r="R78" s="125">
        <f t="shared" si="113"/>
        <v>0</v>
      </c>
      <c r="S78" s="125">
        <f t="shared" si="114"/>
        <v>0</v>
      </c>
      <c r="T78" s="125">
        <f t="shared" si="115"/>
        <v>0</v>
      </c>
      <c r="U78" s="125">
        <f t="shared" si="116"/>
        <v>4.8920572079338545E-2</v>
      </c>
      <c r="V78" s="125">
        <f t="shared" si="117"/>
        <v>0</v>
      </c>
      <c r="W78" s="125">
        <f t="shared" si="118"/>
        <v>0</v>
      </c>
      <c r="X78" s="125">
        <f t="shared" si="119"/>
        <v>0.10355029015080544</v>
      </c>
      <c r="Y78" s="125">
        <f t="shared" si="120"/>
        <v>0.16802697562153965</v>
      </c>
      <c r="Z78" s="125">
        <f t="shared" si="121"/>
        <v>0.1191064035422011</v>
      </c>
      <c r="AA78" s="125">
        <f t="shared" si="122"/>
        <v>4.6563585201854343E-2</v>
      </c>
      <c r="AB78" s="125">
        <f t="shared" si="123"/>
        <v>5.6986704948951097E-2</v>
      </c>
      <c r="AC78" s="125">
        <f t="shared" si="124"/>
        <v>0.1214633904196853</v>
      </c>
      <c r="AD78" s="125">
        <f t="shared" si="125"/>
        <v>7.254281834034676E-2</v>
      </c>
      <c r="AE78" s="125">
        <f t="shared" si="126"/>
        <v>0</v>
      </c>
    </row>
    <row r="79" spans="1:31">
      <c r="A79" s="19" t="s">
        <v>290</v>
      </c>
      <c r="B79" s="125">
        <v>-0.10522279678062191</v>
      </c>
      <c r="K79" s="49" t="s">
        <v>273</v>
      </c>
      <c r="L79" s="125">
        <f t="shared" si="107"/>
        <v>0</v>
      </c>
      <c r="M79" s="125">
        <f t="shared" si="108"/>
        <v>5.1665543470179959E-2</v>
      </c>
      <c r="N79" s="125">
        <f t="shared" si="109"/>
        <v>4.5403053352582406E-2</v>
      </c>
      <c r="O79" s="125">
        <f t="shared" si="110"/>
        <v>6.2624901175975717E-2</v>
      </c>
      <c r="P79" s="125">
        <f t="shared" si="111"/>
        <v>0</v>
      </c>
      <c r="Q79" s="125">
        <f t="shared" si="112"/>
        <v>5.1665543470179959E-2</v>
      </c>
      <c r="R79" s="125">
        <f t="shared" si="113"/>
        <v>4.5403053352582406E-2</v>
      </c>
      <c r="S79" s="125">
        <f t="shared" si="114"/>
        <v>6.2624901175975717E-2</v>
      </c>
      <c r="T79" s="125">
        <f t="shared" si="115"/>
        <v>0</v>
      </c>
      <c r="U79" s="125">
        <f t="shared" si="116"/>
        <v>0</v>
      </c>
      <c r="V79" s="125">
        <f t="shared" si="117"/>
        <v>0</v>
      </c>
      <c r="W79" s="125">
        <f t="shared" si="118"/>
        <v>1.0959357705795758E-2</v>
      </c>
      <c r="X79" s="125">
        <f t="shared" si="119"/>
        <v>0</v>
      </c>
      <c r="Y79" s="125">
        <f t="shared" si="120"/>
        <v>0</v>
      </c>
      <c r="Z79" s="125">
        <f t="shared" si="121"/>
        <v>6.2624901175975531E-3</v>
      </c>
      <c r="AA79" s="125">
        <f t="shared" si="122"/>
        <v>1.7221847823393314E-2</v>
      </c>
      <c r="AB79" s="125">
        <f t="shared" si="123"/>
        <v>0</v>
      </c>
      <c r="AC79" s="125">
        <f t="shared" si="124"/>
        <v>0</v>
      </c>
      <c r="AD79" s="125">
        <f t="shared" si="125"/>
        <v>0</v>
      </c>
      <c r="AE79" s="125">
        <f t="shared" si="126"/>
        <v>0</v>
      </c>
    </row>
    <row r="80" spans="1:31">
      <c r="A80" s="19" t="s">
        <v>291</v>
      </c>
      <c r="B80" s="125">
        <v>-0.35632603677553176</v>
      </c>
      <c r="K80" s="50" t="s">
        <v>274</v>
      </c>
      <c r="L80" s="125">
        <f t="shared" si="107"/>
        <v>0</v>
      </c>
      <c r="M80" s="125">
        <f t="shared" si="108"/>
        <v>0</v>
      </c>
      <c r="N80" s="125">
        <f t="shared" si="109"/>
        <v>7.4053925701942941E-2</v>
      </c>
      <c r="O80" s="125">
        <f t="shared" si="110"/>
        <v>5.3353812612029761E-2</v>
      </c>
      <c r="P80" s="125">
        <f>C35*P36</f>
        <v>0</v>
      </c>
      <c r="Q80" s="125">
        <f t="shared" si="112"/>
        <v>0</v>
      </c>
      <c r="R80" s="125">
        <f t="shared" si="113"/>
        <v>7.4053925701942941E-2</v>
      </c>
      <c r="S80" s="125">
        <f t="shared" si="114"/>
        <v>5.3353812612029761E-2</v>
      </c>
      <c r="T80" s="125">
        <f t="shared" si="115"/>
        <v>6.005948304960726E-2</v>
      </c>
      <c r="U80" s="125">
        <f t="shared" si="116"/>
        <v>6.005948304960726E-2</v>
      </c>
      <c r="V80" s="125">
        <f t="shared" si="117"/>
        <v>0.1341134087515502</v>
      </c>
      <c r="W80" s="125">
        <f t="shared" si="118"/>
        <v>0.11341329566163702</v>
      </c>
      <c r="X80" s="125">
        <f t="shared" si="119"/>
        <v>0</v>
      </c>
      <c r="Y80" s="125">
        <f t="shared" si="120"/>
        <v>0</v>
      </c>
      <c r="Z80" s="125">
        <f t="shared" si="121"/>
        <v>0</v>
      </c>
      <c r="AA80" s="125">
        <f t="shared" si="122"/>
        <v>0</v>
      </c>
      <c r="AB80" s="125">
        <f t="shared" si="123"/>
        <v>0</v>
      </c>
      <c r="AC80" s="125">
        <f t="shared" si="124"/>
        <v>0</v>
      </c>
      <c r="AD80" s="125">
        <f t="shared" si="125"/>
        <v>0</v>
      </c>
      <c r="AE80" s="125">
        <f t="shared" si="126"/>
        <v>2.0700113089913184E-2</v>
      </c>
    </row>
    <row r="81" spans="11:31">
      <c r="K81" s="51" t="s">
        <v>275</v>
      </c>
      <c r="L81" s="125">
        <f t="shared" si="107"/>
        <v>0</v>
      </c>
      <c r="M81" s="125">
        <f t="shared" si="108"/>
        <v>0</v>
      </c>
      <c r="N81" s="125">
        <f t="shared" si="109"/>
        <v>7.3091606044057122E-2</v>
      </c>
      <c r="O81" s="125">
        <f t="shared" si="110"/>
        <v>0.14188370585022853</v>
      </c>
      <c r="P81" s="125">
        <f t="shared" si="111"/>
        <v>0</v>
      </c>
      <c r="Q81" s="125">
        <f t="shared" si="112"/>
        <v>0</v>
      </c>
      <c r="R81" s="125">
        <f t="shared" si="113"/>
        <v>7.3091606044057122E-2</v>
      </c>
      <c r="S81" s="125">
        <f t="shared" si="114"/>
        <v>0.14188370585022853</v>
      </c>
      <c r="T81" s="125">
        <f t="shared" si="115"/>
        <v>0</v>
      </c>
      <c r="U81" s="125">
        <f t="shared" si="116"/>
        <v>0</v>
      </c>
      <c r="V81" s="125">
        <f t="shared" si="117"/>
        <v>7.3091606044057122E-2</v>
      </c>
      <c r="W81" s="125">
        <f t="shared" si="118"/>
        <v>0.14188370585022853</v>
      </c>
      <c r="X81" s="125">
        <f t="shared" si="119"/>
        <v>0</v>
      </c>
      <c r="Y81" s="125">
        <f t="shared" si="120"/>
        <v>0</v>
      </c>
      <c r="Z81" s="125">
        <f t="shared" si="121"/>
        <v>0</v>
      </c>
      <c r="AA81" s="125">
        <f t="shared" si="122"/>
        <v>6.8792099806171403E-2</v>
      </c>
      <c r="AB81" s="125">
        <f t="shared" si="123"/>
        <v>0</v>
      </c>
      <c r="AC81" s="125">
        <f t="shared" si="124"/>
        <v>0</v>
      </c>
      <c r="AD81" s="125">
        <f t="shared" si="125"/>
        <v>0</v>
      </c>
      <c r="AE81" s="125">
        <f t="shared" si="126"/>
        <v>0</v>
      </c>
    </row>
    <row r="82" spans="11:31">
      <c r="K82" s="51" t="s">
        <v>148</v>
      </c>
      <c r="L82" s="125">
        <f t="shared" si="107"/>
        <v>0</v>
      </c>
      <c r="M82" s="125">
        <f t="shared" si="108"/>
        <v>1.5496204704377884E-2</v>
      </c>
      <c r="N82" s="125">
        <f t="shared" si="109"/>
        <v>5.5410671367169449E-2</v>
      </c>
      <c r="O82" s="125">
        <f t="shared" si="110"/>
        <v>8.5933498815186513E-2</v>
      </c>
      <c r="P82" s="125">
        <f t="shared" si="111"/>
        <v>0</v>
      </c>
      <c r="Q82" s="125">
        <f t="shared" si="112"/>
        <v>1.5496204704377884E-2</v>
      </c>
      <c r="R82" s="125">
        <f t="shared" si="113"/>
        <v>5.5410671367169449E-2</v>
      </c>
      <c r="S82" s="125">
        <f t="shared" si="114"/>
        <v>8.5933498815186513E-2</v>
      </c>
      <c r="T82" s="125">
        <f t="shared" si="115"/>
        <v>0</v>
      </c>
      <c r="U82" s="125">
        <f t="shared" si="116"/>
        <v>0</v>
      </c>
      <c r="V82" s="125">
        <f t="shared" si="117"/>
        <v>3.9914466662791567E-2</v>
      </c>
      <c r="W82" s="125">
        <f t="shared" si="118"/>
        <v>7.0437294110808624E-2</v>
      </c>
      <c r="X82" s="125">
        <f t="shared" si="119"/>
        <v>0</v>
      </c>
      <c r="Y82" s="125">
        <f t="shared" si="120"/>
        <v>0</v>
      </c>
      <c r="Z82" s="125">
        <f t="shared" si="121"/>
        <v>0</v>
      </c>
      <c r="AA82" s="125">
        <f t="shared" si="122"/>
        <v>3.0522827448017063E-2</v>
      </c>
      <c r="AB82" s="125">
        <f t="shared" si="123"/>
        <v>0</v>
      </c>
      <c r="AC82" s="125">
        <f t="shared" si="124"/>
        <v>0</v>
      </c>
      <c r="AD82" s="125">
        <f t="shared" si="125"/>
        <v>0</v>
      </c>
      <c r="AE82" s="125">
        <f t="shared" si="126"/>
        <v>0</v>
      </c>
    </row>
    <row r="83" spans="11:31">
      <c r="K83" s="51" t="s">
        <v>149</v>
      </c>
      <c r="L83" s="125">
        <f t="shared" si="107"/>
        <v>1.383108484707872E-2</v>
      </c>
      <c r="M83" s="125">
        <f t="shared" si="108"/>
        <v>0</v>
      </c>
      <c r="N83" s="125">
        <f t="shared" si="109"/>
        <v>4.6487812958236799E-2</v>
      </c>
      <c r="O83" s="125">
        <f t="shared" si="110"/>
        <v>4.6487812958236799E-2</v>
      </c>
      <c r="P83" s="125">
        <f t="shared" si="111"/>
        <v>0</v>
      </c>
      <c r="Q83" s="125">
        <f t="shared" si="112"/>
        <v>0</v>
      </c>
      <c r="R83" s="125">
        <f t="shared" si="113"/>
        <v>3.2656728111158079E-2</v>
      </c>
      <c r="S83" s="125">
        <f t="shared" si="114"/>
        <v>3.2656728111158079E-2</v>
      </c>
      <c r="T83" s="125">
        <f t="shared" si="115"/>
        <v>1.6136265654925167E-2</v>
      </c>
      <c r="U83" s="125">
        <f t="shared" si="116"/>
        <v>2.9967350502003887E-2</v>
      </c>
      <c r="V83" s="125">
        <f t="shared" si="117"/>
        <v>6.2624078613161965E-2</v>
      </c>
      <c r="W83" s="125">
        <f t="shared" si="118"/>
        <v>6.2624078613161965E-2</v>
      </c>
      <c r="X83" s="125">
        <f t="shared" si="119"/>
        <v>0</v>
      </c>
      <c r="Y83" s="125">
        <f t="shared" si="120"/>
        <v>0</v>
      </c>
      <c r="Z83" s="125">
        <f t="shared" si="121"/>
        <v>0</v>
      </c>
      <c r="AA83" s="125">
        <f t="shared" si="122"/>
        <v>0</v>
      </c>
      <c r="AB83" s="125">
        <f t="shared" si="123"/>
        <v>0</v>
      </c>
      <c r="AC83" s="125">
        <f t="shared" si="124"/>
        <v>0</v>
      </c>
      <c r="AD83" s="125">
        <f t="shared" si="125"/>
        <v>0</v>
      </c>
      <c r="AE83" s="125">
        <f t="shared" si="126"/>
        <v>0</v>
      </c>
    </row>
    <row r="84" spans="11:31">
      <c r="K84" s="52" t="s">
        <v>277</v>
      </c>
      <c r="L84" s="125">
        <f t="shared" si="107"/>
        <v>1.7636595522603535E-2</v>
      </c>
      <c r="M84" s="125">
        <f t="shared" si="108"/>
        <v>0</v>
      </c>
      <c r="N84" s="125">
        <f t="shared" si="109"/>
        <v>2.5195136460862172E-3</v>
      </c>
      <c r="O84" s="125">
        <f t="shared" si="110"/>
        <v>0</v>
      </c>
      <c r="P84" s="125">
        <f t="shared" si="111"/>
        <v>0</v>
      </c>
      <c r="Q84" s="125">
        <f t="shared" si="112"/>
        <v>0</v>
      </c>
      <c r="R84" s="125">
        <f t="shared" si="113"/>
        <v>0</v>
      </c>
      <c r="S84" s="125">
        <f t="shared" si="114"/>
        <v>0</v>
      </c>
      <c r="T84" s="125">
        <f t="shared" si="115"/>
        <v>6.6263208892067604E-2</v>
      </c>
      <c r="U84" s="125">
        <f t="shared" si="116"/>
        <v>8.3899804414671139E-2</v>
      </c>
      <c r="V84" s="125">
        <f t="shared" si="117"/>
        <v>6.8782722538153818E-2</v>
      </c>
      <c r="W84" s="125">
        <f t="shared" si="118"/>
        <v>4.7618807911029563E-2</v>
      </c>
      <c r="X84" s="125">
        <f t="shared" si="119"/>
        <v>0</v>
      </c>
      <c r="Y84" s="125">
        <f t="shared" si="120"/>
        <v>1.511708187651732E-2</v>
      </c>
      <c r="Z84" s="125">
        <f t="shared" si="121"/>
        <v>0</v>
      </c>
      <c r="AA84" s="125">
        <f t="shared" si="122"/>
        <v>0</v>
      </c>
      <c r="AB84" s="125">
        <f t="shared" si="123"/>
        <v>1.8644400981038034E-2</v>
      </c>
      <c r="AC84" s="125">
        <f t="shared" si="124"/>
        <v>3.6280996503641569E-2</v>
      </c>
      <c r="AD84" s="125">
        <f t="shared" si="125"/>
        <v>0</v>
      </c>
      <c r="AE84" s="125">
        <f t="shared" si="126"/>
        <v>2.1163914627124251E-2</v>
      </c>
    </row>
    <row r="85" spans="11:31">
      <c r="K85" s="53" t="s">
        <v>279</v>
      </c>
      <c r="L85" s="125">
        <f t="shared" si="107"/>
        <v>2.7325233830996883E-2</v>
      </c>
      <c r="M85" s="125">
        <f t="shared" si="108"/>
        <v>0</v>
      </c>
      <c r="N85" s="125">
        <f t="shared" si="109"/>
        <v>2.7325233830996883E-2</v>
      </c>
      <c r="O85" s="125">
        <f t="shared" si="110"/>
        <v>0</v>
      </c>
      <c r="P85" s="125">
        <f t="shared" si="111"/>
        <v>0</v>
      </c>
      <c r="Q85" s="125">
        <f t="shared" si="112"/>
        <v>0</v>
      </c>
      <c r="R85" s="125">
        <f t="shared" si="113"/>
        <v>0</v>
      </c>
      <c r="S85" s="125">
        <f t="shared" si="114"/>
        <v>0</v>
      </c>
      <c r="T85" s="125">
        <f t="shared" si="115"/>
        <v>3.2790280597196297E-2</v>
      </c>
      <c r="U85" s="125">
        <f t="shared" si="116"/>
        <v>6.0115514428193184E-2</v>
      </c>
      <c r="V85" s="125">
        <f t="shared" si="117"/>
        <v>6.0115514428193184E-2</v>
      </c>
      <c r="W85" s="125">
        <f t="shared" si="118"/>
        <v>3.2790280597196297E-2</v>
      </c>
      <c r="X85" s="125">
        <f t="shared" si="119"/>
        <v>0</v>
      </c>
      <c r="Y85" s="125">
        <f t="shared" si="120"/>
        <v>0</v>
      </c>
      <c r="Z85" s="125">
        <f t="shared" si="121"/>
        <v>0</v>
      </c>
      <c r="AA85" s="125">
        <f t="shared" si="122"/>
        <v>0</v>
      </c>
      <c r="AB85" s="125">
        <f t="shared" si="123"/>
        <v>0</v>
      </c>
      <c r="AC85" s="125">
        <f t="shared" si="124"/>
        <v>2.7325233830996883E-2</v>
      </c>
      <c r="AD85" s="125">
        <f t="shared" si="125"/>
        <v>0</v>
      </c>
      <c r="AE85" s="125">
        <f t="shared" si="126"/>
        <v>2.7325233830996883E-2</v>
      </c>
    </row>
    <row r="86" spans="11:31">
      <c r="K86" s="53" t="s">
        <v>280</v>
      </c>
      <c r="L86" s="125">
        <f t="shared" si="107"/>
        <v>0</v>
      </c>
      <c r="M86" s="125">
        <f t="shared" si="108"/>
        <v>0</v>
      </c>
      <c r="N86" s="125">
        <f t="shared" si="109"/>
        <v>0</v>
      </c>
      <c r="O86" s="125">
        <f t="shared" si="110"/>
        <v>1.2802414121910424E-2</v>
      </c>
      <c r="P86" s="125">
        <f t="shared" si="111"/>
        <v>0</v>
      </c>
      <c r="Q86" s="125">
        <f t="shared" si="112"/>
        <v>0</v>
      </c>
      <c r="R86" s="125">
        <f t="shared" si="113"/>
        <v>0</v>
      </c>
      <c r="S86" s="125">
        <f t="shared" si="114"/>
        <v>1.2802414121910424E-2</v>
      </c>
      <c r="T86" s="125">
        <f t="shared" si="115"/>
        <v>2.8016877281282247E-2</v>
      </c>
      <c r="U86" s="125">
        <f t="shared" si="116"/>
        <v>2.8016877281282247E-2</v>
      </c>
      <c r="V86" s="125">
        <f t="shared" si="117"/>
        <v>2.3749405907312095E-2</v>
      </c>
      <c r="W86" s="125">
        <f t="shared" si="118"/>
        <v>4.0819291403192667E-2</v>
      </c>
      <c r="X86" s="125">
        <f t="shared" si="119"/>
        <v>4.2674713739701475E-3</v>
      </c>
      <c r="Y86" s="125">
        <f>C41*Y42</f>
        <v>4.2674713739701475E-3</v>
      </c>
      <c r="Z86" s="125">
        <f t="shared" si="121"/>
        <v>0</v>
      </c>
      <c r="AA86" s="125">
        <f t="shared" si="122"/>
        <v>1.7069885495880573E-2</v>
      </c>
      <c r="AB86" s="125">
        <f t="shared" si="123"/>
        <v>0</v>
      </c>
      <c r="AC86" s="125">
        <f t="shared" si="124"/>
        <v>0</v>
      </c>
      <c r="AD86" s="125">
        <f t="shared" si="125"/>
        <v>0</v>
      </c>
      <c r="AE86" s="125">
        <f t="shared" si="126"/>
        <v>0</v>
      </c>
    </row>
    <row r="87" spans="11:31">
      <c r="K87" s="95" t="s">
        <v>48</v>
      </c>
      <c r="L87" s="171">
        <f>SUM(L75:L86)</f>
        <v>0.18621232798359311</v>
      </c>
      <c r="M87" s="171">
        <f>SUM(M75:M86)</f>
        <v>8.2717861565953524E-2</v>
      </c>
      <c r="N87" s="171">
        <f t="shared" ref="N87:R87" si="127">SUM(N75:N86)</f>
        <v>0.34525194345045984</v>
      </c>
      <c r="O87" s="171">
        <f t="shared" si="127"/>
        <v>0.47054239439430423</v>
      </c>
      <c r="P87" s="171">
        <f t="shared" si="127"/>
        <v>0</v>
      </c>
      <c r="Q87" s="171">
        <f t="shared" si="127"/>
        <v>6.7161748174557848E-2</v>
      </c>
      <c r="R87" s="171">
        <f t="shared" si="127"/>
        <v>0.28061598457691</v>
      </c>
      <c r="S87" s="171">
        <f t="shared" ref="S87" si="128">SUM(S75:S86)</f>
        <v>0.39487174579027673</v>
      </c>
      <c r="T87" s="171">
        <f t="shared" ref="T87" si="129">SUM(T75:T86)</f>
        <v>0.25358962618829084</v>
      </c>
      <c r="U87" s="171">
        <f t="shared" ref="U87" si="130">SUM(U75:U86)</f>
        <v>0.42424584078048827</v>
      </c>
      <c r="V87" s="171">
        <f t="shared" ref="V87" si="131">SUM(V75:V86)</f>
        <v>0.48886715227076277</v>
      </c>
      <c r="W87" s="171">
        <f t="shared" ref="W87" si="132">SUM(W75:W86)</f>
        <v>0.63832587142699926</v>
      </c>
      <c r="X87" s="171">
        <f t="shared" ref="X87" si="133">SUM(X75:X86)</f>
        <v>0.15612640555336732</v>
      </c>
      <c r="Y87" s="171">
        <f t="shared" ref="Y87" si="134">SUM(Y75:Y86)</f>
        <v>0.27770277466341053</v>
      </c>
      <c r="Z87" s="171">
        <f t="shared" ref="Z87" si="135">SUM(Z75:Z86)</f>
        <v>0.12886984975133287</v>
      </c>
      <c r="AA87" s="171">
        <f t="shared" ref="AA87" si="136">SUM(AA75:AA86)</f>
        <v>0.2755265943928723</v>
      </c>
      <c r="AB87" s="171">
        <f t="shared" ref="AB87" si="137">SUM(AB75:AB86)</f>
        <v>7.5631105929989131E-2</v>
      </c>
      <c r="AC87" s="171">
        <f t="shared" ref="AC87" si="138">SUM(AC75:AC86)</f>
        <v>0.18617278530955472</v>
      </c>
      <c r="AD87" s="171">
        <f t="shared" ref="AD87" si="139">SUM(AD75:AD86)</f>
        <v>7.254281834034676E-2</v>
      </c>
      <c r="AE87" s="171">
        <f t="shared" ref="AE87" si="140">SUM(AE75:AE86)</f>
        <v>6.9740843825649795E-2</v>
      </c>
    </row>
    <row r="89" spans="11:31">
      <c r="K89" s="19" t="s">
        <v>318</v>
      </c>
      <c r="L89" s="168" t="s">
        <v>118</v>
      </c>
      <c r="M89" s="9" t="s">
        <v>119</v>
      </c>
      <c r="N89" s="9" t="s">
        <v>299</v>
      </c>
      <c r="O89" s="9" t="s">
        <v>300</v>
      </c>
      <c r="P89" s="9" t="s">
        <v>120</v>
      </c>
      <c r="Q89" s="9" t="s">
        <v>301</v>
      </c>
      <c r="R89" s="9" t="s">
        <v>302</v>
      </c>
      <c r="S89" s="9" t="s">
        <v>303</v>
      </c>
      <c r="T89" s="9" t="s">
        <v>123</v>
      </c>
      <c r="U89" s="169" t="s">
        <v>125</v>
      </c>
      <c r="V89" s="170" t="s">
        <v>304</v>
      </c>
      <c r="W89" s="170" t="s">
        <v>305</v>
      </c>
      <c r="X89" s="9" t="s">
        <v>306</v>
      </c>
      <c r="Y89" s="9" t="s">
        <v>307</v>
      </c>
      <c r="Z89" s="9" t="s">
        <v>308</v>
      </c>
      <c r="AA89" s="9" t="s">
        <v>309</v>
      </c>
      <c r="AB89" s="9" t="s">
        <v>310</v>
      </c>
      <c r="AC89" s="9" t="s">
        <v>311</v>
      </c>
      <c r="AD89" s="9" t="s">
        <v>312</v>
      </c>
      <c r="AE89" s="9" t="s">
        <v>313</v>
      </c>
    </row>
    <row r="90" spans="11:31">
      <c r="K90" s="48" t="s">
        <v>269</v>
      </c>
      <c r="L90" s="125">
        <f>D30*L31</f>
        <v>2.1609555609344851E-2</v>
      </c>
      <c r="M90" s="125">
        <f>D30*M31</f>
        <v>0</v>
      </c>
      <c r="N90" s="125">
        <f>D30*N31</f>
        <v>0</v>
      </c>
      <c r="O90" s="125">
        <f>D30*O31</f>
        <v>5.6184844584296553E-2</v>
      </c>
      <c r="P90" s="125">
        <f>D30*P31</f>
        <v>0</v>
      </c>
      <c r="Q90" s="125">
        <f>D30*Q31</f>
        <v>0</v>
      </c>
      <c r="R90" s="125">
        <f>D30*R31</f>
        <v>0</v>
      </c>
      <c r="S90" s="125">
        <f>D30*S31</f>
        <v>3.4575288974951705E-2</v>
      </c>
      <c r="T90" s="125">
        <f>D30*T31</f>
        <v>0.29821186740895855</v>
      </c>
      <c r="U90" s="125">
        <f>D30*U31</f>
        <v>0.31982142301830341</v>
      </c>
      <c r="V90" s="125">
        <f>D30*V31</f>
        <v>0</v>
      </c>
      <c r="W90" s="125">
        <f>D30*W31</f>
        <v>0.35439671199325512</v>
      </c>
      <c r="X90" s="125">
        <f>D30*X31</f>
        <v>0.31549951189643444</v>
      </c>
      <c r="Y90" s="125">
        <f>D30*Y31</f>
        <v>0.33710906750577929</v>
      </c>
      <c r="Z90" s="125">
        <f>D30*Z31</f>
        <v>1.7287644487475891E-2</v>
      </c>
      <c r="AA90" s="125">
        <f>D30*AA31</f>
        <v>0.371684356480731</v>
      </c>
      <c r="AB90" s="125">
        <f>D30*AB31</f>
        <v>0</v>
      </c>
      <c r="AC90" s="125">
        <f>D30*AC31</f>
        <v>0</v>
      </c>
      <c r="AD90" s="125">
        <f>D30*AD31</f>
        <v>0</v>
      </c>
      <c r="AE90" s="125">
        <f>D30*AE31</f>
        <v>0</v>
      </c>
    </row>
    <row r="91" spans="11:31">
      <c r="K91" s="47" t="s">
        <v>270</v>
      </c>
      <c r="L91" s="125">
        <f t="shared" ref="L91:L101" si="141">D31*L32</f>
        <v>0.17577240391633372</v>
      </c>
      <c r="M91" s="125">
        <f t="shared" ref="M91:M101" si="142">D31*M32</f>
        <v>0</v>
      </c>
      <c r="N91" s="125">
        <f t="shared" ref="N91:N101" si="143">D31*N32</f>
        <v>0.17126541920053029</v>
      </c>
      <c r="O91" s="125">
        <f t="shared" ref="O91:O101" si="144">D31*O32</f>
        <v>0.16675843448472685</v>
      </c>
      <c r="P91" s="125">
        <f t="shared" ref="P91:P101" si="145">D31*P32</f>
        <v>0</v>
      </c>
      <c r="Q91" s="125">
        <f t="shared" ref="Q91:Q101" si="146">D31*Q32</f>
        <v>0</v>
      </c>
      <c r="R91" s="125">
        <f t="shared" ref="R91:R101" si="147">D31*R32</f>
        <v>0</v>
      </c>
      <c r="S91" s="125">
        <f t="shared" ref="S91:S101" si="148">D31*S32</f>
        <v>0</v>
      </c>
      <c r="T91" s="125">
        <f t="shared" ref="T91:T101" si="149">D31*T32</f>
        <v>4.506984715803429E-2</v>
      </c>
      <c r="U91" s="125">
        <f t="shared" ref="U91:U101" si="150">D31*U32</f>
        <v>0.220842251074368</v>
      </c>
      <c r="V91" s="125">
        <f t="shared" ref="V91:V101" si="151">D31*V32</f>
        <v>0.21633526635856457</v>
      </c>
      <c r="W91" s="125">
        <f t="shared" ref="W91:W101" si="152">D31*W32</f>
        <v>0.21182828164276113</v>
      </c>
      <c r="X91" s="125">
        <f t="shared" ref="X91:X101" si="153">D31*X32</f>
        <v>0</v>
      </c>
      <c r="Y91" s="125">
        <f t="shared" ref="Y91:Y101" si="154">D31*Y32</f>
        <v>4.5069847158034325E-3</v>
      </c>
      <c r="Z91" s="125">
        <f t="shared" ref="Z91:Z101" si="155">D31*Z32</f>
        <v>0</v>
      </c>
      <c r="AA91" s="125">
        <f t="shared" ref="AA91:AA101" si="156">D31*AA32</f>
        <v>0</v>
      </c>
      <c r="AB91" s="125">
        <f t="shared" ref="AB91:AB101" si="157">D31*AB32</f>
        <v>0</v>
      </c>
      <c r="AC91" s="125">
        <f t="shared" ref="AC91:AC101" si="158">D31*AC32</f>
        <v>9.013969431606865E-3</v>
      </c>
      <c r="AD91" s="125">
        <f t="shared" ref="AD91:AD101" si="159">D31*AD32</f>
        <v>0</v>
      </c>
      <c r="AE91" s="125">
        <f t="shared" ref="AE91:AE101" si="160">D31*AE32</f>
        <v>4.5069847158034334E-3</v>
      </c>
    </row>
    <row r="92" spans="11:31">
      <c r="K92" s="48" t="s">
        <v>271</v>
      </c>
      <c r="L92" s="125">
        <f t="shared" si="141"/>
        <v>0.31692374967936748</v>
      </c>
      <c r="M92" s="125">
        <f t="shared" si="142"/>
        <v>0</v>
      </c>
      <c r="N92" s="125">
        <f t="shared" si="143"/>
        <v>0</v>
      </c>
      <c r="O92" s="125">
        <f t="shared" si="144"/>
        <v>0.32824245502505917</v>
      </c>
      <c r="P92" s="125">
        <f t="shared" si="145"/>
        <v>0</v>
      </c>
      <c r="Q92" s="125">
        <f t="shared" si="146"/>
        <v>0</v>
      </c>
      <c r="R92" s="125">
        <f t="shared" si="147"/>
        <v>0</v>
      </c>
      <c r="S92" s="125">
        <f t="shared" si="148"/>
        <v>1.1318705345691705E-2</v>
      </c>
      <c r="T92" s="125">
        <f t="shared" si="149"/>
        <v>6.7912232074150147E-2</v>
      </c>
      <c r="U92" s="125">
        <f t="shared" si="150"/>
        <v>0.38483598175351763</v>
      </c>
      <c r="V92" s="125">
        <f t="shared" si="151"/>
        <v>0</v>
      </c>
      <c r="W92" s="125">
        <f t="shared" si="152"/>
        <v>0.39615468709920937</v>
      </c>
      <c r="X92" s="125">
        <f t="shared" si="153"/>
        <v>7.9230937419841801E-2</v>
      </c>
      <c r="Y92" s="125">
        <f t="shared" si="154"/>
        <v>0.39615468709920931</v>
      </c>
      <c r="Z92" s="125">
        <f t="shared" si="155"/>
        <v>1.1318705345691654E-2</v>
      </c>
      <c r="AA92" s="125">
        <f t="shared" si="156"/>
        <v>0.40747339244490099</v>
      </c>
      <c r="AB92" s="125">
        <f t="shared" si="157"/>
        <v>0</v>
      </c>
      <c r="AC92" s="125">
        <f t="shared" si="158"/>
        <v>0</v>
      </c>
      <c r="AD92" s="125">
        <f t="shared" si="159"/>
        <v>0</v>
      </c>
      <c r="AE92" s="125">
        <f t="shared" si="160"/>
        <v>0</v>
      </c>
    </row>
    <row r="93" spans="11:31">
      <c r="K93" s="49" t="s">
        <v>272</v>
      </c>
      <c r="L93" s="125">
        <f t="shared" si="141"/>
        <v>0.1602541363336743</v>
      </c>
      <c r="M93" s="125">
        <f t="shared" si="142"/>
        <v>3.8664076759627367E-2</v>
      </c>
      <c r="N93" s="125">
        <f t="shared" si="143"/>
        <v>0</v>
      </c>
      <c r="O93" s="125">
        <f t="shared" si="144"/>
        <v>0</v>
      </c>
      <c r="P93" s="125">
        <f t="shared" si="145"/>
        <v>0</v>
      </c>
      <c r="Q93" s="125">
        <f t="shared" si="146"/>
        <v>0</v>
      </c>
      <c r="R93" s="125">
        <f t="shared" si="147"/>
        <v>0</v>
      </c>
      <c r="S93" s="125">
        <f t="shared" si="148"/>
        <v>0</v>
      </c>
      <c r="T93" s="125">
        <f t="shared" si="149"/>
        <v>0</v>
      </c>
      <c r="U93" s="125">
        <f t="shared" si="150"/>
        <v>0.12159005957404695</v>
      </c>
      <c r="V93" s="125">
        <f t="shared" si="151"/>
        <v>0</v>
      </c>
      <c r="W93" s="125">
        <f t="shared" si="152"/>
        <v>0</v>
      </c>
      <c r="X93" s="125">
        <f t="shared" si="153"/>
        <v>0.2573699655009537</v>
      </c>
      <c r="Y93" s="125">
        <f t="shared" si="154"/>
        <v>0.417624101834628</v>
      </c>
      <c r="Z93" s="125">
        <f t="shared" si="155"/>
        <v>0.29603404226058105</v>
      </c>
      <c r="AA93" s="125">
        <f t="shared" si="156"/>
        <v>0.11573186612561853</v>
      </c>
      <c r="AB93" s="125">
        <f t="shared" si="157"/>
        <v>0.14163809937533517</v>
      </c>
      <c r="AC93" s="125">
        <f t="shared" si="158"/>
        <v>0.30189223570900947</v>
      </c>
      <c r="AD93" s="125">
        <f t="shared" si="159"/>
        <v>0.18030217613496252</v>
      </c>
      <c r="AE93" s="125">
        <f t="shared" si="160"/>
        <v>0</v>
      </c>
    </row>
    <row r="94" spans="11:31">
      <c r="K94" s="49" t="s">
        <v>273</v>
      </c>
      <c r="L94" s="125">
        <f t="shared" si="141"/>
        <v>0</v>
      </c>
      <c r="M94" s="125">
        <f t="shared" si="142"/>
        <v>0.12841257249152008</v>
      </c>
      <c r="N94" s="125">
        <f t="shared" si="143"/>
        <v>0.11284741218951769</v>
      </c>
      <c r="O94" s="125">
        <f t="shared" si="144"/>
        <v>0.15565160302002437</v>
      </c>
      <c r="P94" s="125">
        <f t="shared" si="145"/>
        <v>0</v>
      </c>
      <c r="Q94" s="125">
        <f t="shared" si="146"/>
        <v>0.12841257249152008</v>
      </c>
      <c r="R94" s="125">
        <f t="shared" si="147"/>
        <v>0.11284741218951769</v>
      </c>
      <c r="S94" s="125">
        <f t="shared" si="148"/>
        <v>0.15565160302002437</v>
      </c>
      <c r="T94" s="125">
        <f t="shared" si="149"/>
        <v>0</v>
      </c>
      <c r="U94" s="125">
        <f t="shared" si="150"/>
        <v>0</v>
      </c>
      <c r="V94" s="125">
        <f t="shared" si="151"/>
        <v>0</v>
      </c>
      <c r="W94" s="125">
        <f t="shared" si="152"/>
        <v>2.7239030528504283E-2</v>
      </c>
      <c r="X94" s="125">
        <f t="shared" si="153"/>
        <v>0</v>
      </c>
      <c r="Y94" s="125">
        <f t="shared" si="154"/>
        <v>0</v>
      </c>
      <c r="Z94" s="125">
        <f t="shared" si="155"/>
        <v>1.5565160302002388E-2</v>
      </c>
      <c r="AA94" s="125">
        <f t="shared" si="156"/>
        <v>4.2804190830506676E-2</v>
      </c>
      <c r="AB94" s="125">
        <f t="shared" si="157"/>
        <v>0</v>
      </c>
      <c r="AC94" s="125">
        <f t="shared" si="158"/>
        <v>0</v>
      </c>
      <c r="AD94" s="125">
        <f t="shared" si="159"/>
        <v>0</v>
      </c>
      <c r="AE94" s="125">
        <f t="shared" si="160"/>
        <v>0</v>
      </c>
    </row>
    <row r="95" spans="11:31">
      <c r="K95" s="50" t="s">
        <v>274</v>
      </c>
      <c r="L95" s="125">
        <f t="shared" si="141"/>
        <v>0</v>
      </c>
      <c r="M95" s="125">
        <f t="shared" si="142"/>
        <v>0</v>
      </c>
      <c r="N95" s="125">
        <f t="shared" si="143"/>
        <v>0.18405797101449256</v>
      </c>
      <c r="O95" s="125">
        <f t="shared" si="144"/>
        <v>0.13260869565217379</v>
      </c>
      <c r="P95" s="125">
        <f t="shared" si="145"/>
        <v>0</v>
      </c>
      <c r="Q95" s="125">
        <f t="shared" si="146"/>
        <v>0</v>
      </c>
      <c r="R95" s="125">
        <f t="shared" si="147"/>
        <v>0.18405797101449256</v>
      </c>
      <c r="S95" s="125">
        <f t="shared" si="148"/>
        <v>0.13260869565217379</v>
      </c>
      <c r="T95" s="125">
        <f t="shared" si="149"/>
        <v>0.14927536231884042</v>
      </c>
      <c r="U95" s="125">
        <f t="shared" si="150"/>
        <v>0.14927536231884042</v>
      </c>
      <c r="V95" s="125">
        <f t="shared" si="151"/>
        <v>0.33333333333333298</v>
      </c>
      <c r="W95" s="125">
        <f t="shared" si="152"/>
        <v>0.28188405797101418</v>
      </c>
      <c r="X95" s="125">
        <f t="shared" si="153"/>
        <v>0</v>
      </c>
      <c r="Y95" s="125">
        <f t="shared" si="154"/>
        <v>0</v>
      </c>
      <c r="Z95" s="125">
        <f t="shared" si="155"/>
        <v>0</v>
      </c>
      <c r="AA95" s="125">
        <f t="shared" si="156"/>
        <v>0</v>
      </c>
      <c r="AB95" s="125">
        <f t="shared" si="157"/>
        <v>0</v>
      </c>
      <c r="AC95" s="125">
        <f t="shared" si="158"/>
        <v>0</v>
      </c>
      <c r="AD95" s="125">
        <f t="shared" si="159"/>
        <v>0</v>
      </c>
      <c r="AE95" s="125">
        <f t="shared" si="160"/>
        <v>5.1449275362318789E-2</v>
      </c>
    </row>
    <row r="96" spans="11:31">
      <c r="K96" s="51" t="s">
        <v>275</v>
      </c>
      <c r="L96" s="125">
        <f t="shared" si="141"/>
        <v>0</v>
      </c>
      <c r="M96" s="125">
        <f t="shared" si="142"/>
        <v>0</v>
      </c>
      <c r="N96" s="125">
        <f t="shared" si="143"/>
        <v>0.25165708269492543</v>
      </c>
      <c r="O96" s="125">
        <f t="shared" si="144"/>
        <v>0.48851080758426702</v>
      </c>
      <c r="P96" s="125">
        <f t="shared" si="145"/>
        <v>0</v>
      </c>
      <c r="Q96" s="125">
        <f t="shared" si="146"/>
        <v>0</v>
      </c>
      <c r="R96" s="125">
        <f t="shared" si="147"/>
        <v>0.25165708269492543</v>
      </c>
      <c r="S96" s="125">
        <f t="shared" si="148"/>
        <v>0.48851080758426702</v>
      </c>
      <c r="T96" s="125">
        <f t="shared" si="149"/>
        <v>0</v>
      </c>
      <c r="U96" s="125">
        <f t="shared" si="150"/>
        <v>0</v>
      </c>
      <c r="V96" s="125">
        <f t="shared" si="151"/>
        <v>0.25165708269492543</v>
      </c>
      <c r="W96" s="125">
        <f t="shared" si="152"/>
        <v>0.48851080758426702</v>
      </c>
      <c r="X96" s="125">
        <f t="shared" si="153"/>
        <v>0</v>
      </c>
      <c r="Y96" s="125">
        <f t="shared" si="154"/>
        <v>0</v>
      </c>
      <c r="Z96" s="125">
        <f t="shared" si="155"/>
        <v>0</v>
      </c>
      <c r="AA96" s="125">
        <f t="shared" si="156"/>
        <v>0.23685372488934159</v>
      </c>
      <c r="AB96" s="125">
        <f t="shared" si="157"/>
        <v>0</v>
      </c>
      <c r="AC96" s="125">
        <f t="shared" si="158"/>
        <v>0</v>
      </c>
      <c r="AD96" s="125">
        <f t="shared" si="159"/>
        <v>0</v>
      </c>
      <c r="AE96" s="125">
        <f t="shared" si="160"/>
        <v>0</v>
      </c>
    </row>
    <row r="97" spans="11:31">
      <c r="K97" s="51" t="s">
        <v>148</v>
      </c>
      <c r="L97" s="125">
        <f t="shared" si="141"/>
        <v>0</v>
      </c>
      <c r="M97" s="125">
        <f t="shared" si="142"/>
        <v>5.3354001640030929E-2</v>
      </c>
      <c r="N97" s="125">
        <f t="shared" si="143"/>
        <v>0.19078097556132287</v>
      </c>
      <c r="O97" s="125">
        <f t="shared" si="144"/>
        <v>0.29587219091289901</v>
      </c>
      <c r="P97" s="125">
        <f t="shared" si="145"/>
        <v>0</v>
      </c>
      <c r="Q97" s="125">
        <f t="shared" si="146"/>
        <v>5.3354001640030929E-2</v>
      </c>
      <c r="R97" s="125">
        <f t="shared" si="147"/>
        <v>0.19078097556132287</v>
      </c>
      <c r="S97" s="125">
        <f t="shared" si="148"/>
        <v>0.29587219091289901</v>
      </c>
      <c r="T97" s="125">
        <f t="shared" si="149"/>
        <v>0</v>
      </c>
      <c r="U97" s="125">
        <f t="shared" si="150"/>
        <v>0</v>
      </c>
      <c r="V97" s="125">
        <f t="shared" si="151"/>
        <v>0.13742697392129194</v>
      </c>
      <c r="W97" s="125">
        <f t="shared" si="152"/>
        <v>0.24251818927286808</v>
      </c>
      <c r="X97" s="125">
        <f t="shared" si="153"/>
        <v>0</v>
      </c>
      <c r="Y97" s="125">
        <f t="shared" si="154"/>
        <v>0</v>
      </c>
      <c r="Z97" s="125">
        <f t="shared" si="155"/>
        <v>0</v>
      </c>
      <c r="AA97" s="125">
        <f t="shared" si="156"/>
        <v>0.10509121535157613</v>
      </c>
      <c r="AB97" s="125">
        <f t="shared" si="157"/>
        <v>0</v>
      </c>
      <c r="AC97" s="125">
        <f t="shared" si="158"/>
        <v>0</v>
      </c>
      <c r="AD97" s="125">
        <f t="shared" si="159"/>
        <v>0</v>
      </c>
      <c r="AE97" s="125">
        <f t="shared" si="160"/>
        <v>0</v>
      </c>
    </row>
    <row r="98" spans="11:31">
      <c r="K98" s="51" t="s">
        <v>149</v>
      </c>
      <c r="L98" s="125">
        <f t="shared" si="141"/>
        <v>4.762093284725169E-2</v>
      </c>
      <c r="M98" s="125">
        <f t="shared" si="142"/>
        <v>0</v>
      </c>
      <c r="N98" s="125">
        <f t="shared" si="143"/>
        <v>0.16005924651437373</v>
      </c>
      <c r="O98" s="125">
        <f t="shared" si="144"/>
        <v>0.16005924651437373</v>
      </c>
      <c r="P98" s="125">
        <f t="shared" si="145"/>
        <v>0</v>
      </c>
      <c r="Q98" s="125">
        <f t="shared" si="146"/>
        <v>0</v>
      </c>
      <c r="R98" s="125">
        <f t="shared" si="147"/>
        <v>0.11243831366712202</v>
      </c>
      <c r="S98" s="125">
        <f t="shared" si="148"/>
        <v>0.11243831366712202</v>
      </c>
      <c r="T98" s="125">
        <f t="shared" si="149"/>
        <v>5.5557754988460287E-2</v>
      </c>
      <c r="U98" s="125">
        <f t="shared" si="150"/>
        <v>0.10317868783571198</v>
      </c>
      <c r="V98" s="125">
        <f t="shared" si="151"/>
        <v>0.215617001502834</v>
      </c>
      <c r="W98" s="125">
        <f t="shared" si="152"/>
        <v>0.215617001502834</v>
      </c>
      <c r="X98" s="125">
        <f t="shared" si="153"/>
        <v>0</v>
      </c>
      <c r="Y98" s="125">
        <f t="shared" si="154"/>
        <v>0</v>
      </c>
      <c r="Z98" s="125">
        <f t="shared" si="155"/>
        <v>0</v>
      </c>
      <c r="AA98" s="125">
        <f t="shared" si="156"/>
        <v>0</v>
      </c>
      <c r="AB98" s="125">
        <f t="shared" si="157"/>
        <v>0</v>
      </c>
      <c r="AC98" s="125">
        <f t="shared" si="158"/>
        <v>0</v>
      </c>
      <c r="AD98" s="125">
        <f t="shared" si="159"/>
        <v>0</v>
      </c>
      <c r="AE98" s="125">
        <f t="shared" si="160"/>
        <v>0</v>
      </c>
    </row>
    <row r="99" spans="11:31">
      <c r="K99" s="52" t="s">
        <v>277</v>
      </c>
      <c r="L99" s="125">
        <f t="shared" si="141"/>
        <v>9.5418252561710215E-2</v>
      </c>
      <c r="M99" s="125">
        <f t="shared" si="142"/>
        <v>0</v>
      </c>
      <c r="N99" s="125">
        <f t="shared" si="143"/>
        <v>1.363117893738716E-2</v>
      </c>
      <c r="O99" s="125">
        <f t="shared" si="144"/>
        <v>0</v>
      </c>
      <c r="P99" s="125">
        <f t="shared" si="145"/>
        <v>0</v>
      </c>
      <c r="Q99" s="125">
        <f t="shared" si="146"/>
        <v>0</v>
      </c>
      <c r="R99" s="125">
        <f t="shared" si="147"/>
        <v>0</v>
      </c>
      <c r="S99" s="125">
        <f t="shared" si="148"/>
        <v>0</v>
      </c>
      <c r="T99" s="125">
        <f t="shared" si="149"/>
        <v>0.3585000060532828</v>
      </c>
      <c r="U99" s="125">
        <f t="shared" si="150"/>
        <v>0.45391825861499302</v>
      </c>
      <c r="V99" s="125">
        <f t="shared" si="151"/>
        <v>0.37213118499066999</v>
      </c>
      <c r="W99" s="125">
        <f t="shared" si="152"/>
        <v>0.25762928191661766</v>
      </c>
      <c r="X99" s="125">
        <f t="shared" si="153"/>
        <v>0</v>
      </c>
      <c r="Y99" s="125">
        <f t="shared" si="154"/>
        <v>8.1787073624323053E-2</v>
      </c>
      <c r="Z99" s="125">
        <f t="shared" si="155"/>
        <v>0</v>
      </c>
      <c r="AA99" s="125">
        <f t="shared" si="156"/>
        <v>0</v>
      </c>
      <c r="AB99" s="125">
        <f t="shared" si="157"/>
        <v>0.10087072413666513</v>
      </c>
      <c r="AC99" s="125">
        <f t="shared" si="158"/>
        <v>0.19628897669837533</v>
      </c>
      <c r="AD99" s="125">
        <f t="shared" si="159"/>
        <v>0</v>
      </c>
      <c r="AE99" s="125">
        <f t="shared" si="160"/>
        <v>0.11450190307405228</v>
      </c>
    </row>
    <row r="100" spans="11:31">
      <c r="K100" s="53" t="s">
        <v>279</v>
      </c>
      <c r="L100" s="125">
        <f t="shared" si="141"/>
        <v>0.14783613195938125</v>
      </c>
      <c r="M100" s="125">
        <f t="shared" si="142"/>
        <v>0</v>
      </c>
      <c r="N100" s="125">
        <f t="shared" si="143"/>
        <v>0.14783613195938125</v>
      </c>
      <c r="O100" s="125">
        <f t="shared" si="144"/>
        <v>0</v>
      </c>
      <c r="P100" s="125">
        <f t="shared" si="145"/>
        <v>0</v>
      </c>
      <c r="Q100" s="125">
        <f t="shared" si="146"/>
        <v>0</v>
      </c>
      <c r="R100" s="125">
        <f t="shared" si="147"/>
        <v>0</v>
      </c>
      <c r="S100" s="125">
        <f t="shared" si="148"/>
        <v>0</v>
      </c>
      <c r="T100" s="125">
        <f t="shared" si="149"/>
        <v>0.17740335835125773</v>
      </c>
      <c r="U100" s="125">
        <f t="shared" si="150"/>
        <v>0.32523949031063898</v>
      </c>
      <c r="V100" s="125">
        <f t="shared" si="151"/>
        <v>0.32523949031063898</v>
      </c>
      <c r="W100" s="125">
        <f t="shared" si="152"/>
        <v>0.17740335835125773</v>
      </c>
      <c r="X100" s="125">
        <f t="shared" si="153"/>
        <v>0</v>
      </c>
      <c r="Y100" s="125">
        <f t="shared" si="154"/>
        <v>0</v>
      </c>
      <c r="Z100" s="125">
        <f t="shared" si="155"/>
        <v>0</v>
      </c>
      <c r="AA100" s="125">
        <f t="shared" si="156"/>
        <v>0</v>
      </c>
      <c r="AB100" s="125">
        <f t="shared" si="157"/>
        <v>0</v>
      </c>
      <c r="AC100" s="125">
        <f t="shared" si="158"/>
        <v>0.14783613195938125</v>
      </c>
      <c r="AD100" s="125">
        <f t="shared" si="159"/>
        <v>0</v>
      </c>
      <c r="AE100" s="125">
        <f t="shared" si="160"/>
        <v>0.14783613195938125</v>
      </c>
    </row>
    <row r="101" spans="11:31">
      <c r="K101" s="53" t="s">
        <v>280</v>
      </c>
      <c r="L101" s="125">
        <f t="shared" si="141"/>
        <v>0</v>
      </c>
      <c r="M101" s="125">
        <f t="shared" si="142"/>
        <v>0</v>
      </c>
      <c r="N101" s="125">
        <f t="shared" si="143"/>
        <v>0</v>
      </c>
      <c r="O101" s="125">
        <f t="shared" si="144"/>
        <v>6.9264160564233582E-2</v>
      </c>
      <c r="P101" s="125">
        <f t="shared" si="145"/>
        <v>0</v>
      </c>
      <c r="Q101" s="125">
        <f t="shared" si="146"/>
        <v>0</v>
      </c>
      <c r="R101" s="125">
        <f t="shared" si="147"/>
        <v>0</v>
      </c>
      <c r="S101" s="125">
        <f t="shared" si="148"/>
        <v>6.9264160564233582E-2</v>
      </c>
      <c r="T101" s="125">
        <f t="shared" si="149"/>
        <v>0.15157809051013443</v>
      </c>
      <c r="U101" s="125">
        <f t="shared" si="150"/>
        <v>0.15157809051013443</v>
      </c>
      <c r="V101" s="125">
        <f t="shared" si="151"/>
        <v>0.12849003698872319</v>
      </c>
      <c r="W101" s="125">
        <f t="shared" si="152"/>
        <v>0.220842251074368</v>
      </c>
      <c r="X101" s="125">
        <f t="shared" si="153"/>
        <v>2.3088053521411227E-2</v>
      </c>
      <c r="Y101" s="125">
        <f t="shared" si="154"/>
        <v>2.3088053521411227E-2</v>
      </c>
      <c r="Z101" s="125">
        <f t="shared" si="155"/>
        <v>0</v>
      </c>
      <c r="AA101" s="125">
        <f t="shared" si="156"/>
        <v>9.2352214085644813E-2</v>
      </c>
      <c r="AB101" s="125">
        <f t="shared" si="157"/>
        <v>0</v>
      </c>
      <c r="AC101" s="125">
        <f t="shared" si="158"/>
        <v>0</v>
      </c>
      <c r="AD101" s="125">
        <f t="shared" si="159"/>
        <v>0</v>
      </c>
      <c r="AE101" s="125">
        <f t="shared" si="160"/>
        <v>0</v>
      </c>
    </row>
    <row r="102" spans="11:31">
      <c r="K102" s="95" t="s">
        <v>48</v>
      </c>
      <c r="L102" s="171">
        <f>SUM(L90:L101)</f>
        <v>0.96543516290706344</v>
      </c>
      <c r="M102" s="171">
        <f t="shared" ref="M102:P102" si="161">SUM(M90:M101)</f>
        <v>0.22043065089117839</v>
      </c>
      <c r="N102" s="171">
        <f t="shared" si="161"/>
        <v>1.2321354180719308</v>
      </c>
      <c r="O102" s="171">
        <f t="shared" si="161"/>
        <v>1.8531524383420541</v>
      </c>
      <c r="P102" s="171">
        <f t="shared" si="161"/>
        <v>0</v>
      </c>
      <c r="Q102" s="171">
        <f t="shared" ref="Q102" si="162">SUM(Q90:Q101)</f>
        <v>0.18176657413155101</v>
      </c>
      <c r="R102" s="171">
        <f t="shared" ref="R102" si="163">SUM(R90:R101)</f>
        <v>0.85178175512738052</v>
      </c>
      <c r="S102" s="171">
        <f t="shared" ref="S102" si="164">SUM(S90:S101)</f>
        <v>1.3002397657213633</v>
      </c>
      <c r="T102" s="171">
        <f t="shared" ref="T102" si="165">SUM(T90:T101)</f>
        <v>1.3035085188631188</v>
      </c>
      <c r="U102" s="171">
        <f t="shared" ref="U102" si="166">SUM(U90:U101)</f>
        <v>2.2302796050105544</v>
      </c>
      <c r="V102" s="171">
        <f t="shared" ref="V102" si="167">SUM(V90:V101)</f>
        <v>1.9802303701009809</v>
      </c>
      <c r="W102" s="171">
        <f t="shared" ref="W102" si="168">SUM(W90:W101)</f>
        <v>2.8740236589369563</v>
      </c>
      <c r="X102" s="171">
        <f t="shared" ref="X102" si="169">SUM(X90:X101)</f>
        <v>0.6751884683386411</v>
      </c>
      <c r="Y102" s="171">
        <f t="shared" ref="Y102" si="170">SUM(Y90:Y101)</f>
        <v>1.2602699683011545</v>
      </c>
      <c r="Z102" s="171">
        <f t="shared" ref="Z102" si="171">SUM(Z90:Z101)</f>
        <v>0.34020555239575101</v>
      </c>
      <c r="AA102" s="171">
        <f t="shared" ref="AA102" si="172">SUM(AA90:AA101)</f>
        <v>1.3719909602083198</v>
      </c>
      <c r="AB102" s="171">
        <f t="shared" ref="AB102" si="173">SUM(AB90:AB101)</f>
        <v>0.24250882351200032</v>
      </c>
      <c r="AC102" s="171">
        <f t="shared" ref="AC102" si="174">SUM(AC90:AC101)</f>
        <v>0.65503131379837298</v>
      </c>
      <c r="AD102" s="171">
        <f t="shared" ref="AD102" si="175">SUM(AD90:AD101)</f>
        <v>0.18030217613496252</v>
      </c>
      <c r="AE102" s="171">
        <f t="shared" ref="AE102" si="176">SUM(AE90:AE101)</f>
        <v>0.31829429511155571</v>
      </c>
    </row>
  </sheetData>
  <mergeCells count="4">
    <mergeCell ref="W1:W6"/>
    <mergeCell ref="W8:W13"/>
    <mergeCell ref="AJ1:AJ6"/>
    <mergeCell ref="AJ8:AJ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3813C-511A-4266-9C5E-4A90E20C5C68}">
  <dimension ref="A1:Z65"/>
  <sheetViews>
    <sheetView topLeftCell="A19" workbookViewId="0">
      <selection activeCell="M19" sqref="M19"/>
    </sheetView>
  </sheetViews>
  <sheetFormatPr defaultColWidth="8.81640625" defaultRowHeight="14"/>
  <cols>
    <col min="1" max="11" width="8.81640625" style="445"/>
    <col min="12" max="12" width="11.1796875" style="445" customWidth="1"/>
    <col min="13" max="16384" width="8.81640625" style="445"/>
  </cols>
  <sheetData>
    <row r="1" spans="1:24" s="441" customFormat="1">
      <c r="A1" s="440"/>
      <c r="B1" s="440"/>
      <c r="C1" s="440"/>
      <c r="D1" s="440"/>
      <c r="E1" s="440"/>
      <c r="F1" s="440"/>
      <c r="G1" s="440"/>
      <c r="H1" s="437" t="s">
        <v>406</v>
      </c>
      <c r="I1" s="437"/>
      <c r="J1" s="437"/>
      <c r="K1" s="437" t="s">
        <v>407</v>
      </c>
      <c r="L1" s="437"/>
      <c r="M1" s="437"/>
      <c r="N1" s="437"/>
      <c r="O1" s="437" t="s">
        <v>408</v>
      </c>
      <c r="P1" s="437"/>
      <c r="Q1" s="437"/>
      <c r="R1" s="440"/>
      <c r="S1" s="440"/>
      <c r="T1" s="440"/>
      <c r="U1" s="440"/>
      <c r="V1" s="440"/>
      <c r="W1" s="440"/>
      <c r="X1" s="440"/>
    </row>
    <row r="2" spans="1:24" s="441" customFormat="1">
      <c r="A2" s="442"/>
      <c r="B2" s="442" t="s">
        <v>409</v>
      </c>
      <c r="C2" s="442" t="s">
        <v>410</v>
      </c>
      <c r="D2" s="442" t="s">
        <v>411</v>
      </c>
      <c r="E2" s="442" t="s">
        <v>412</v>
      </c>
      <c r="F2" s="442" t="s">
        <v>413</v>
      </c>
      <c r="G2" s="442" t="s">
        <v>414</v>
      </c>
      <c r="H2" s="440" t="s">
        <v>409</v>
      </c>
      <c r="I2" s="440" t="s">
        <v>410</v>
      </c>
      <c r="J2" s="440" t="s">
        <v>411</v>
      </c>
      <c r="K2" s="440" t="s">
        <v>409</v>
      </c>
      <c r="L2" s="440" t="s">
        <v>410</v>
      </c>
      <c r="M2" s="440" t="s">
        <v>411</v>
      </c>
      <c r="N2" s="440" t="s">
        <v>415</v>
      </c>
      <c r="O2" s="440" t="s">
        <v>409</v>
      </c>
      <c r="P2" s="440" t="s">
        <v>410</v>
      </c>
      <c r="Q2" s="440" t="s">
        <v>411</v>
      </c>
      <c r="R2" s="440"/>
      <c r="S2" s="440"/>
      <c r="T2" s="440"/>
      <c r="U2" s="442"/>
      <c r="V2" s="442"/>
      <c r="W2" s="442"/>
      <c r="X2" s="442"/>
    </row>
    <row r="3" spans="1:24">
      <c r="A3" s="443" t="s">
        <v>416</v>
      </c>
      <c r="B3" s="24">
        <v>0.85</v>
      </c>
      <c r="C3" s="24">
        <v>0.7</v>
      </c>
      <c r="D3" s="24">
        <v>0.96</v>
      </c>
      <c r="E3" s="24">
        <f>MAX(B3:D3)</f>
        <v>0.96</v>
      </c>
      <c r="F3" s="24">
        <f>MIN(B3:D3)</f>
        <v>0.7</v>
      </c>
      <c r="G3" s="444">
        <f>E3-F3</f>
        <v>0.26</v>
      </c>
      <c r="H3" s="444">
        <f>(B3-$F$3)/$G$3</f>
        <v>0.57692307692307698</v>
      </c>
      <c r="I3" s="444">
        <f>(C3-$F$3)/$G$3</f>
        <v>0</v>
      </c>
      <c r="J3" s="444">
        <f>(D3-$F$3)/$G$3</f>
        <v>1</v>
      </c>
      <c r="K3" s="444">
        <f>H3+0.0001</f>
        <v>0.57702307692307697</v>
      </c>
      <c r="L3" s="444">
        <f t="shared" ref="L3:M14" si="0">I3+0.0001</f>
        <v>1E-4</v>
      </c>
      <c r="M3" s="444">
        <f t="shared" si="0"/>
        <v>1.0001</v>
      </c>
      <c r="N3" s="444">
        <f>SUM(K3:M3)</f>
        <v>1.5772230769230768</v>
      </c>
      <c r="O3" s="444">
        <f>K3/$N$3</f>
        <v>0.36584747291978603</v>
      </c>
      <c r="P3" s="444">
        <f>L3/$N$3</f>
        <v>6.340257219358269E-5</v>
      </c>
      <c r="Q3" s="444">
        <f>M3/$N$3</f>
        <v>0.63408912450802046</v>
      </c>
      <c r="R3" s="444"/>
      <c r="S3" s="444"/>
      <c r="T3" s="444"/>
      <c r="U3" s="442"/>
      <c r="V3" s="24"/>
      <c r="W3" s="24"/>
      <c r="X3" s="24"/>
    </row>
    <row r="4" spans="1:24">
      <c r="A4" s="443" t="s">
        <v>417</v>
      </c>
      <c r="B4" s="24">
        <v>0.96</v>
      </c>
      <c r="C4" s="24">
        <v>0.97</v>
      </c>
      <c r="D4" s="24">
        <v>0.95</v>
      </c>
      <c r="E4" s="24">
        <f t="shared" ref="E4:E14" si="1">MAX(B4:D4)</f>
        <v>0.97</v>
      </c>
      <c r="F4" s="24">
        <f t="shared" ref="F4:F14" si="2">MIN(B4:D4)</f>
        <v>0.95</v>
      </c>
      <c r="G4" s="444">
        <f t="shared" ref="G4:G14" si="3">E4-F4</f>
        <v>2.0000000000000018E-2</v>
      </c>
      <c r="H4" s="444">
        <f>(B4-$F$4)/$G$4</f>
        <v>0.5</v>
      </c>
      <c r="I4" s="444">
        <f>(C4-$F$4)/$G$4</f>
        <v>1</v>
      </c>
      <c r="J4" s="444">
        <f>(D4-$F$4)/$G$4</f>
        <v>0</v>
      </c>
      <c r="K4" s="444">
        <f t="shared" ref="K4:K14" si="4">H4+0.0001</f>
        <v>0.50009999999999999</v>
      </c>
      <c r="L4" s="444">
        <f t="shared" si="0"/>
        <v>1.0001</v>
      </c>
      <c r="M4" s="444">
        <f t="shared" si="0"/>
        <v>1E-4</v>
      </c>
      <c r="N4" s="444">
        <f t="shared" ref="N4:N14" si="5">SUM(K4:M4)</f>
        <v>1.5003</v>
      </c>
      <c r="O4" s="444">
        <f>K4/$N$4</f>
        <v>0.33333333333333331</v>
      </c>
      <c r="P4" s="444">
        <f>L4/$N$4</f>
        <v>0.66660001333066721</v>
      </c>
      <c r="Q4" s="444">
        <f>M4/$N$4</f>
        <v>6.6653335999466775E-5</v>
      </c>
      <c r="R4" s="444"/>
      <c r="S4" s="444"/>
      <c r="T4" s="444"/>
      <c r="U4" s="442"/>
      <c r="V4" s="24"/>
      <c r="W4" s="24"/>
      <c r="X4" s="24"/>
    </row>
    <row r="5" spans="1:24">
      <c r="A5" s="443" t="s">
        <v>418</v>
      </c>
      <c r="B5" s="24">
        <v>9</v>
      </c>
      <c r="C5" s="24">
        <v>9</v>
      </c>
      <c r="D5" s="24">
        <v>8</v>
      </c>
      <c r="E5" s="24">
        <f t="shared" si="1"/>
        <v>9</v>
      </c>
      <c r="F5" s="24">
        <f t="shared" si="2"/>
        <v>8</v>
      </c>
      <c r="G5" s="444">
        <f t="shared" si="3"/>
        <v>1</v>
      </c>
      <c r="H5" s="444">
        <f>(B5-$F$5)/$G$5</f>
        <v>1</v>
      </c>
      <c r="I5" s="444">
        <f>(C5-$F$5)/$G$5</f>
        <v>1</v>
      </c>
      <c r="J5" s="444">
        <f>(D5-$F$5)/$G$5</f>
        <v>0</v>
      </c>
      <c r="K5" s="444">
        <f t="shared" si="4"/>
        <v>1.0001</v>
      </c>
      <c r="L5" s="444">
        <f t="shared" si="0"/>
        <v>1.0001</v>
      </c>
      <c r="M5" s="444">
        <f t="shared" si="0"/>
        <v>1E-4</v>
      </c>
      <c r="N5" s="444">
        <f t="shared" si="5"/>
        <v>2.0003000000000002</v>
      </c>
      <c r="O5" s="444">
        <f>K5/$N$5</f>
        <v>0.49997500374943754</v>
      </c>
      <c r="P5" s="444">
        <f>L5/$N$5</f>
        <v>0.49997500374943754</v>
      </c>
      <c r="Q5" s="444">
        <f>M5/$N$5</f>
        <v>4.9992501124831273E-5</v>
      </c>
      <c r="R5" s="444"/>
      <c r="S5" s="444"/>
      <c r="T5" s="444"/>
      <c r="U5" s="442"/>
      <c r="V5" s="24"/>
      <c r="W5" s="24"/>
      <c r="X5" s="24"/>
    </row>
    <row r="6" spans="1:24">
      <c r="A6" s="442" t="s">
        <v>419</v>
      </c>
      <c r="B6" s="24">
        <v>5.532</v>
      </c>
      <c r="C6" s="24">
        <v>7.2450000000000001</v>
      </c>
      <c r="D6" s="24">
        <v>4.3209999999999997</v>
      </c>
      <c r="E6" s="24">
        <f t="shared" si="1"/>
        <v>7.2450000000000001</v>
      </c>
      <c r="F6" s="24">
        <f t="shared" si="2"/>
        <v>4.3209999999999997</v>
      </c>
      <c r="G6" s="444">
        <f t="shared" si="3"/>
        <v>2.9240000000000004</v>
      </c>
      <c r="H6" s="444">
        <f>($E$6-B6)/$G$6</f>
        <v>0.58584131326949385</v>
      </c>
      <c r="I6" s="444">
        <f>($E$6-C6)/$G$6</f>
        <v>0</v>
      </c>
      <c r="J6" s="444">
        <f>($E$6-D6)/$G$6</f>
        <v>1</v>
      </c>
      <c r="K6" s="444">
        <f t="shared" si="4"/>
        <v>0.58594131326949384</v>
      </c>
      <c r="L6" s="444">
        <f t="shared" si="0"/>
        <v>1E-4</v>
      </c>
      <c r="M6" s="444">
        <f t="shared" si="0"/>
        <v>1.0001</v>
      </c>
      <c r="N6" s="444">
        <f t="shared" si="5"/>
        <v>1.5861413132694939</v>
      </c>
      <c r="O6" s="444">
        <f>K6/$N$6</f>
        <v>0.36941305819826359</v>
      </c>
      <c r="P6" s="444">
        <f>L6/$N$6</f>
        <v>6.3046084963181001E-5</v>
      </c>
      <c r="Q6" s="444">
        <f>M6/$N$6</f>
        <v>0.63052389571677314</v>
      </c>
      <c r="R6" s="444"/>
      <c r="S6" s="444"/>
      <c r="T6" s="444"/>
      <c r="U6" s="442"/>
      <c r="V6" s="24"/>
      <c r="W6" s="24"/>
      <c r="X6" s="24"/>
    </row>
    <row r="7" spans="1:24">
      <c r="A7" s="442" t="s">
        <v>420</v>
      </c>
      <c r="B7" s="24">
        <v>1</v>
      </c>
      <c r="C7" s="24">
        <v>2</v>
      </c>
      <c r="D7" s="24">
        <v>2</v>
      </c>
      <c r="E7" s="24">
        <f t="shared" si="1"/>
        <v>2</v>
      </c>
      <c r="F7" s="24">
        <f t="shared" si="2"/>
        <v>1</v>
      </c>
      <c r="G7" s="444">
        <f t="shared" si="3"/>
        <v>1</v>
      </c>
      <c r="H7" s="444">
        <f>(B7-$F$7)/$G$7</f>
        <v>0</v>
      </c>
      <c r="I7" s="444">
        <f>(C7-$F$7)/$G$7</f>
        <v>1</v>
      </c>
      <c r="J7" s="444">
        <f>(D7-$F$7)/$G$7</f>
        <v>1</v>
      </c>
      <c r="K7" s="444">
        <f t="shared" si="4"/>
        <v>1E-4</v>
      </c>
      <c r="L7" s="444">
        <f t="shared" si="0"/>
        <v>1.0001</v>
      </c>
      <c r="M7" s="444">
        <f t="shared" si="0"/>
        <v>1.0001</v>
      </c>
      <c r="N7" s="444">
        <f t="shared" si="5"/>
        <v>2.0003000000000002</v>
      </c>
      <c r="O7" s="444">
        <f>K7/$N$7</f>
        <v>4.9992501124831273E-5</v>
      </c>
      <c r="P7" s="444">
        <f>L7/$N$7</f>
        <v>0.49997500374943754</v>
      </c>
      <c r="Q7" s="444">
        <f>M7/$N$7</f>
        <v>0.49997500374943754</v>
      </c>
      <c r="R7" s="444"/>
      <c r="S7" s="444"/>
      <c r="T7" s="444"/>
      <c r="U7" s="442"/>
      <c r="V7" s="24"/>
      <c r="W7" s="24"/>
      <c r="X7" s="24"/>
    </row>
    <row r="8" spans="1:24">
      <c r="A8" s="442" t="s">
        <v>421</v>
      </c>
      <c r="B8" s="24">
        <v>9.6379999999999999</v>
      </c>
      <c r="C8" s="24">
        <v>10.441000000000001</v>
      </c>
      <c r="D8" s="24">
        <v>7.8789999999999996</v>
      </c>
      <c r="E8" s="24">
        <f t="shared" si="1"/>
        <v>10.441000000000001</v>
      </c>
      <c r="F8" s="24">
        <f t="shared" si="2"/>
        <v>7.8789999999999996</v>
      </c>
      <c r="G8" s="444">
        <f t="shared" si="3"/>
        <v>2.5620000000000012</v>
      </c>
      <c r="H8" s="444">
        <f>($E$8-B8)/$G$8</f>
        <v>0.31342701014832181</v>
      </c>
      <c r="I8" s="444">
        <f>($E$8-C8)/$G$8</f>
        <v>0</v>
      </c>
      <c r="J8" s="444">
        <f>($E$8-D8)/$G$8</f>
        <v>1</v>
      </c>
      <c r="K8" s="444">
        <f t="shared" si="4"/>
        <v>0.31352701014832179</v>
      </c>
      <c r="L8" s="444">
        <f t="shared" si="0"/>
        <v>1E-4</v>
      </c>
      <c r="M8" s="444">
        <f t="shared" si="0"/>
        <v>1.0001</v>
      </c>
      <c r="N8" s="444">
        <f t="shared" si="5"/>
        <v>1.3137270101483218</v>
      </c>
      <c r="O8" s="444">
        <f>K8/$N$8</f>
        <v>0.23865461220358414</v>
      </c>
      <c r="P8" s="444">
        <f>L8/$N$8</f>
        <v>7.6119314916658256E-5</v>
      </c>
      <c r="Q8" s="444">
        <f>M8/$N$8</f>
        <v>0.76126926848149912</v>
      </c>
      <c r="R8" s="444"/>
      <c r="S8" s="444"/>
      <c r="T8" s="444"/>
      <c r="U8" s="442"/>
      <c r="V8" s="24"/>
      <c r="W8" s="24"/>
      <c r="X8" s="24"/>
    </row>
    <row r="9" spans="1:24">
      <c r="A9" s="442" t="s">
        <v>422</v>
      </c>
      <c r="B9" s="24">
        <v>349.65</v>
      </c>
      <c r="C9" s="24">
        <v>199.02500000000001</v>
      </c>
      <c r="D9" s="24">
        <v>98.762</v>
      </c>
      <c r="E9" s="24">
        <f t="shared" si="1"/>
        <v>349.65</v>
      </c>
      <c r="F9" s="24">
        <f t="shared" si="2"/>
        <v>98.762</v>
      </c>
      <c r="G9" s="444">
        <f t="shared" si="3"/>
        <v>250.88799999999998</v>
      </c>
      <c r="H9" s="444">
        <f>($E$9-B9)/$G$9</f>
        <v>0</v>
      </c>
      <c r="I9" s="444">
        <f>($E$9-C9)/$G$9</f>
        <v>0.60036749465897132</v>
      </c>
      <c r="J9" s="444">
        <f>($E$9-D9)/$G$9</f>
        <v>1</v>
      </c>
      <c r="K9" s="444">
        <f t="shared" si="4"/>
        <v>1E-4</v>
      </c>
      <c r="L9" s="444">
        <f t="shared" si="0"/>
        <v>0.60046749465897131</v>
      </c>
      <c r="M9" s="444">
        <f t="shared" si="0"/>
        <v>1.0001</v>
      </c>
      <c r="N9" s="444">
        <f t="shared" si="5"/>
        <v>1.6006674946589712</v>
      </c>
      <c r="O9" s="444">
        <f>K9/$N$9</f>
        <v>6.2473936863011902E-5</v>
      </c>
      <c r="P9" s="444">
        <f>L9/$N$9</f>
        <v>0.37513568349615506</v>
      </c>
      <c r="Q9" s="444">
        <f>M9/$N$9</f>
        <v>0.62480184256698201</v>
      </c>
      <c r="R9" s="444"/>
      <c r="S9" s="444"/>
      <c r="T9" s="444"/>
      <c r="U9" s="442"/>
      <c r="V9" s="24"/>
      <c r="W9" s="24"/>
      <c r="X9" s="24"/>
    </row>
    <row r="10" spans="1:24">
      <c r="A10" s="442" t="s">
        <v>423</v>
      </c>
      <c r="B10" s="24">
        <v>1476.3019999999999</v>
      </c>
      <c r="C10" s="24">
        <v>2032.0150000000001</v>
      </c>
      <c r="D10" s="24">
        <v>1073.3</v>
      </c>
      <c r="E10" s="24">
        <f t="shared" si="1"/>
        <v>2032.0150000000001</v>
      </c>
      <c r="F10" s="24">
        <f t="shared" si="2"/>
        <v>1073.3</v>
      </c>
      <c r="G10" s="444">
        <f t="shared" si="3"/>
        <v>958.71500000000015</v>
      </c>
      <c r="H10" s="444">
        <f>($E$10-B10)/$G$10</f>
        <v>0.57964358542423988</v>
      </c>
      <c r="I10" s="444">
        <f>($E$10-C10)/$G$10</f>
        <v>0</v>
      </c>
      <c r="J10" s="444">
        <f>($E$10-D10)/$G$10</f>
        <v>1</v>
      </c>
      <c r="K10" s="444">
        <f t="shared" si="4"/>
        <v>0.57974358542423987</v>
      </c>
      <c r="L10" s="444">
        <f t="shared" si="0"/>
        <v>1E-4</v>
      </c>
      <c r="M10" s="444">
        <f t="shared" si="0"/>
        <v>1.0001</v>
      </c>
      <c r="N10" s="444">
        <f t="shared" si="5"/>
        <v>1.5799435854242398</v>
      </c>
      <c r="O10" s="444">
        <f>K10/$N$10</f>
        <v>0.3669394216177469</v>
      </c>
      <c r="P10" s="444">
        <f>L10/$N$10</f>
        <v>6.329339915839364E-5</v>
      </c>
      <c r="Q10" s="444">
        <f>M10/$N$10</f>
        <v>0.63299728498309471</v>
      </c>
      <c r="R10" s="444"/>
      <c r="S10" s="444"/>
      <c r="T10" s="444"/>
      <c r="U10" s="442"/>
      <c r="V10" s="24"/>
      <c r="W10" s="24"/>
      <c r="X10" s="24"/>
    </row>
    <row r="11" spans="1:24">
      <c r="A11" s="442" t="s">
        <v>39</v>
      </c>
      <c r="B11" s="24">
        <v>1</v>
      </c>
      <c r="C11" s="24">
        <v>2</v>
      </c>
      <c r="D11" s="24">
        <v>2</v>
      </c>
      <c r="E11" s="24">
        <f t="shared" si="1"/>
        <v>2</v>
      </c>
      <c r="F11" s="24">
        <f t="shared" si="2"/>
        <v>1</v>
      </c>
      <c r="G11" s="444">
        <f t="shared" si="3"/>
        <v>1</v>
      </c>
      <c r="H11" s="444">
        <f>(B11-$F$11)/$G$11</f>
        <v>0</v>
      </c>
      <c r="I11" s="444">
        <f>(C11-$F$11)/$G$11</f>
        <v>1</v>
      </c>
      <c r="J11" s="444">
        <f>(D11-$F$11)/$G$11</f>
        <v>1</v>
      </c>
      <c r="K11" s="444">
        <f t="shared" si="4"/>
        <v>1E-4</v>
      </c>
      <c r="L11" s="444">
        <f t="shared" si="0"/>
        <v>1.0001</v>
      </c>
      <c r="M11" s="444">
        <f t="shared" si="0"/>
        <v>1.0001</v>
      </c>
      <c r="N11" s="444">
        <f t="shared" si="5"/>
        <v>2.0003000000000002</v>
      </c>
      <c r="O11" s="444">
        <f>K11/$N$11</f>
        <v>4.9992501124831273E-5</v>
      </c>
      <c r="P11" s="444">
        <f>L11/$N$11</f>
        <v>0.49997500374943754</v>
      </c>
      <c r="Q11" s="444">
        <f>M11/$N$11</f>
        <v>0.49997500374943754</v>
      </c>
      <c r="R11" s="444"/>
      <c r="S11" s="444"/>
      <c r="T11" s="444"/>
      <c r="U11" s="442"/>
      <c r="V11" s="24"/>
      <c r="W11" s="24"/>
      <c r="X11" s="24"/>
    </row>
    <row r="12" spans="1:24">
      <c r="A12" s="442" t="s">
        <v>424</v>
      </c>
      <c r="B12" s="24">
        <v>30</v>
      </c>
      <c r="C12" s="24">
        <v>25</v>
      </c>
      <c r="D12" s="24">
        <v>20</v>
      </c>
      <c r="E12" s="24">
        <f t="shared" si="1"/>
        <v>30</v>
      </c>
      <c r="F12" s="24">
        <f t="shared" si="2"/>
        <v>20</v>
      </c>
      <c r="G12" s="444">
        <f t="shared" si="3"/>
        <v>10</v>
      </c>
      <c r="H12" s="444">
        <f>($E$12-B12)/$G$12</f>
        <v>0</v>
      </c>
      <c r="I12" s="444">
        <f>($E$12-C12)/$G$12</f>
        <v>0.5</v>
      </c>
      <c r="J12" s="444">
        <f>($E$12-D12)/$G$12</f>
        <v>1</v>
      </c>
      <c r="K12" s="444">
        <f t="shared" si="4"/>
        <v>1E-4</v>
      </c>
      <c r="L12" s="444">
        <f t="shared" si="0"/>
        <v>0.50009999999999999</v>
      </c>
      <c r="M12" s="444">
        <f t="shared" si="0"/>
        <v>1.0001</v>
      </c>
      <c r="N12" s="444">
        <f t="shared" si="5"/>
        <v>1.5003</v>
      </c>
      <c r="O12" s="444">
        <f>K12/$N$12</f>
        <v>6.6653335999466775E-5</v>
      </c>
      <c r="P12" s="444">
        <f>L12/$N$12</f>
        <v>0.33333333333333331</v>
      </c>
      <c r="Q12" s="444">
        <f>M12/$N$12</f>
        <v>0.66660001333066721</v>
      </c>
      <c r="R12" s="444"/>
      <c r="S12" s="444"/>
      <c r="T12" s="444"/>
      <c r="U12" s="442"/>
      <c r="V12" s="24"/>
      <c r="W12" s="24"/>
      <c r="X12" s="24"/>
    </row>
    <row r="13" spans="1:24">
      <c r="A13" s="442" t="s">
        <v>425</v>
      </c>
      <c r="B13" s="24">
        <v>1</v>
      </c>
      <c r="C13" s="24">
        <v>1</v>
      </c>
      <c r="D13" s="24">
        <v>2</v>
      </c>
      <c r="E13" s="24">
        <f t="shared" si="1"/>
        <v>2</v>
      </c>
      <c r="F13" s="24">
        <f t="shared" si="2"/>
        <v>1</v>
      </c>
      <c r="G13" s="444">
        <f t="shared" si="3"/>
        <v>1</v>
      </c>
      <c r="H13" s="444">
        <f>(B13-$F$13)/$G$13</f>
        <v>0</v>
      </c>
      <c r="I13" s="444">
        <f>(C13-$F$13)/$G$13</f>
        <v>0</v>
      </c>
      <c r="J13" s="444">
        <f>(D13-$F$13)/$G$13</f>
        <v>1</v>
      </c>
      <c r="K13" s="444">
        <f t="shared" si="4"/>
        <v>1E-4</v>
      </c>
      <c r="L13" s="444">
        <f t="shared" si="0"/>
        <v>1E-4</v>
      </c>
      <c r="M13" s="444">
        <f t="shared" si="0"/>
        <v>1.0001</v>
      </c>
      <c r="N13" s="444">
        <f t="shared" si="5"/>
        <v>1.0003</v>
      </c>
      <c r="O13" s="444">
        <f>K13/$N$13</f>
        <v>9.9970008997300822E-5</v>
      </c>
      <c r="P13" s="444">
        <f>L13/$N$13</f>
        <v>9.9970008997300822E-5</v>
      </c>
      <c r="Q13" s="444">
        <f>M13/$N$13</f>
        <v>0.99980005998200538</v>
      </c>
      <c r="R13" s="444"/>
      <c r="S13" s="444"/>
      <c r="T13" s="444"/>
      <c r="U13" s="442"/>
      <c r="V13" s="24"/>
      <c r="W13" s="24"/>
      <c r="X13" s="24"/>
    </row>
    <row r="14" spans="1:24">
      <c r="A14" s="442" t="s">
        <v>426</v>
      </c>
      <c r="B14" s="24">
        <v>2</v>
      </c>
      <c r="C14" s="24">
        <v>1</v>
      </c>
      <c r="D14" s="24">
        <v>0</v>
      </c>
      <c r="E14" s="24">
        <f t="shared" si="1"/>
        <v>2</v>
      </c>
      <c r="F14" s="24">
        <f t="shared" si="2"/>
        <v>0</v>
      </c>
      <c r="G14" s="444">
        <f t="shared" si="3"/>
        <v>2</v>
      </c>
      <c r="H14" s="444">
        <f>(B14-$F$14)/$G$14</f>
        <v>1</v>
      </c>
      <c r="I14" s="444">
        <f>(C14-$F$14)/$G$14</f>
        <v>0.5</v>
      </c>
      <c r="J14" s="444">
        <f>(D14-$F$14)/$G$14</f>
        <v>0</v>
      </c>
      <c r="K14" s="444">
        <f t="shared" si="4"/>
        <v>1.0001</v>
      </c>
      <c r="L14" s="444">
        <f t="shared" si="0"/>
        <v>0.50009999999999999</v>
      </c>
      <c r="M14" s="444">
        <f t="shared" si="0"/>
        <v>1E-4</v>
      </c>
      <c r="N14" s="444">
        <f t="shared" si="5"/>
        <v>1.5003</v>
      </c>
      <c r="O14" s="444">
        <f>K14/$N$14</f>
        <v>0.66660001333066721</v>
      </c>
      <c r="P14" s="444">
        <f>L14/$N$14</f>
        <v>0.33333333333333331</v>
      </c>
      <c r="Q14" s="444">
        <f>M14/$N$14</f>
        <v>6.6653335999466775E-5</v>
      </c>
      <c r="R14" s="444"/>
      <c r="S14" s="444"/>
      <c r="T14" s="444"/>
      <c r="U14" s="442"/>
      <c r="V14" s="24"/>
      <c r="W14" s="24"/>
      <c r="X14" s="24"/>
    </row>
    <row r="15" spans="1:24">
      <c r="A15" s="444"/>
      <c r="B15" s="444"/>
      <c r="C15" s="444"/>
      <c r="D15" s="444"/>
      <c r="E15" s="444"/>
      <c r="F15" s="444"/>
      <c r="G15" s="444"/>
      <c r="H15" s="444"/>
      <c r="I15" s="444"/>
      <c r="J15" s="444"/>
      <c r="K15" s="444"/>
      <c r="L15" s="444"/>
      <c r="M15" s="444"/>
      <c r="N15" s="444"/>
      <c r="O15" s="444"/>
      <c r="P15" s="444"/>
      <c r="Q15" s="444"/>
      <c r="R15" s="444"/>
      <c r="S15" s="444"/>
      <c r="T15" s="444"/>
      <c r="U15" s="444"/>
      <c r="V15" s="444"/>
      <c r="W15" s="444"/>
      <c r="X15" s="444"/>
    </row>
    <row r="16" spans="1:24">
      <c r="A16" s="444"/>
      <c r="B16" s="444"/>
      <c r="C16" s="444"/>
      <c r="D16" s="444"/>
      <c r="E16" s="444"/>
      <c r="F16" s="444"/>
      <c r="G16" s="444"/>
      <c r="H16" s="444"/>
      <c r="I16" s="444"/>
      <c r="J16" s="444"/>
      <c r="K16" s="444"/>
      <c r="L16" s="444"/>
      <c r="M16" s="444"/>
      <c r="N16" s="444"/>
      <c r="O16" s="444"/>
      <c r="P16" s="444"/>
      <c r="Q16" s="444"/>
      <c r="R16" s="444"/>
      <c r="S16" s="444"/>
      <c r="T16" s="444"/>
      <c r="U16" s="444"/>
      <c r="V16" s="444"/>
      <c r="W16" s="444"/>
      <c r="X16" s="444"/>
    </row>
    <row r="17" spans="1:26">
      <c r="A17" s="444"/>
      <c r="B17" s="444"/>
      <c r="C17" s="444"/>
      <c r="D17" s="444"/>
      <c r="E17" s="444"/>
      <c r="F17" s="444"/>
      <c r="G17" s="444"/>
      <c r="H17" s="444"/>
      <c r="I17" s="444"/>
      <c r="J17" s="444">
        <f>LN(3)</f>
        <v>1.0986122886681098</v>
      </c>
      <c r="K17" s="444">
        <f>-1/J17</f>
        <v>-0.91023922662683732</v>
      </c>
      <c r="L17" s="444"/>
      <c r="M17" s="444"/>
      <c r="N17" s="444"/>
      <c r="O17" s="444"/>
      <c r="P17" s="444"/>
      <c r="Q17" s="444"/>
      <c r="R17" s="444"/>
      <c r="S17" s="444"/>
      <c r="T17" s="444"/>
      <c r="U17" s="444"/>
      <c r="V17" s="444"/>
      <c r="W17" s="444"/>
      <c r="X17" s="444"/>
    </row>
    <row r="18" spans="1:26" s="441" customFormat="1">
      <c r="A18" s="440" t="s">
        <v>427</v>
      </c>
      <c r="B18" s="440"/>
      <c r="C18" s="440"/>
      <c r="D18" s="440" t="s">
        <v>428</v>
      </c>
      <c r="E18" s="440"/>
      <c r="F18" s="440"/>
      <c r="G18" s="440" t="s">
        <v>429</v>
      </c>
      <c r="H18" s="440"/>
      <c r="I18" s="440"/>
      <c r="J18" s="440"/>
      <c r="K18" s="440"/>
      <c r="L18" s="440"/>
      <c r="M18" s="440"/>
      <c r="N18" s="440"/>
      <c r="O18" s="440"/>
      <c r="P18" s="440"/>
      <c r="Q18" s="440"/>
      <c r="R18" s="440"/>
      <c r="S18" s="440"/>
      <c r="T18" s="440"/>
      <c r="U18" s="440"/>
      <c r="V18" s="440"/>
      <c r="W18" s="440"/>
      <c r="X18" s="440"/>
    </row>
    <row r="19" spans="1:26" s="441" customFormat="1" ht="42">
      <c r="A19" s="440" t="s">
        <v>430</v>
      </c>
      <c r="B19" s="440" t="s">
        <v>431</v>
      </c>
      <c r="C19" s="440" t="s">
        <v>432</v>
      </c>
      <c r="D19" s="440" t="s">
        <v>430</v>
      </c>
      <c r="E19" s="440" t="s">
        <v>431</v>
      </c>
      <c r="F19" s="440" t="s">
        <v>432</v>
      </c>
      <c r="G19" s="440" t="s">
        <v>430</v>
      </c>
      <c r="H19" s="440" t="s">
        <v>431</v>
      </c>
      <c r="I19" s="440" t="s">
        <v>432</v>
      </c>
      <c r="J19" s="440" t="s">
        <v>415</v>
      </c>
      <c r="K19" s="446" t="s">
        <v>433</v>
      </c>
      <c r="L19" s="446" t="s">
        <v>434</v>
      </c>
      <c r="M19" s="440" t="s">
        <v>448</v>
      </c>
      <c r="N19" s="440"/>
      <c r="O19" s="440"/>
      <c r="P19" s="440"/>
      <c r="Q19" s="440"/>
      <c r="R19" s="440"/>
      <c r="S19" s="440"/>
      <c r="T19" s="440"/>
      <c r="U19" s="440"/>
      <c r="V19" s="440"/>
      <c r="W19" s="440"/>
      <c r="X19" s="440"/>
    </row>
    <row r="20" spans="1:26">
      <c r="A20" s="447">
        <v>0.36584699999999998</v>
      </c>
      <c r="B20" s="448">
        <v>6.3399999999999996E-5</v>
      </c>
      <c r="C20" s="447">
        <v>0.63408900000000001</v>
      </c>
      <c r="D20" s="444">
        <f>LN(A$20)</f>
        <v>-1.0055400657677198</v>
      </c>
      <c r="E20" s="444">
        <f>LN(B$20)</f>
        <v>-9.6660466965210947</v>
      </c>
      <c r="F20" s="444">
        <f>LN(C$20)</f>
        <v>-0.45556595584816167</v>
      </c>
      <c r="G20" s="444">
        <f>A20*D20</f>
        <v>-0.36787381644092298</v>
      </c>
      <c r="H20" s="444">
        <f t="shared" ref="H20:I31" si="6">B20*E20</f>
        <v>-6.1282736055943737E-4</v>
      </c>
      <c r="I20" s="444">
        <f t="shared" si="6"/>
        <v>-0.288869361377805</v>
      </c>
      <c r="J20" s="24">
        <f>SUM(G20:I20)</f>
        <v>-0.65735600517928749</v>
      </c>
      <c r="K20" s="444">
        <f>J20*$K$17</f>
        <v>0.5983512217729019</v>
      </c>
      <c r="L20" s="444">
        <f>1-K20</f>
        <v>0.4016487782270981</v>
      </c>
      <c r="M20" s="444">
        <f>L20/$L$32</f>
        <v>7.3523353891259691E-2</v>
      </c>
      <c r="N20" s="444"/>
      <c r="O20" s="444"/>
      <c r="P20" s="444"/>
      <c r="Q20" s="444"/>
      <c r="R20" s="444"/>
      <c r="S20" s="444"/>
      <c r="T20" s="444"/>
      <c r="U20" s="444"/>
      <c r="V20" s="444"/>
      <c r="W20" s="444"/>
      <c r="X20" s="444"/>
    </row>
    <row r="21" spans="1:26">
      <c r="A21" s="447">
        <v>0.33333299999999999</v>
      </c>
      <c r="B21" s="447">
        <v>0.66659999999999997</v>
      </c>
      <c r="C21" s="448">
        <v>6.6699999999999995E-5</v>
      </c>
      <c r="D21" s="444">
        <f>LN(A$21)</f>
        <v>-1.0986132886686097</v>
      </c>
      <c r="E21" s="444">
        <f>LN(B$21)</f>
        <v>-0.4055651131084978</v>
      </c>
      <c r="F21" s="444">
        <f>LN(C$21)</f>
        <v>-9.6153056050426962</v>
      </c>
      <c r="G21" s="444">
        <f t="shared" ref="G21:G31" si="7">A21*D21</f>
        <v>-0.36620406335177369</v>
      </c>
      <c r="H21" s="444">
        <f t="shared" si="6"/>
        <v>-0.27034970439812461</v>
      </c>
      <c r="I21" s="444">
        <f t="shared" si="6"/>
        <v>-6.4134088385634782E-4</v>
      </c>
      <c r="J21" s="24">
        <f t="shared" ref="J21:J31" si="8">SUM(G21:I21)</f>
        <v>-0.63719510863375461</v>
      </c>
      <c r="K21" s="444">
        <f t="shared" ref="K21:K31" si="9">J21*$K$17</f>
        <v>0.57999998289319243</v>
      </c>
      <c r="L21" s="444">
        <f t="shared" ref="L21:L31" si="10">1-K21</f>
        <v>0.42000001710680757</v>
      </c>
      <c r="M21" s="444">
        <f t="shared" ref="M21:M31" si="11">L21/$L$32</f>
        <v>7.68826187605606E-2</v>
      </c>
      <c r="N21" s="444"/>
      <c r="O21" s="447">
        <v>0.36584699999999998</v>
      </c>
      <c r="P21" s="447">
        <v>0.33333299999999999</v>
      </c>
      <c r="Q21" s="447">
        <v>0.499975</v>
      </c>
      <c r="R21" s="447">
        <v>0.36941299999999999</v>
      </c>
      <c r="S21" s="448">
        <v>5.0000000000000002E-5</v>
      </c>
      <c r="T21" s="447">
        <v>0.23865500000000001</v>
      </c>
      <c r="U21" s="448">
        <v>6.2500000000000001E-5</v>
      </c>
      <c r="V21" s="447">
        <v>0.36693900000000002</v>
      </c>
      <c r="W21" s="448">
        <v>5.0000000000000002E-5</v>
      </c>
      <c r="X21" s="448">
        <v>6.6699999999999995E-5</v>
      </c>
      <c r="Y21" s="448">
        <v>1E-4</v>
      </c>
      <c r="Z21" s="447">
        <v>0.66659999999999997</v>
      </c>
    </row>
    <row r="22" spans="1:26">
      <c r="A22" s="447">
        <v>0.499975</v>
      </c>
      <c r="B22" s="447">
        <v>0.499975</v>
      </c>
      <c r="C22" s="448">
        <v>5.0000000000000002E-5</v>
      </c>
      <c r="D22" s="444">
        <f>LN(A$22)</f>
        <v>-0.69319718180998702</v>
      </c>
      <c r="E22" s="444">
        <f>LN(B$22)</f>
        <v>-0.69319718180998702</v>
      </c>
      <c r="F22" s="444">
        <f>LN(C$22)</f>
        <v>-9.9034875525361272</v>
      </c>
      <c r="G22" s="444">
        <f t="shared" si="7"/>
        <v>-0.34658126097544828</v>
      </c>
      <c r="H22" s="444">
        <f t="shared" si="6"/>
        <v>-0.34658126097544828</v>
      </c>
      <c r="I22" s="444">
        <f t="shared" si="6"/>
        <v>-4.9517437762680637E-4</v>
      </c>
      <c r="J22" s="24">
        <f t="shared" si="8"/>
        <v>-0.69365769632852337</v>
      </c>
      <c r="K22" s="444">
        <f t="shared" si="9"/>
        <v>0.63139444504982867</v>
      </c>
      <c r="L22" s="444">
        <f t="shared" si="10"/>
        <v>0.36860555495017133</v>
      </c>
      <c r="M22" s="444">
        <f t="shared" si="11"/>
        <v>6.7474664761863784E-2</v>
      </c>
      <c r="N22" s="444"/>
      <c r="O22" s="448">
        <v>6.3399999999999996E-5</v>
      </c>
      <c r="P22" s="447">
        <v>0.66659999999999997</v>
      </c>
      <c r="Q22" s="447">
        <v>0.499975</v>
      </c>
      <c r="R22" s="448">
        <v>6.3E-5</v>
      </c>
      <c r="S22" s="447">
        <v>0.499975</v>
      </c>
      <c r="T22" s="448">
        <v>7.6100000000000007E-5</v>
      </c>
      <c r="U22" s="447">
        <v>0.37513600000000002</v>
      </c>
      <c r="V22" s="448">
        <v>6.3299999999999994E-5</v>
      </c>
      <c r="W22" s="447">
        <v>0.499975</v>
      </c>
      <c r="X22" s="447">
        <v>0.33333299999999999</v>
      </c>
      <c r="Y22" s="448">
        <v>1E-4</v>
      </c>
      <c r="Z22" s="447">
        <v>0.33333299999999999</v>
      </c>
    </row>
    <row r="23" spans="1:26">
      <c r="A23" s="447">
        <v>0.36941299999999999</v>
      </c>
      <c r="B23" s="448">
        <v>6.3E-5</v>
      </c>
      <c r="C23" s="447">
        <v>0.63052399999999997</v>
      </c>
      <c r="D23" s="444">
        <f>LN(A$23)</f>
        <v>-0.99584001963265523</v>
      </c>
      <c r="E23" s="444">
        <f>LN(B$23)</f>
        <v>-9.6723758315727419</v>
      </c>
      <c r="F23" s="444">
        <f>LN(C$23)</f>
        <v>-0.46120405927386188</v>
      </c>
      <c r="G23" s="444">
        <f t="shared" si="7"/>
        <v>-0.36787624917255807</v>
      </c>
      <c r="H23" s="444">
        <f t="shared" si="6"/>
        <v>-6.0935967738908272E-4</v>
      </c>
      <c r="I23" s="444">
        <f t="shared" si="6"/>
        <v>-0.29080022826959245</v>
      </c>
      <c r="J23" s="24">
        <f t="shared" si="8"/>
        <v>-0.65928583711953959</v>
      </c>
      <c r="K23" s="444">
        <f t="shared" si="9"/>
        <v>0.6001078305057167</v>
      </c>
      <c r="L23" s="444">
        <f t="shared" si="10"/>
        <v>0.3998921694942833</v>
      </c>
      <c r="M23" s="444">
        <f t="shared" si="11"/>
        <v>7.3201799905508E-2</v>
      </c>
      <c r="N23" s="444"/>
      <c r="O23" s="447">
        <v>0.63408900000000001</v>
      </c>
      <c r="P23" s="448">
        <v>6.6699999999999995E-5</v>
      </c>
      <c r="Q23" s="448">
        <v>5.0000000000000002E-5</v>
      </c>
      <c r="R23" s="447">
        <v>0.63052399999999997</v>
      </c>
      <c r="S23" s="447">
        <v>0.499975</v>
      </c>
      <c r="T23" s="447">
        <v>0.76126899999999997</v>
      </c>
      <c r="U23" s="447">
        <v>0.62480199999999997</v>
      </c>
      <c r="V23" s="447">
        <v>0.63299700000000003</v>
      </c>
      <c r="W23" s="447">
        <v>0.499975</v>
      </c>
      <c r="X23" s="447">
        <v>0.66659999999999997</v>
      </c>
      <c r="Y23" s="447">
        <v>0.99980000000000002</v>
      </c>
      <c r="Z23" s="448">
        <v>6.6699999999999995E-5</v>
      </c>
    </row>
    <row r="24" spans="1:26">
      <c r="A24" s="448">
        <v>5.0000000000000002E-5</v>
      </c>
      <c r="B24" s="447">
        <v>0.499975</v>
      </c>
      <c r="C24" s="447">
        <v>0.499975</v>
      </c>
      <c r="D24" s="444">
        <f>LN(A$24)</f>
        <v>-9.9034875525361272</v>
      </c>
      <c r="E24" s="444">
        <f>LN(B$24)</f>
        <v>-0.69319718180998702</v>
      </c>
      <c r="F24" s="444">
        <f>LN(C$24)</f>
        <v>-0.69319718180998702</v>
      </c>
      <c r="G24" s="444">
        <f t="shared" si="7"/>
        <v>-4.9517437762680637E-4</v>
      </c>
      <c r="H24" s="444">
        <f t="shared" si="6"/>
        <v>-0.34658126097544828</v>
      </c>
      <c r="I24" s="444">
        <f t="shared" si="6"/>
        <v>-0.34658126097544828</v>
      </c>
      <c r="J24" s="24">
        <f t="shared" si="8"/>
        <v>-0.69365769632852337</v>
      </c>
      <c r="K24" s="444">
        <f t="shared" si="9"/>
        <v>0.63139444504982867</v>
      </c>
      <c r="L24" s="444">
        <f t="shared" si="10"/>
        <v>0.36860555495017133</v>
      </c>
      <c r="M24" s="444">
        <f t="shared" si="11"/>
        <v>6.7474664761863784E-2</v>
      </c>
      <c r="N24" s="444"/>
      <c r="O24" s="444"/>
      <c r="P24" s="444"/>
      <c r="Q24" s="444"/>
      <c r="R24" s="444"/>
      <c r="S24" s="444"/>
      <c r="T24" s="444"/>
      <c r="U24" s="444"/>
      <c r="V24" s="444"/>
      <c r="W24" s="444"/>
      <c r="X24" s="444"/>
    </row>
    <row r="25" spans="1:26">
      <c r="A25" s="447">
        <v>0.23865500000000001</v>
      </c>
      <c r="B25" s="448">
        <v>7.6100000000000007E-5</v>
      </c>
      <c r="C25" s="447">
        <v>0.76126899999999997</v>
      </c>
      <c r="D25" s="444">
        <f>LN(A$25)</f>
        <v>-1.4327362845659626</v>
      </c>
      <c r="E25" s="444">
        <f>LN(B$25)</f>
        <v>-9.4834622930966344</v>
      </c>
      <c r="F25" s="444">
        <f>LN(C$25)</f>
        <v>-0.27276850132040281</v>
      </c>
      <c r="G25" s="444">
        <f t="shared" si="7"/>
        <v>-0.34192967799308982</v>
      </c>
      <c r="H25" s="444">
        <f t="shared" si="6"/>
        <v>-7.2169148050465397E-4</v>
      </c>
      <c r="I25" s="444">
        <f t="shared" si="6"/>
        <v>-0.20765020423168173</v>
      </c>
      <c r="J25" s="24">
        <f t="shared" si="8"/>
        <v>-0.55030157370527621</v>
      </c>
      <c r="K25" s="444">
        <f t="shared" si="9"/>
        <v>0.50090607886102212</v>
      </c>
      <c r="L25" s="444">
        <f t="shared" si="10"/>
        <v>0.49909392113897788</v>
      </c>
      <c r="M25" s="444">
        <f t="shared" si="11"/>
        <v>9.1361062147012437E-2</v>
      </c>
      <c r="N25" s="444"/>
      <c r="O25" s="447">
        <v>0.36941299999999999</v>
      </c>
      <c r="P25" s="448">
        <v>5.0000000000000002E-5</v>
      </c>
      <c r="Q25" s="447">
        <v>0.23865500000000001</v>
      </c>
      <c r="R25" s="444"/>
      <c r="S25" s="444"/>
      <c r="T25" s="444"/>
      <c r="U25" s="444"/>
      <c r="V25" s="444"/>
      <c r="W25" s="444"/>
      <c r="X25" s="444"/>
      <c r="Y25" s="444"/>
      <c r="Z25" s="444"/>
    </row>
    <row r="26" spans="1:26">
      <c r="A26" s="448">
        <v>6.2500000000000001E-5</v>
      </c>
      <c r="B26" s="447">
        <v>0.37513600000000002</v>
      </c>
      <c r="C26" s="447">
        <v>0.62480199999999997</v>
      </c>
      <c r="D26" s="444">
        <f>LN(A$26)</f>
        <v>-9.6803440012219184</v>
      </c>
      <c r="E26" s="444">
        <f>LN(B$26)</f>
        <v>-0.98046665209271922</v>
      </c>
      <c r="F26" s="444">
        <f>LN(C$26)</f>
        <v>-0.47032047943745636</v>
      </c>
      <c r="G26" s="444">
        <f t="shared" si="7"/>
        <v>-6.0502150007636993E-4</v>
      </c>
      <c r="H26" s="444">
        <f t="shared" si="6"/>
        <v>-0.36780833799945434</v>
      </c>
      <c r="I26" s="444">
        <f t="shared" si="6"/>
        <v>-0.29385717619348162</v>
      </c>
      <c r="J26" s="24">
        <f t="shared" si="8"/>
        <v>-0.66227053569301231</v>
      </c>
      <c r="K26" s="444">
        <f t="shared" si="9"/>
        <v>0.60282462022694883</v>
      </c>
      <c r="L26" s="444">
        <f t="shared" si="10"/>
        <v>0.39717537977305117</v>
      </c>
      <c r="M26" s="444">
        <f t="shared" si="11"/>
        <v>7.2704481096263804E-2</v>
      </c>
      <c r="N26" s="444"/>
      <c r="O26" s="448">
        <v>6.3E-5</v>
      </c>
      <c r="P26" s="447">
        <v>0.499975</v>
      </c>
      <c r="Q26" s="448">
        <v>7.6100000000000007E-5</v>
      </c>
      <c r="R26" s="444"/>
      <c r="S26" s="444"/>
      <c r="T26" s="444"/>
      <c r="U26" s="444"/>
      <c r="V26" s="444"/>
      <c r="W26" s="444"/>
      <c r="X26" s="444"/>
      <c r="Y26" s="444"/>
      <c r="Z26" s="444"/>
    </row>
    <row r="27" spans="1:26">
      <c r="A27" s="447">
        <v>0.36693900000000002</v>
      </c>
      <c r="B27" s="448">
        <v>6.3299999999999994E-5</v>
      </c>
      <c r="C27" s="447">
        <v>0.63299700000000003</v>
      </c>
      <c r="D27" s="444">
        <f>LN(A$27)</f>
        <v>-1.0025596572764608</v>
      </c>
      <c r="E27" s="444">
        <f>LN(B$27)</f>
        <v>-9.6676252288141438</v>
      </c>
      <c r="F27" s="444">
        <f>LN(C$27)</f>
        <v>-0.45728959618568438</v>
      </c>
      <c r="G27" s="444">
        <f t="shared" si="7"/>
        <v>-0.36787823808136727</v>
      </c>
      <c r="H27" s="444">
        <f t="shared" si="6"/>
        <v>-6.1196067698393521E-4</v>
      </c>
      <c r="I27" s="444">
        <f t="shared" si="6"/>
        <v>-0.28946294251674964</v>
      </c>
      <c r="J27" s="24">
        <f t="shared" si="8"/>
        <v>-0.65795314127510085</v>
      </c>
      <c r="K27" s="444">
        <f t="shared" si="9"/>
        <v>0.59889475847094609</v>
      </c>
      <c r="L27" s="444">
        <f t="shared" si="10"/>
        <v>0.40110524152905391</v>
      </c>
      <c r="M27" s="444">
        <f t="shared" si="11"/>
        <v>7.3423857407840548E-2</v>
      </c>
      <c r="N27" s="444"/>
      <c r="O27" s="447">
        <v>0.63052399999999997</v>
      </c>
      <c r="P27" s="447">
        <v>0.499975</v>
      </c>
      <c r="Q27" s="447">
        <v>0.76126899999999997</v>
      </c>
      <c r="R27" s="444"/>
      <c r="S27" s="444"/>
      <c r="T27" s="444"/>
      <c r="U27" s="444"/>
      <c r="V27" s="444"/>
      <c r="W27" s="444"/>
      <c r="X27" s="444"/>
      <c r="Y27" s="444"/>
      <c r="Z27" s="444"/>
    </row>
    <row r="28" spans="1:26">
      <c r="A28" s="448">
        <v>5.0000000000000002E-5</v>
      </c>
      <c r="B28" s="447">
        <v>0.499975</v>
      </c>
      <c r="C28" s="447">
        <v>0.499975</v>
      </c>
      <c r="D28" s="444">
        <f>LN(A$28)</f>
        <v>-9.9034875525361272</v>
      </c>
      <c r="E28" s="444">
        <f>LN(B$28)</f>
        <v>-0.69319718180998702</v>
      </c>
      <c r="F28" s="444">
        <f>LN(C$28)</f>
        <v>-0.69319718180998702</v>
      </c>
      <c r="G28" s="444">
        <f t="shared" si="7"/>
        <v>-4.9517437762680637E-4</v>
      </c>
      <c r="H28" s="444">
        <f t="shared" si="6"/>
        <v>-0.34658126097544828</v>
      </c>
      <c r="I28" s="444">
        <f t="shared" si="6"/>
        <v>-0.34658126097544828</v>
      </c>
      <c r="J28" s="24">
        <f t="shared" si="8"/>
        <v>-0.69365769632852337</v>
      </c>
      <c r="K28" s="444">
        <f t="shared" si="9"/>
        <v>0.63139444504982867</v>
      </c>
      <c r="L28" s="444">
        <f t="shared" si="10"/>
        <v>0.36860555495017133</v>
      </c>
      <c r="M28" s="444">
        <f t="shared" si="11"/>
        <v>6.7474664761863784E-2</v>
      </c>
      <c r="N28" s="444"/>
      <c r="O28" s="444"/>
      <c r="P28" s="444"/>
      <c r="Q28" s="444"/>
      <c r="R28" s="444"/>
      <c r="S28" s="444"/>
      <c r="T28" s="444"/>
      <c r="U28" s="444"/>
      <c r="V28" s="444"/>
      <c r="W28" s="444"/>
      <c r="X28" s="444"/>
    </row>
    <row r="29" spans="1:26">
      <c r="A29" s="448">
        <v>6.6699999999999995E-5</v>
      </c>
      <c r="B29" s="447">
        <v>0.33333299999999999</v>
      </c>
      <c r="C29" s="447">
        <v>0.66659999999999997</v>
      </c>
      <c r="D29" s="444">
        <f>LN(A$29)</f>
        <v>-9.6153056050426962</v>
      </c>
      <c r="E29" s="444">
        <f>LN(B$29)</f>
        <v>-1.0986132886686097</v>
      </c>
      <c r="F29" s="444">
        <f>LN(C$29)</f>
        <v>-0.4055651131084978</v>
      </c>
      <c r="G29" s="444">
        <f t="shared" si="7"/>
        <v>-6.4134088385634782E-4</v>
      </c>
      <c r="H29" s="444">
        <f t="shared" si="6"/>
        <v>-0.36620406335177369</v>
      </c>
      <c r="I29" s="444">
        <f t="shared" si="6"/>
        <v>-0.27034970439812461</v>
      </c>
      <c r="J29" s="24">
        <f t="shared" si="8"/>
        <v>-0.63719510863375461</v>
      </c>
      <c r="K29" s="444">
        <f t="shared" si="9"/>
        <v>0.57999998289319243</v>
      </c>
      <c r="L29" s="444">
        <f t="shared" si="10"/>
        <v>0.42000001710680757</v>
      </c>
      <c r="M29" s="444">
        <f t="shared" si="11"/>
        <v>7.68826187605606E-2</v>
      </c>
      <c r="N29" s="444"/>
      <c r="O29" s="444"/>
      <c r="P29" s="444"/>
      <c r="Q29" s="444"/>
      <c r="R29" s="444"/>
      <c r="S29" s="444"/>
      <c r="T29" s="444"/>
      <c r="U29" s="444"/>
      <c r="V29" s="444"/>
      <c r="W29" s="444"/>
      <c r="X29" s="444"/>
    </row>
    <row r="30" spans="1:26">
      <c r="A30" s="448">
        <v>1E-4</v>
      </c>
      <c r="B30" s="448">
        <v>1E-4</v>
      </c>
      <c r="C30" s="447">
        <v>0.99980000000000002</v>
      </c>
      <c r="D30" s="444">
        <f>LN(A$30)</f>
        <v>-9.2103403719761818</v>
      </c>
      <c r="E30" s="444">
        <f>LN(B$30)</f>
        <v>-9.2103403719761818</v>
      </c>
      <c r="F30" s="444">
        <f>LN(C$30)</f>
        <v>-2.000200026670447E-4</v>
      </c>
      <c r="G30" s="444">
        <f t="shared" si="7"/>
        <v>-9.2103403719761819E-4</v>
      </c>
      <c r="H30" s="444">
        <f t="shared" si="6"/>
        <v>-9.2103403719761819E-4</v>
      </c>
      <c r="I30" s="444">
        <f t="shared" si="6"/>
        <v>-1.9997999866651128E-4</v>
      </c>
      <c r="J30" s="24">
        <f t="shared" si="8"/>
        <v>-2.0420480730617475E-3</v>
      </c>
      <c r="K30" s="444">
        <f t="shared" si="9"/>
        <v>1.8587522587585484E-3</v>
      </c>
      <c r="L30" s="444">
        <f t="shared" si="10"/>
        <v>0.99814124774124147</v>
      </c>
      <c r="M30" s="444">
        <f t="shared" si="11"/>
        <v>0.18271359498484246</v>
      </c>
      <c r="N30" s="444"/>
      <c r="O30" s="444"/>
      <c r="P30" s="444"/>
      <c r="Q30" s="444"/>
      <c r="R30" s="444"/>
      <c r="S30" s="444"/>
      <c r="T30" s="444"/>
      <c r="U30" s="444"/>
      <c r="V30" s="444"/>
      <c r="W30" s="444"/>
      <c r="X30" s="444"/>
    </row>
    <row r="31" spans="1:26">
      <c r="A31" s="447">
        <v>0.66659999999999997</v>
      </c>
      <c r="B31" s="447">
        <v>0.33333299999999999</v>
      </c>
      <c r="C31" s="448">
        <v>6.6699999999999995E-5</v>
      </c>
      <c r="D31" s="444">
        <f>LN(A$31)</f>
        <v>-0.4055651131084978</v>
      </c>
      <c r="E31" s="444">
        <f>LN(B$31)</f>
        <v>-1.0986132886686097</v>
      </c>
      <c r="F31" s="444">
        <f>LN(C$31)</f>
        <v>-9.6153056050426962</v>
      </c>
      <c r="G31" s="444">
        <f t="shared" si="7"/>
        <v>-0.27034970439812461</v>
      </c>
      <c r="H31" s="444">
        <f t="shared" si="6"/>
        <v>-0.36620406335177369</v>
      </c>
      <c r="I31" s="444">
        <f t="shared" si="6"/>
        <v>-6.4134088385634782E-4</v>
      </c>
      <c r="J31" s="24">
        <f t="shared" si="8"/>
        <v>-0.63719510863375461</v>
      </c>
      <c r="K31" s="444">
        <f t="shared" si="9"/>
        <v>0.57999998289319243</v>
      </c>
      <c r="L31" s="444">
        <f t="shared" si="10"/>
        <v>0.42000001710680757</v>
      </c>
      <c r="M31" s="444">
        <f t="shared" si="11"/>
        <v>7.68826187605606E-2</v>
      </c>
      <c r="N31" s="444"/>
      <c r="O31" s="444"/>
      <c r="P31" s="444"/>
      <c r="Q31" s="444"/>
      <c r="R31" s="444"/>
      <c r="S31" s="444"/>
      <c r="T31" s="444"/>
      <c r="U31" s="444"/>
      <c r="V31" s="444"/>
      <c r="W31" s="444"/>
      <c r="X31" s="444"/>
    </row>
    <row r="32" spans="1:26">
      <c r="A32" s="444"/>
      <c r="B32" s="444"/>
      <c r="C32" s="444"/>
      <c r="D32" s="444"/>
      <c r="E32" s="444"/>
      <c r="F32" s="444"/>
      <c r="G32" s="444"/>
      <c r="H32" s="444"/>
      <c r="I32" s="444"/>
      <c r="J32" s="444"/>
      <c r="K32" s="444"/>
      <c r="L32" s="444">
        <f>SUM(L20:L31)</f>
        <v>5.462873454074642</v>
      </c>
      <c r="M32" s="444">
        <f>SUM(M20:M31)</f>
        <v>1.0000000000000002</v>
      </c>
      <c r="N32" s="444"/>
      <c r="O32" s="444"/>
      <c r="P32" s="444"/>
      <c r="Q32" s="444"/>
      <c r="R32" s="444"/>
      <c r="S32" s="444"/>
      <c r="T32" s="444"/>
      <c r="U32" s="444"/>
      <c r="V32" s="444"/>
      <c r="W32" s="444"/>
      <c r="X32" s="444"/>
    </row>
    <row r="33" spans="1:24">
      <c r="A33" s="444"/>
      <c r="B33" s="444"/>
      <c r="C33" s="444"/>
      <c r="D33" s="444"/>
      <c r="E33" s="444"/>
      <c r="F33" s="444"/>
      <c r="G33" s="444"/>
      <c r="H33" s="444"/>
      <c r="I33" s="444"/>
      <c r="J33" s="444"/>
      <c r="K33" s="444"/>
      <c r="L33" s="444"/>
      <c r="M33" s="444"/>
      <c r="N33" s="444"/>
      <c r="O33" s="444"/>
      <c r="P33" s="444"/>
      <c r="Q33" s="444"/>
      <c r="R33" s="444"/>
      <c r="S33" s="444"/>
      <c r="T33" s="444"/>
      <c r="U33" s="444"/>
      <c r="V33" s="444"/>
      <c r="W33" s="444"/>
      <c r="X33" s="444"/>
    </row>
    <row r="34" spans="1:24">
      <c r="A34" s="444"/>
      <c r="B34" s="444"/>
      <c r="C34" s="444"/>
      <c r="D34" s="444"/>
      <c r="E34" s="444"/>
      <c r="F34" s="444"/>
      <c r="G34" s="444"/>
      <c r="H34" s="444"/>
      <c r="I34" s="444"/>
      <c r="J34" s="444"/>
      <c r="K34" s="444"/>
      <c r="L34" s="444"/>
      <c r="M34" s="444"/>
      <c r="N34" s="444"/>
      <c r="O34" s="444"/>
      <c r="P34" s="444"/>
      <c r="Q34" s="444"/>
      <c r="R34" s="444"/>
      <c r="S34" s="444"/>
      <c r="T34" s="444"/>
      <c r="U34" s="444"/>
      <c r="V34" s="444"/>
      <c r="W34" s="444"/>
      <c r="X34" s="444"/>
    </row>
    <row r="38" spans="1:24" s="441" customFormat="1">
      <c r="A38" s="440"/>
      <c r="B38" s="440"/>
      <c r="C38" s="440"/>
      <c r="D38" s="440"/>
      <c r="E38" s="440"/>
      <c r="F38" s="440"/>
      <c r="G38" s="440"/>
      <c r="H38" s="437" t="s">
        <v>406</v>
      </c>
      <c r="I38" s="437"/>
      <c r="J38" s="437"/>
      <c r="K38" s="437" t="s">
        <v>407</v>
      </c>
      <c r="L38" s="437"/>
      <c r="M38" s="437"/>
      <c r="N38" s="437"/>
      <c r="O38" s="437" t="s">
        <v>408</v>
      </c>
      <c r="P38" s="437"/>
      <c r="Q38" s="437"/>
      <c r="R38" s="440"/>
      <c r="S38" s="440"/>
      <c r="T38" s="440"/>
      <c r="U38" s="440"/>
      <c r="V38" s="440"/>
      <c r="W38" s="440"/>
      <c r="X38" s="440"/>
    </row>
    <row r="39" spans="1:24" s="441" customFormat="1">
      <c r="B39" s="441" t="s">
        <v>435</v>
      </c>
      <c r="C39" s="441" t="s">
        <v>436</v>
      </c>
      <c r="D39" s="441" t="s">
        <v>437</v>
      </c>
      <c r="E39" s="441" t="s">
        <v>177</v>
      </c>
      <c r="F39" s="441" t="s">
        <v>178</v>
      </c>
      <c r="G39" s="440" t="s">
        <v>414</v>
      </c>
      <c r="H39" s="441" t="s">
        <v>435</v>
      </c>
      <c r="I39" s="441" t="s">
        <v>436</v>
      </c>
      <c r="J39" s="441" t="s">
        <v>437</v>
      </c>
      <c r="K39" s="441" t="s">
        <v>435</v>
      </c>
      <c r="L39" s="441" t="s">
        <v>436</v>
      </c>
      <c r="M39" s="441" t="s">
        <v>437</v>
      </c>
      <c r="N39" s="441" t="s">
        <v>60</v>
      </c>
      <c r="O39" s="441" t="s">
        <v>435</v>
      </c>
      <c r="P39" s="441" t="s">
        <v>436</v>
      </c>
      <c r="Q39" s="441" t="s">
        <v>437</v>
      </c>
    </row>
    <row r="40" spans="1:24">
      <c r="A40" s="441" t="s">
        <v>269</v>
      </c>
      <c r="B40" s="445">
        <v>30750</v>
      </c>
      <c r="C40" s="445">
        <v>17900</v>
      </c>
      <c r="D40" s="445">
        <v>19870</v>
      </c>
      <c r="E40" s="445">
        <v>30750</v>
      </c>
      <c r="F40" s="445">
        <v>17900</v>
      </c>
      <c r="G40" s="445">
        <v>12850</v>
      </c>
      <c r="H40" s="445">
        <v>0</v>
      </c>
      <c r="I40" s="445">
        <v>1</v>
      </c>
      <c r="J40" s="445">
        <v>0.84669260700389104</v>
      </c>
      <c r="K40" s="445">
        <v>1E-4</v>
      </c>
      <c r="L40" s="445">
        <v>1.0001</v>
      </c>
      <c r="M40" s="445">
        <v>0.84679260700389103</v>
      </c>
      <c r="N40" s="445">
        <v>1.8469926070038909</v>
      </c>
      <c r="O40" s="445">
        <v>5.4142068366053478E-5</v>
      </c>
      <c r="P40" s="445">
        <v>0.54147482572890082</v>
      </c>
      <c r="Q40" s="445">
        <v>0.45847103220273322</v>
      </c>
    </row>
    <row r="41" spans="1:24">
      <c r="A41" s="441" t="s">
        <v>438</v>
      </c>
      <c r="B41" s="445">
        <v>0.193</v>
      </c>
      <c r="C41" s="445">
        <v>0.2041</v>
      </c>
      <c r="D41" s="445">
        <v>0.1928</v>
      </c>
      <c r="E41" s="445">
        <v>0.2041</v>
      </c>
      <c r="F41" s="445">
        <v>0.1928</v>
      </c>
      <c r="G41" s="445">
        <v>1.1300000000000004E-2</v>
      </c>
      <c r="H41" s="445">
        <v>1.7699115044248287E-2</v>
      </c>
      <c r="I41" s="445">
        <v>1</v>
      </c>
      <c r="J41" s="445">
        <v>0</v>
      </c>
      <c r="K41" s="445">
        <v>1.7799115044248286E-2</v>
      </c>
      <c r="L41" s="445">
        <v>1.0001</v>
      </c>
      <c r="M41" s="445">
        <v>1E-4</v>
      </c>
      <c r="N41" s="445">
        <v>1.0179991150442482</v>
      </c>
      <c r="O41" s="445">
        <v>1.7484411117071188E-2</v>
      </c>
      <c r="P41" s="445">
        <v>0.98241735697042309</v>
      </c>
      <c r="Q41" s="445">
        <v>9.8231912505791728E-5</v>
      </c>
    </row>
    <row r="42" spans="1:24">
      <c r="A42" s="441" t="s">
        <v>439</v>
      </c>
      <c r="B42" s="445">
        <v>4</v>
      </c>
      <c r="C42" s="445">
        <v>2</v>
      </c>
      <c r="D42" s="445">
        <v>1</v>
      </c>
      <c r="E42" s="445">
        <v>4</v>
      </c>
      <c r="F42" s="445">
        <v>1</v>
      </c>
      <c r="G42" s="445">
        <v>3</v>
      </c>
      <c r="H42" s="445">
        <v>1</v>
      </c>
      <c r="I42" s="445">
        <v>0.33333333333333331</v>
      </c>
      <c r="J42" s="445">
        <v>0</v>
      </c>
      <c r="K42" s="445">
        <v>1.0001</v>
      </c>
      <c r="L42" s="445">
        <v>0.3334333333333333</v>
      </c>
      <c r="M42" s="445">
        <v>1E-4</v>
      </c>
      <c r="N42" s="445">
        <v>1.3336333333333332</v>
      </c>
      <c r="O42" s="445">
        <v>0.74990627108900498</v>
      </c>
      <c r="P42" s="445">
        <v>0.25001874578219901</v>
      </c>
      <c r="Q42" s="445">
        <v>7.498312879602091E-5</v>
      </c>
    </row>
    <row r="43" spans="1:24">
      <c r="A43" s="441" t="s">
        <v>440</v>
      </c>
      <c r="B43" s="445">
        <v>28.612300000000001</v>
      </c>
      <c r="C43" s="445">
        <v>26.858000000000001</v>
      </c>
      <c r="D43" s="445">
        <v>24.898599999999998</v>
      </c>
      <c r="E43" s="445">
        <v>28.612300000000001</v>
      </c>
      <c r="F43" s="445">
        <v>24.898599999999998</v>
      </c>
      <c r="G43" s="445">
        <v>3.7137000000000029</v>
      </c>
      <c r="H43" s="445">
        <v>0</v>
      </c>
      <c r="I43" s="445">
        <v>0.47238603010474711</v>
      </c>
      <c r="J43" s="445">
        <v>1</v>
      </c>
      <c r="K43" s="445">
        <v>1E-4</v>
      </c>
      <c r="L43" s="445">
        <v>0.4724860301047471</v>
      </c>
      <c r="M43" s="445">
        <v>1.0001</v>
      </c>
      <c r="N43" s="445">
        <v>1.4726860301047471</v>
      </c>
      <c r="O43" s="445">
        <v>6.7903136144292309E-5</v>
      </c>
      <c r="P43" s="445">
        <v>0.32083283228478837</v>
      </c>
      <c r="Q43" s="445">
        <v>0.67909926457906733</v>
      </c>
    </row>
    <row r="44" spans="1:24">
      <c r="A44" s="441" t="s">
        <v>275</v>
      </c>
      <c r="B44" s="445">
        <v>1707.3173380000001</v>
      </c>
      <c r="C44" s="445">
        <v>51.748532699999998</v>
      </c>
      <c r="D44" s="445">
        <v>45.166980800000005</v>
      </c>
      <c r="E44" s="445">
        <v>1707.3173380000001</v>
      </c>
      <c r="F44" s="445">
        <v>45.166980800000005</v>
      </c>
      <c r="G44" s="445">
        <v>1662.1503572000001</v>
      </c>
      <c r="H44" s="445">
        <v>0</v>
      </c>
      <c r="I44" s="445">
        <v>0.99604033902739875</v>
      </c>
      <c r="J44" s="445">
        <v>1</v>
      </c>
      <c r="K44" s="445">
        <v>1E-4</v>
      </c>
      <c r="L44" s="445">
        <v>0.99614033902739874</v>
      </c>
      <c r="M44" s="445">
        <v>1.0001</v>
      </c>
      <c r="N44" s="445">
        <v>1.9963403390273986</v>
      </c>
      <c r="O44" s="445">
        <v>5.0091659245196246E-5</v>
      </c>
      <c r="P44" s="445">
        <v>0.49898322422954722</v>
      </c>
      <c r="Q44" s="445">
        <v>0.50096668411120771</v>
      </c>
    </row>
    <row r="45" spans="1:24">
      <c r="A45" s="441" t="s">
        <v>441</v>
      </c>
      <c r="B45" s="445">
        <v>868.91732000000002</v>
      </c>
      <c r="C45" s="445">
        <v>26.954984</v>
      </c>
      <c r="D45" s="445">
        <v>23.372024</v>
      </c>
      <c r="E45" s="445">
        <v>868.91732000000002</v>
      </c>
      <c r="F45" s="445">
        <v>23.372024</v>
      </c>
      <c r="G45" s="445">
        <v>845.54529600000001</v>
      </c>
      <c r="H45" s="445">
        <v>0</v>
      </c>
      <c r="I45" s="445">
        <v>0.99576254516824847</v>
      </c>
      <c r="J45" s="445">
        <v>1</v>
      </c>
      <c r="K45" s="445">
        <v>1E-4</v>
      </c>
      <c r="L45" s="445">
        <v>0.99586254516824846</v>
      </c>
      <c r="M45" s="445">
        <v>1.0001</v>
      </c>
      <c r="N45" s="445">
        <v>1.9960625451682485</v>
      </c>
      <c r="O45" s="445">
        <v>5.0098630547456608E-5</v>
      </c>
      <c r="P45" s="445">
        <v>0.49891349726433898</v>
      </c>
      <c r="Q45" s="445">
        <v>0.50103640410511352</v>
      </c>
    </row>
    <row r="46" spans="1:24">
      <c r="A46" s="441" t="s">
        <v>442</v>
      </c>
      <c r="B46" s="445">
        <v>6810.1871489999994</v>
      </c>
      <c r="C46" s="445">
        <v>213.63751679999999</v>
      </c>
      <c r="D46" s="445">
        <v>188.29157000000001</v>
      </c>
      <c r="E46" s="445">
        <v>6810.1871489999994</v>
      </c>
      <c r="F46" s="445">
        <v>188.29157000000001</v>
      </c>
      <c r="G46" s="445">
        <v>6621.8955789999991</v>
      </c>
      <c r="H46" s="445">
        <v>0</v>
      </c>
      <c r="I46" s="445">
        <v>0.99617240312873856</v>
      </c>
      <c r="J46" s="445">
        <v>1</v>
      </c>
      <c r="K46" s="445">
        <v>1E-4</v>
      </c>
      <c r="L46" s="445">
        <v>0.99627240312873855</v>
      </c>
      <c r="M46" s="445">
        <v>1.0001</v>
      </c>
      <c r="N46" s="445">
        <v>1.9964724031287386</v>
      </c>
      <c r="O46" s="445">
        <v>5.0088345745869894E-5</v>
      </c>
      <c r="P46" s="445">
        <v>0.4990163658498093</v>
      </c>
      <c r="Q46" s="445">
        <v>0.50093354580444482</v>
      </c>
    </row>
    <row r="47" spans="1:24">
      <c r="A47" s="441" t="s">
        <v>443</v>
      </c>
      <c r="B47" s="445">
        <v>1</v>
      </c>
      <c r="C47" s="445">
        <v>2</v>
      </c>
      <c r="D47" s="445">
        <v>4</v>
      </c>
      <c r="E47" s="445">
        <v>4</v>
      </c>
      <c r="F47" s="445">
        <v>1</v>
      </c>
      <c r="G47" s="445">
        <v>3</v>
      </c>
      <c r="H47" s="445">
        <v>0</v>
      </c>
      <c r="I47" s="445">
        <v>0.66666666666666663</v>
      </c>
      <c r="J47" s="445">
        <v>0</v>
      </c>
      <c r="K47" s="445">
        <v>1E-4</v>
      </c>
      <c r="L47" s="445">
        <v>0.66676666666666662</v>
      </c>
      <c r="M47" s="445">
        <v>1E-4</v>
      </c>
      <c r="N47" s="445">
        <v>0.6669666666666666</v>
      </c>
      <c r="O47" s="445">
        <v>1.4993253036133742E-4</v>
      </c>
      <c r="P47" s="445">
        <v>0.99970013493927734</v>
      </c>
      <c r="Q47" s="445">
        <v>1.4993253036133742E-4</v>
      </c>
    </row>
    <row r="48" spans="1:24">
      <c r="A48" s="441" t="s">
        <v>444</v>
      </c>
      <c r="B48" s="445">
        <v>6.8350879999999998</v>
      </c>
      <c r="C48" s="445">
        <v>0.20773522</v>
      </c>
      <c r="D48" s="445">
        <v>0.18170628999999999</v>
      </c>
      <c r="E48" s="445">
        <v>6.8350879999999998</v>
      </c>
      <c r="F48" s="445">
        <v>0.18170628999999999</v>
      </c>
      <c r="G48" s="445">
        <v>6.6533817099999997</v>
      </c>
      <c r="H48" s="445">
        <v>0</v>
      </c>
      <c r="I48" s="445">
        <v>0.99608786461764576</v>
      </c>
      <c r="J48" s="445">
        <v>1</v>
      </c>
      <c r="K48" s="445">
        <v>1E-4</v>
      </c>
      <c r="L48" s="445">
        <v>0.99618786461764575</v>
      </c>
      <c r="M48" s="445">
        <v>1.0001</v>
      </c>
      <c r="N48" s="445">
        <v>1.9963878646176458</v>
      </c>
      <c r="O48" s="445">
        <v>5.0090466773675914E-5</v>
      </c>
      <c r="P48" s="445">
        <v>0.49899515132969346</v>
      </c>
      <c r="Q48" s="445">
        <v>0.50095475820353286</v>
      </c>
    </row>
    <row r="49" spans="1:24">
      <c r="A49" s="441" t="s">
        <v>445</v>
      </c>
      <c r="B49" s="445">
        <v>225.43429</v>
      </c>
      <c r="C49" s="445">
        <v>1.6416162000000001</v>
      </c>
      <c r="D49" s="445">
        <v>1.4483440000000001</v>
      </c>
      <c r="E49" s="445">
        <v>225.43429</v>
      </c>
      <c r="F49" s="445">
        <v>1.4483440000000001</v>
      </c>
      <c r="G49" s="445">
        <v>223.98594600000001</v>
      </c>
      <c r="H49" s="445">
        <v>0</v>
      </c>
      <c r="I49" s="445">
        <v>0.99913712354077788</v>
      </c>
      <c r="J49" s="445">
        <v>1</v>
      </c>
      <c r="K49" s="445">
        <v>1E-4</v>
      </c>
      <c r="L49" s="445">
        <v>0.99923712354077787</v>
      </c>
      <c r="M49" s="445">
        <v>1.0001</v>
      </c>
      <c r="N49" s="445">
        <v>1.999437123540778</v>
      </c>
      <c r="O49" s="445">
        <v>5.0014075872969324E-5</v>
      </c>
      <c r="P49" s="445">
        <v>0.49975921311856081</v>
      </c>
      <c r="Q49" s="445">
        <v>0.50019077280556612</v>
      </c>
    </row>
    <row r="50" spans="1:24">
      <c r="B50" s="445">
        <v>6.8350879999999998</v>
      </c>
      <c r="C50" s="445">
        <v>0.20773522</v>
      </c>
      <c r="D50" s="445">
        <v>0.18170628999999999</v>
      </c>
    </row>
    <row r="52" spans="1:24">
      <c r="J52" s="445">
        <v>1.0986122886681098</v>
      </c>
      <c r="K52" s="445">
        <v>-0.91023922662683732</v>
      </c>
    </row>
    <row r="53" spans="1:24">
      <c r="A53" s="440" t="s">
        <v>427</v>
      </c>
      <c r="B53" s="440"/>
      <c r="C53" s="440"/>
      <c r="D53" s="440" t="s">
        <v>428</v>
      </c>
      <c r="E53" s="440"/>
      <c r="F53" s="440"/>
      <c r="G53" s="440" t="s">
        <v>429</v>
      </c>
      <c r="H53" s="440"/>
      <c r="I53" s="440"/>
      <c r="J53" s="440"/>
      <c r="K53" s="440"/>
      <c r="L53" s="440"/>
      <c r="M53" s="440"/>
    </row>
    <row r="54" spans="1:24" s="441" customFormat="1">
      <c r="A54" s="441" t="s">
        <v>435</v>
      </c>
      <c r="B54" s="441" t="s">
        <v>436</v>
      </c>
      <c r="C54" s="441" t="s">
        <v>437</v>
      </c>
      <c r="D54" s="441" t="s">
        <v>435</v>
      </c>
      <c r="E54" s="441" t="s">
        <v>436</v>
      </c>
      <c r="F54" s="441" t="s">
        <v>437</v>
      </c>
      <c r="G54" s="441" t="s">
        <v>435</v>
      </c>
      <c r="H54" s="441" t="s">
        <v>436</v>
      </c>
      <c r="I54" s="441" t="s">
        <v>437</v>
      </c>
      <c r="J54" s="441" t="s">
        <v>60</v>
      </c>
      <c r="K54" s="441" t="s">
        <v>446</v>
      </c>
      <c r="L54" s="441" t="s">
        <v>447</v>
      </c>
      <c r="M54" s="441" t="s">
        <v>448</v>
      </c>
      <c r="O54" s="445">
        <v>5.4142068366053478E-5</v>
      </c>
      <c r="P54" s="445">
        <v>1.7484411117071188E-2</v>
      </c>
      <c r="Q54" s="445">
        <v>0.74990627108900498</v>
      </c>
      <c r="R54" s="445">
        <v>6.7903136144292309E-5</v>
      </c>
      <c r="S54" s="445">
        <v>5.0091659245196246E-5</v>
      </c>
      <c r="T54" s="445">
        <v>5.0098630547456608E-5</v>
      </c>
      <c r="U54" s="445">
        <v>5.0088345745869894E-5</v>
      </c>
      <c r="V54" s="445">
        <v>1.4993253036133742E-4</v>
      </c>
      <c r="W54" s="445">
        <v>5.0090466773675914E-5</v>
      </c>
      <c r="X54" s="445">
        <v>5.0014075872969324E-5</v>
      </c>
    </row>
    <row r="55" spans="1:24">
      <c r="A55" s="445">
        <v>5.4142068366053478E-5</v>
      </c>
      <c r="B55" s="445">
        <v>0.54147482572890082</v>
      </c>
      <c r="C55" s="445">
        <v>0.45847103220273322</v>
      </c>
      <c r="D55" s="445">
        <v>-9.8238990704802891</v>
      </c>
      <c r="E55" s="445">
        <v>-0.61345870350377274</v>
      </c>
      <c r="F55" s="445">
        <v>-0.77985816877392877</v>
      </c>
      <c r="G55" s="445">
        <v>-5.3188621509515303E-4</v>
      </c>
      <c r="H55" s="445">
        <v>-0.33217244457158279</v>
      </c>
      <c r="I55" s="445">
        <v>-0.35754237960951646</v>
      </c>
      <c r="J55" s="445">
        <v>-0.69024671039619445</v>
      </c>
      <c r="K55" s="445">
        <v>0.62828963185275055</v>
      </c>
      <c r="L55" s="445">
        <v>0.37171036814724945</v>
      </c>
      <c r="M55" s="445">
        <v>7.3655582801581479E-2</v>
      </c>
      <c r="O55" s="445">
        <v>0.54147482572890082</v>
      </c>
      <c r="P55" s="445">
        <v>0.98241735697042309</v>
      </c>
      <c r="Q55" s="445">
        <v>0.25001874578219901</v>
      </c>
      <c r="R55" s="445">
        <v>0.32083283228478837</v>
      </c>
      <c r="S55" s="445">
        <v>0.49898322422954722</v>
      </c>
      <c r="T55" s="445">
        <v>0.49891349726433898</v>
      </c>
      <c r="U55" s="445">
        <v>0.4990163658498093</v>
      </c>
      <c r="V55" s="445">
        <v>0.99970013493927734</v>
      </c>
      <c r="W55" s="445">
        <v>0.49899515132969346</v>
      </c>
      <c r="X55" s="445">
        <v>0.49975921311856081</v>
      </c>
    </row>
    <row r="56" spans="1:24">
      <c r="A56" s="445">
        <v>1.7484411117071188E-2</v>
      </c>
      <c r="B56" s="445">
        <v>0.98241735697042309</v>
      </c>
      <c r="C56" s="445">
        <v>9.8231912505791728E-5</v>
      </c>
      <c r="D56" s="445">
        <v>-4.0464455883550237</v>
      </c>
      <c r="E56" s="445">
        <v>-1.7739053819415727E-2</v>
      </c>
      <c r="F56" s="445">
        <v>-9.2281794207959322</v>
      </c>
      <c r="G56" s="445">
        <v>-7.074971822965824E-2</v>
      </c>
      <c r="H56" s="445">
        <v>-1.7427154368426487E-2</v>
      </c>
      <c r="I56" s="445">
        <v>-9.0650171345137381E-4</v>
      </c>
      <c r="J56" s="445">
        <v>-8.9083374311536095E-2</v>
      </c>
      <c r="K56" s="445">
        <v>8.1087181738641684E-2</v>
      </c>
      <c r="L56" s="445">
        <v>0.91891281826135829</v>
      </c>
      <c r="M56" s="445">
        <v>0.18208547560898836</v>
      </c>
      <c r="O56" s="445">
        <v>0.45847103220273322</v>
      </c>
      <c r="P56" s="445">
        <v>9.8231912505791728E-5</v>
      </c>
      <c r="Q56" s="445">
        <v>7.498312879602091E-5</v>
      </c>
      <c r="R56" s="445">
        <v>0.67909926457906733</v>
      </c>
      <c r="S56" s="445">
        <v>0.50096668411120771</v>
      </c>
      <c r="T56" s="445">
        <v>0.50103640410511352</v>
      </c>
      <c r="U56" s="445">
        <v>0.50093354580444482</v>
      </c>
      <c r="V56" s="445">
        <v>1.4993253036133742E-4</v>
      </c>
      <c r="W56" s="445">
        <v>0.50095475820353286</v>
      </c>
      <c r="X56" s="445">
        <v>0.50019077280556612</v>
      </c>
    </row>
    <row r="57" spans="1:24">
      <c r="A57" s="445">
        <v>0.74990627108900498</v>
      </c>
      <c r="B57" s="445">
        <v>0.25001874578219901</v>
      </c>
      <c r="C57" s="445">
        <v>7.498312879602091E-5</v>
      </c>
      <c r="D57" s="445">
        <v>-0.28780705214274382</v>
      </c>
      <c r="E57" s="445">
        <v>-1.3862193808021888</v>
      </c>
      <c r="F57" s="445">
        <v>-9.4982474191192594</v>
      </c>
      <c r="G57" s="445">
        <v>-0.21582831326548385</v>
      </c>
      <c r="H57" s="445">
        <v>-0.34658083096713976</v>
      </c>
      <c r="I57" s="445">
        <v>-7.1220830956429258E-4</v>
      </c>
      <c r="J57" s="445">
        <v>-0.56312135254218787</v>
      </c>
      <c r="K57" s="445">
        <v>0.51257514443505969</v>
      </c>
      <c r="L57" s="445">
        <v>0.48742485556494031</v>
      </c>
      <c r="M57" s="445">
        <v>9.6584773751563213E-2</v>
      </c>
    </row>
    <row r="58" spans="1:24">
      <c r="A58" s="445">
        <v>6.7903136144292309E-5</v>
      </c>
      <c r="B58" s="445">
        <v>0.32083283228478837</v>
      </c>
      <c r="C58" s="445">
        <v>0.67909926457906733</v>
      </c>
      <c r="D58" s="445">
        <v>-9.5974283367741613</v>
      </c>
      <c r="E58" s="445">
        <v>-1.1368350631992774</v>
      </c>
      <c r="F58" s="445">
        <v>-0.38698796979764516</v>
      </c>
      <c r="G58" s="445">
        <v>-6.5169548298706472E-4</v>
      </c>
      <c r="H58" s="445">
        <v>-0.36473401316688053</v>
      </c>
      <c r="I58" s="445">
        <v>-0.26280324569052715</v>
      </c>
      <c r="J58" s="445">
        <v>-0.62818895434039468</v>
      </c>
      <c r="K58" s="445">
        <v>0.57180222797432245</v>
      </c>
      <c r="L58" s="445">
        <v>0.42819777202567755</v>
      </c>
      <c r="M58" s="445">
        <v>8.4848740190093572E-2</v>
      </c>
    </row>
    <row r="59" spans="1:24">
      <c r="A59" s="445">
        <v>5.0091659245196246E-5</v>
      </c>
      <c r="B59" s="445">
        <v>0.49898322422954722</v>
      </c>
      <c r="C59" s="445">
        <v>0.50096668411120771</v>
      </c>
      <c r="D59" s="445">
        <v>-9.9016560458649554</v>
      </c>
      <c r="E59" s="445">
        <v>-0.69518280257420473</v>
      </c>
      <c r="F59" s="445">
        <v>-0.69121567888843871</v>
      </c>
      <c r="G59" s="445">
        <v>-4.9599038061260456E-4</v>
      </c>
      <c r="H59" s="445">
        <v>-0.34688455625740944</v>
      </c>
      <c r="I59" s="445">
        <v>-0.34627602665841845</v>
      </c>
      <c r="J59" s="445">
        <v>-0.69365657329644048</v>
      </c>
      <c r="K59" s="445">
        <v>0.63139342282197408</v>
      </c>
      <c r="L59" s="445">
        <v>0.36860657717802592</v>
      </c>
      <c r="M59" s="445">
        <v>7.3040556823500927E-2</v>
      </c>
    </row>
    <row r="60" spans="1:24">
      <c r="A60" s="445">
        <v>5.0098630547456608E-5</v>
      </c>
      <c r="B60" s="445">
        <v>0.49891349726433898</v>
      </c>
      <c r="C60" s="445">
        <v>0.50103640410511352</v>
      </c>
      <c r="D60" s="445">
        <v>-9.9015168846291495</v>
      </c>
      <c r="E60" s="445">
        <v>-0.69532255043351687</v>
      </c>
      <c r="F60" s="445">
        <v>-0.69107651765263367</v>
      </c>
      <c r="G60" s="445">
        <v>-4.9605243626243934E-4</v>
      </c>
      <c r="H60" s="445">
        <v>-0.34690580536354565</v>
      </c>
      <c r="I60" s="445">
        <v>-0.3462544933661596</v>
      </c>
      <c r="J60" s="445">
        <v>-0.69365635116596769</v>
      </c>
      <c r="K60" s="445">
        <v>0.63139322063010428</v>
      </c>
      <c r="L60" s="445">
        <v>0.36860677936989572</v>
      </c>
      <c r="M60" s="445">
        <v>7.3040596888458181E-2</v>
      </c>
    </row>
    <row r="61" spans="1:24">
      <c r="A61" s="445">
        <v>5.0088345745869894E-5</v>
      </c>
      <c r="B61" s="445">
        <v>0.4990163658498093</v>
      </c>
      <c r="C61" s="445">
        <v>0.50093354580444482</v>
      </c>
      <c r="D61" s="445">
        <v>-9.9017221967765643</v>
      </c>
      <c r="E61" s="445">
        <v>-0.69511638647423091</v>
      </c>
      <c r="F61" s="445">
        <v>-0.69128182980004749</v>
      </c>
      <c r="G61" s="445">
        <v>-4.9596088487169896E-4</v>
      </c>
      <c r="H61" s="445">
        <v>-0.34687445302102227</v>
      </c>
      <c r="I61" s="445">
        <v>-0.34628625815192254</v>
      </c>
      <c r="J61" s="445">
        <v>-0.69365667205781656</v>
      </c>
      <c r="K61" s="445">
        <v>0.63139351271845268</v>
      </c>
      <c r="L61" s="445">
        <v>0.36860648728154732</v>
      </c>
      <c r="M61" s="445">
        <v>7.304053901022993E-2</v>
      </c>
    </row>
    <row r="62" spans="1:24">
      <c r="A62" s="445">
        <v>1.4993253036133742E-4</v>
      </c>
      <c r="B62" s="445">
        <v>0.99970013493927734</v>
      </c>
      <c r="C62" s="445">
        <v>1.4993253036133742E-4</v>
      </c>
      <c r="D62" s="445">
        <v>-8.8053251626483835</v>
      </c>
      <c r="E62" s="445">
        <v>-2.9991002923986326E-4</v>
      </c>
      <c r="F62" s="445">
        <v>-8.8053251626483835</v>
      </c>
      <c r="G62" s="445">
        <v>-1.3202046822902271E-3</v>
      </c>
      <c r="H62" s="445">
        <v>-2.9982009670073391E-4</v>
      </c>
      <c r="I62" s="445">
        <v>-1.3202046822902271E-3</v>
      </c>
      <c r="J62" s="445">
        <v>-2.9402294612811881E-3</v>
      </c>
      <c r="K62" s="445">
        <v>2.676312190942031E-3</v>
      </c>
      <c r="L62" s="445">
        <v>0.997323687809058</v>
      </c>
      <c r="M62" s="445">
        <v>0.19762283692420121</v>
      </c>
    </row>
    <row r="63" spans="1:24">
      <c r="A63" s="445">
        <v>5.0090466773675914E-5</v>
      </c>
      <c r="B63" s="445">
        <v>0.49899515132969346</v>
      </c>
      <c r="C63" s="445">
        <v>0.50095475820353286</v>
      </c>
      <c r="D63" s="445">
        <v>-9.9016798519383098</v>
      </c>
      <c r="E63" s="445">
        <v>-0.69515890005198788</v>
      </c>
      <c r="F63" s="445">
        <v>-0.69123948496179277</v>
      </c>
      <c r="G63" s="445">
        <v>-4.9597976562709212E-4</v>
      </c>
      <c r="H63" s="445">
        <v>-0.34688092052962494</v>
      </c>
      <c r="I63" s="445">
        <v>-0.34627970904976946</v>
      </c>
      <c r="J63" s="445">
        <v>-0.69365660934502149</v>
      </c>
      <c r="K63" s="445">
        <v>0.63139345563480653</v>
      </c>
      <c r="L63" s="445">
        <v>0.36860654436519347</v>
      </c>
      <c r="M63" s="445">
        <v>7.30405503215346E-2</v>
      </c>
    </row>
    <row r="64" spans="1:24">
      <c r="A64" s="445">
        <v>5.0014075872969324E-5</v>
      </c>
      <c r="B64" s="445">
        <v>0.49975921311856081</v>
      </c>
      <c r="C64" s="445">
        <v>0.50019077280556612</v>
      </c>
      <c r="D64" s="445">
        <v>-9.9032060746953459</v>
      </c>
      <c r="E64" s="445">
        <v>-0.6936288703167095</v>
      </c>
      <c r="F64" s="445">
        <v>-0.69276570771883028</v>
      </c>
      <c r="G64" s="445">
        <v>-4.9529970000546379E-4</v>
      </c>
      <c r="H64" s="445">
        <v>-0.346647418425795</v>
      </c>
      <c r="I64" s="445">
        <v>-0.34651501471707669</v>
      </c>
      <c r="J64" s="445">
        <v>-0.69365773284287713</v>
      </c>
      <c r="K64" s="445">
        <v>0.63139447828662576</v>
      </c>
      <c r="L64" s="445">
        <v>0.36860552171337424</v>
      </c>
      <c r="M64" s="445">
        <v>7.3040347679848489E-2</v>
      </c>
    </row>
    <row r="65" spans="12:13">
      <c r="L65" s="445">
        <v>5.0466014117163205</v>
      </c>
      <c r="M65" s="445">
        <v>0.99999999999999989</v>
      </c>
    </row>
  </sheetData>
  <mergeCells count="6">
    <mergeCell ref="H1:J1"/>
    <mergeCell ref="K1:N1"/>
    <mergeCell ref="O1:Q1"/>
    <mergeCell ref="H38:J38"/>
    <mergeCell ref="K38:N38"/>
    <mergeCell ref="O38:Q3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71BB4-37A4-4F1A-9DF9-86B0A28B0461}">
  <dimension ref="A1:W59"/>
  <sheetViews>
    <sheetView tabSelected="1" workbookViewId="0">
      <selection activeCell="G6" sqref="G6"/>
    </sheetView>
  </sheetViews>
  <sheetFormatPr defaultColWidth="8.81640625" defaultRowHeight="14"/>
  <cols>
    <col min="1" max="1" width="11.1796875" style="445" customWidth="1"/>
    <col min="2" max="2" width="14.1796875" style="445" customWidth="1"/>
    <col min="3" max="3" width="11.1796875" style="445" customWidth="1"/>
    <col min="4" max="5" width="17.7265625" style="445" customWidth="1"/>
    <col min="6" max="6" width="10.453125" style="445" customWidth="1"/>
    <col min="7" max="7" width="9" style="445" customWidth="1"/>
    <col min="8" max="14" width="8.81640625" style="445"/>
    <col min="15" max="15" width="9" style="445" bestFit="1" customWidth="1"/>
    <col min="16" max="16384" width="8.81640625" style="445"/>
  </cols>
  <sheetData>
    <row r="1" spans="1:23" ht="28">
      <c r="A1" s="444"/>
      <c r="B1" s="24"/>
      <c r="C1" s="24" t="s">
        <v>449</v>
      </c>
      <c r="D1" s="424" t="s">
        <v>450</v>
      </c>
      <c r="E1" s="424" t="s">
        <v>402</v>
      </c>
      <c r="F1" s="444"/>
      <c r="G1" s="444"/>
      <c r="H1" s="444"/>
      <c r="I1" s="444"/>
      <c r="J1" s="444"/>
    </row>
    <row r="2" spans="1:23">
      <c r="A2" s="444"/>
      <c r="B2" s="24" t="s">
        <v>373</v>
      </c>
      <c r="C2" s="24">
        <f>0.122383880220714</f>
        <v>0.122383880220714</v>
      </c>
      <c r="D2" s="24"/>
      <c r="E2" s="24">
        <v>1.8599999999999998E-2</v>
      </c>
      <c r="F2" s="444"/>
      <c r="G2" s="444"/>
      <c r="H2" s="444"/>
      <c r="I2" s="444"/>
      <c r="J2" s="444"/>
    </row>
    <row r="3" spans="1:23">
      <c r="A3" s="444"/>
      <c r="B3" s="24" t="s">
        <v>354</v>
      </c>
      <c r="C3" s="26">
        <f>0.402340226254651</f>
        <v>0.40234022625465099</v>
      </c>
      <c r="D3" s="24"/>
      <c r="E3" s="24"/>
      <c r="F3" s="444"/>
      <c r="G3" s="444"/>
      <c r="H3" s="444"/>
      <c r="I3" s="444"/>
      <c r="J3" s="444"/>
    </row>
    <row r="4" spans="1:23">
      <c r="A4" s="444"/>
      <c r="B4" s="24" t="s">
        <v>370</v>
      </c>
      <c r="C4" s="26">
        <v>0.29044128327857699</v>
      </c>
      <c r="D4" s="24"/>
      <c r="E4" s="24"/>
      <c r="F4" s="444"/>
      <c r="G4" s="444"/>
      <c r="H4" s="444"/>
      <c r="I4" s="444"/>
      <c r="J4" s="444"/>
    </row>
    <row r="5" spans="1:23" ht="14.5" thickBot="1">
      <c r="A5" s="444"/>
      <c r="B5" s="24" t="s">
        <v>351</v>
      </c>
      <c r="C5" s="26">
        <v>0.18483461024605699</v>
      </c>
      <c r="D5" s="24"/>
      <c r="E5" s="24"/>
      <c r="F5" s="444"/>
      <c r="G5" s="444"/>
      <c r="H5" s="444"/>
      <c r="I5" s="444"/>
      <c r="J5" s="444"/>
      <c r="L5" s="444"/>
      <c r="M5" s="444"/>
      <c r="N5" s="444"/>
      <c r="O5" s="444"/>
      <c r="P5" s="444"/>
      <c r="Q5" s="444"/>
      <c r="R5" s="444"/>
      <c r="S5" s="444"/>
      <c r="T5" s="444"/>
      <c r="U5" s="444"/>
      <c r="V5" s="444"/>
      <c r="W5" s="444"/>
    </row>
    <row r="6" spans="1:23" s="441" customFormat="1" ht="34.9" customHeight="1">
      <c r="A6" s="449" t="s">
        <v>451</v>
      </c>
      <c r="B6" s="450" t="s">
        <v>452</v>
      </c>
      <c r="C6" s="451" t="s">
        <v>453</v>
      </c>
      <c r="D6" s="451" t="s">
        <v>450</v>
      </c>
      <c r="E6" s="452" t="s">
        <v>454</v>
      </c>
      <c r="F6" s="451" t="s">
        <v>455</v>
      </c>
      <c r="G6" s="453" t="s">
        <v>574</v>
      </c>
      <c r="H6" s="440"/>
      <c r="I6" s="440"/>
      <c r="J6" s="440"/>
    </row>
    <row r="7" spans="1:23">
      <c r="A7" s="454" t="s">
        <v>373</v>
      </c>
      <c r="B7" s="455" t="s">
        <v>362</v>
      </c>
      <c r="C7" s="24">
        <v>0.371684356480731</v>
      </c>
      <c r="D7" s="24">
        <f>C$7*$C$2</f>
        <v>4.5488173763450948E-2</v>
      </c>
      <c r="E7" s="438">
        <v>8.7300000000000003E-2</v>
      </c>
      <c r="F7" s="444">
        <v>7.3523336229077002E-2</v>
      </c>
      <c r="G7" s="418">
        <v>6.0722347016690034E-2</v>
      </c>
      <c r="H7" s="444">
        <f>((D7)^0.5*(F7)^0.5)/$J$19</f>
        <v>6.0722347016690048E-2</v>
      </c>
      <c r="I7" s="444"/>
      <c r="J7" s="444">
        <f>(D7)^0.5*(F7)^0.5</f>
        <v>5.7831153317713484E-2</v>
      </c>
      <c r="L7" s="24">
        <v>6.0722347016690034E-2</v>
      </c>
      <c r="M7" s="24">
        <v>4.7863458438085635E-2</v>
      </c>
      <c r="N7" s="24">
        <v>6.0907218160990102E-2</v>
      </c>
      <c r="O7" s="24">
        <v>0.11644927327340268</v>
      </c>
      <c r="P7" s="24">
        <v>8.6335726040847494E-2</v>
      </c>
      <c r="Q7" s="24">
        <v>0.11622602156434794</v>
      </c>
      <c r="R7" s="24">
        <v>0.10664329173733599</v>
      </c>
      <c r="S7" s="24">
        <v>8.3403940987656702E-2</v>
      </c>
      <c r="T7" s="24">
        <v>6.8253936179523286E-2</v>
      </c>
      <c r="U7" s="24">
        <v>8.432985590108745E-2</v>
      </c>
      <c r="V7" s="24">
        <v>0.11004376666156669</v>
      </c>
      <c r="W7" s="24">
        <v>5.8821164038465823E-2</v>
      </c>
    </row>
    <row r="8" spans="1:23">
      <c r="A8" s="454"/>
      <c r="B8" s="455" t="s">
        <v>359</v>
      </c>
      <c r="C8" s="24">
        <v>0.220842251074368</v>
      </c>
      <c r="D8" s="24">
        <f>C$8*$C$2</f>
        <v>2.7027531603158302E-2</v>
      </c>
      <c r="E8" s="438"/>
      <c r="F8" s="444">
        <v>7.6882655653337545E-2</v>
      </c>
      <c r="G8" s="418">
        <v>4.7863458438085635E-2</v>
      </c>
      <c r="H8" s="444">
        <f t="shared" ref="H8:H18" si="0">((D8)^0.5*(F8)^0.5)/$J$19</f>
        <v>4.7863458438085635E-2</v>
      </c>
      <c r="I8" s="444"/>
      <c r="J8" s="444">
        <f t="shared" ref="J8:J18" si="1">(D8)^0.5*(F8)^0.5</f>
        <v>4.5584519361350273E-2</v>
      </c>
    </row>
    <row r="9" spans="1:23">
      <c r="A9" s="454"/>
      <c r="B9" s="455" t="s">
        <v>356</v>
      </c>
      <c r="C9" s="24">
        <v>0.40747339244490099</v>
      </c>
      <c r="D9" s="24">
        <f>C$9*$C$2</f>
        <v>4.9868174854104753E-2</v>
      </c>
      <c r="E9" s="438"/>
      <c r="F9" s="444">
        <v>6.7474653504545845E-2</v>
      </c>
      <c r="G9" s="418">
        <v>6.0907218160990102E-2</v>
      </c>
      <c r="H9" s="444">
        <f t="shared" si="0"/>
        <v>6.0907218160990102E-2</v>
      </c>
      <c r="I9" s="444"/>
      <c r="J9" s="444">
        <f t="shared" si="1"/>
        <v>5.8007222129531626E-2</v>
      </c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spans="1:23">
      <c r="A10" s="454" t="s">
        <v>354</v>
      </c>
      <c r="B10" s="455" t="s">
        <v>347</v>
      </c>
      <c r="C10" s="24">
        <v>0.417624101834628</v>
      </c>
      <c r="D10" s="24">
        <f>C$10*$C$3</f>
        <v>0.16802697562153965</v>
      </c>
      <c r="E10" s="438">
        <v>5.6599999999999998E-2</v>
      </c>
      <c r="F10" s="444">
        <v>7.3201699295288747E-2</v>
      </c>
      <c r="G10" s="418">
        <v>0.11644927327340268</v>
      </c>
      <c r="H10" s="444">
        <f t="shared" si="0"/>
        <v>0.11644927327340268</v>
      </c>
      <c r="I10" s="444"/>
      <c r="J10" s="444">
        <f t="shared" si="1"/>
        <v>0.1109047345380023</v>
      </c>
      <c r="L10" s="444">
        <v>7.3523336229076988E-2</v>
      </c>
      <c r="M10" s="444">
        <v>7.6882655653337545E-2</v>
      </c>
      <c r="N10" s="444">
        <v>6.7474653504545845E-2</v>
      </c>
      <c r="O10" s="444">
        <v>7.3201699295288747E-2</v>
      </c>
      <c r="P10" s="444">
        <v>6.7474653504545845E-2</v>
      </c>
      <c r="Q10" s="444">
        <v>9.1361064514836776E-2</v>
      </c>
      <c r="R10" s="444">
        <v>7.2704479338766184E-2</v>
      </c>
      <c r="S10" s="444">
        <v>7.3423867758908093E-2</v>
      </c>
      <c r="T10" s="444">
        <v>6.7474653504545845E-2</v>
      </c>
      <c r="U10" s="444">
        <v>7.6882655653337545E-2</v>
      </c>
      <c r="V10" s="444">
        <v>0.182713625389473</v>
      </c>
      <c r="W10" s="444">
        <v>7.6882655653337545E-2</v>
      </c>
    </row>
    <row r="11" spans="1:23" ht="14.5" thickBot="1">
      <c r="A11" s="454"/>
      <c r="B11" s="455" t="s">
        <v>343</v>
      </c>
      <c r="C11" s="24">
        <v>0.24904256483203899</v>
      </c>
      <c r="D11" s="24">
        <f>C$11*$C$3</f>
        <v>0.10019984188156116</v>
      </c>
      <c r="E11" s="438"/>
      <c r="F11" s="444">
        <v>6.7474653504545845E-2</v>
      </c>
      <c r="G11" s="418">
        <v>8.6335726040847494E-2</v>
      </c>
      <c r="H11" s="444">
        <f t="shared" si="0"/>
        <v>8.6335726040847494E-2</v>
      </c>
      <c r="I11" s="444"/>
      <c r="J11" s="444">
        <f t="shared" si="1"/>
        <v>8.222499384109809E-2</v>
      </c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416"/>
    </row>
    <row r="12" spans="1:23" ht="14.5" thickBot="1">
      <c r="A12" s="454"/>
      <c r="B12" s="455" t="s">
        <v>340</v>
      </c>
      <c r="C12" s="24">
        <v>0.33333333333333298</v>
      </c>
      <c r="D12" s="24">
        <f>C$12*$C$3</f>
        <v>0.1341134087515502</v>
      </c>
      <c r="E12" s="438"/>
      <c r="F12" s="444">
        <v>9.1361064514836776E-2</v>
      </c>
      <c r="G12" s="418">
        <v>0.11622602156434794</v>
      </c>
      <c r="H12" s="444">
        <f t="shared" si="0"/>
        <v>0.11622602156434794</v>
      </c>
      <c r="I12" s="444"/>
      <c r="J12" s="444">
        <f t="shared" si="1"/>
        <v>0.11069211258827368</v>
      </c>
      <c r="L12" s="24">
        <v>0.371684356480731</v>
      </c>
      <c r="M12" s="24">
        <v>0.220842251074368</v>
      </c>
      <c r="N12" s="24">
        <v>0.40747339244490099</v>
      </c>
      <c r="O12" s="24">
        <v>0.417624101834628</v>
      </c>
      <c r="P12" s="24">
        <v>0.24904256483203899</v>
      </c>
      <c r="Q12" s="24">
        <v>0.33333333333333298</v>
      </c>
      <c r="R12" s="24">
        <v>0.48851080758426702</v>
      </c>
      <c r="S12" s="24">
        <v>0.29587219091289901</v>
      </c>
      <c r="T12" s="24">
        <v>0.215617001502834</v>
      </c>
      <c r="U12" s="24">
        <v>0.45391825861499302</v>
      </c>
      <c r="V12" s="24">
        <v>0.32523949031063898</v>
      </c>
      <c r="W12" s="416">
        <v>0.220842251074368</v>
      </c>
    </row>
    <row r="13" spans="1:23">
      <c r="A13" s="454" t="s">
        <v>370</v>
      </c>
      <c r="B13" s="455" t="s">
        <v>361</v>
      </c>
      <c r="C13" s="24">
        <v>0.48851080758426702</v>
      </c>
      <c r="D13" s="24">
        <f>C$13*$C$4</f>
        <v>0.14188370585022853</v>
      </c>
      <c r="E13" s="438">
        <v>4.5499999999999999E-2</v>
      </c>
      <c r="F13" s="444">
        <v>7.2704479338766184E-2</v>
      </c>
      <c r="G13" s="418">
        <v>0.10664329173733599</v>
      </c>
      <c r="H13" s="444">
        <f t="shared" si="0"/>
        <v>0.10664329173733599</v>
      </c>
      <c r="I13" s="444"/>
      <c r="J13" s="444">
        <f t="shared" si="1"/>
        <v>0.10156564852594366</v>
      </c>
    </row>
    <row r="14" spans="1:23">
      <c r="A14" s="454"/>
      <c r="B14" s="455" t="s">
        <v>358</v>
      </c>
      <c r="C14" s="24">
        <v>0.29587219091289901</v>
      </c>
      <c r="D14" s="24">
        <f>C$14*$C$4</f>
        <v>8.5933498815186513E-2</v>
      </c>
      <c r="E14" s="438"/>
      <c r="F14" s="444">
        <v>7.3423867758908093E-2</v>
      </c>
      <c r="G14" s="418">
        <v>8.3403940987656702E-2</v>
      </c>
      <c r="H14" s="444">
        <f t="shared" si="0"/>
        <v>8.3403940987656702E-2</v>
      </c>
      <c r="I14" s="444"/>
      <c r="J14" s="444">
        <f t="shared" si="1"/>
        <v>7.9432800863790148E-2</v>
      </c>
      <c r="L14" s="24">
        <f>C$7*$C$2</f>
        <v>4.5488173763450948E-2</v>
      </c>
      <c r="M14" s="24">
        <f>C$8*$C$2</f>
        <v>2.7027531603158302E-2</v>
      </c>
      <c r="N14" s="24">
        <f>C$9*$C$2</f>
        <v>4.9868174854104753E-2</v>
      </c>
      <c r="O14" s="24">
        <f>C$10*$C$3</f>
        <v>0.16802697562153965</v>
      </c>
      <c r="P14" s="24">
        <f>C$11*$C$3</f>
        <v>0.10019984188156116</v>
      </c>
      <c r="Q14" s="24">
        <f>C$12*$C$3</f>
        <v>0.1341134087515502</v>
      </c>
      <c r="R14" s="24">
        <f>C$13*$C$4</f>
        <v>0.14188370585022853</v>
      </c>
      <c r="S14" s="24">
        <f>C$14*$C$4</f>
        <v>8.5933498815186513E-2</v>
      </c>
      <c r="T14" s="24">
        <f>C$15*$C$4</f>
        <v>6.2624078613161965E-2</v>
      </c>
      <c r="U14" s="24">
        <f>C$16*$C$5</f>
        <v>8.3899804414671139E-2</v>
      </c>
      <c r="V14" s="24">
        <f>C$17*$C$5</f>
        <v>6.0115514428193184E-2</v>
      </c>
      <c r="W14" s="24">
        <f>C$18*$C$5</f>
        <v>4.0819291403192667E-2</v>
      </c>
    </row>
    <row r="15" spans="1:23">
      <c r="A15" s="454"/>
      <c r="B15" s="455" t="s">
        <v>355</v>
      </c>
      <c r="C15" s="24">
        <v>0.215617001502834</v>
      </c>
      <c r="D15" s="24">
        <f>C$15*$C$4</f>
        <v>6.2624078613161965E-2</v>
      </c>
      <c r="E15" s="438"/>
      <c r="F15" s="444">
        <v>6.7474653504545845E-2</v>
      </c>
      <c r="G15" s="418">
        <v>6.8253936179523286E-2</v>
      </c>
      <c r="H15" s="444">
        <f t="shared" si="0"/>
        <v>6.8253936179523286E-2</v>
      </c>
      <c r="I15" s="444"/>
      <c r="J15" s="444">
        <f t="shared" si="1"/>
        <v>6.5004138371834011E-2</v>
      </c>
    </row>
    <row r="16" spans="1:23">
      <c r="A16" s="454" t="s">
        <v>351</v>
      </c>
      <c r="B16" s="455" t="s">
        <v>345</v>
      </c>
      <c r="C16" s="24">
        <v>0.45391825861499302</v>
      </c>
      <c r="D16" s="24">
        <f>C$16*$C$5</f>
        <v>8.3899804414671139E-2</v>
      </c>
      <c r="E16" s="438">
        <v>3.49E-2</v>
      </c>
      <c r="F16" s="444">
        <v>7.6882655653337545E-2</v>
      </c>
      <c r="G16" s="418">
        <v>8.432985590108745E-2</v>
      </c>
      <c r="H16" s="444">
        <f t="shared" si="0"/>
        <v>8.432985590108745E-2</v>
      </c>
      <c r="I16" s="444"/>
      <c r="J16" s="444">
        <f t="shared" si="1"/>
        <v>8.031462987647725E-2</v>
      </c>
    </row>
    <row r="17" spans="1:23">
      <c r="A17" s="454"/>
      <c r="B17" s="455" t="s">
        <v>342</v>
      </c>
      <c r="C17" s="24">
        <v>0.32523949031063898</v>
      </c>
      <c r="D17" s="24">
        <f>C$17*$C$5</f>
        <v>6.0115514428193184E-2</v>
      </c>
      <c r="E17" s="438"/>
      <c r="F17" s="444">
        <v>0.182713625389473</v>
      </c>
      <c r="G17" s="418">
        <v>0.11004376666156669</v>
      </c>
      <c r="H17" s="444">
        <f t="shared" si="0"/>
        <v>0.11004376666156669</v>
      </c>
      <c r="I17" s="444"/>
      <c r="J17" s="444">
        <f t="shared" si="1"/>
        <v>0.10480421548453263</v>
      </c>
      <c r="L17" s="444">
        <v>7.7294562679026083E-2</v>
      </c>
      <c r="M17" s="444">
        <v>6.0926253184197712E-2</v>
      </c>
      <c r="N17" s="444">
        <v>7.7529888468503838E-2</v>
      </c>
      <c r="O17" s="444">
        <v>0.10996326718813328</v>
      </c>
      <c r="P17" s="444">
        <v>8.1526988049307039E-2</v>
      </c>
      <c r="Q17" s="444">
        <v>0.10975245018049634</v>
      </c>
      <c r="R17" s="444">
        <v>0.10070346042952219</v>
      </c>
      <c r="S17" s="444">
        <v>7.8758497924123663E-2</v>
      </c>
      <c r="T17" s="444">
        <v>6.4452319965357593E-2</v>
      </c>
      <c r="U17" s="444">
        <v>7.9632841113711592E-2</v>
      </c>
      <c r="V17" s="444">
        <v>0.10391453527909907</v>
      </c>
      <c r="W17" s="444">
        <v>5.5544935538521564E-2</v>
      </c>
    </row>
    <row r="18" spans="1:23" ht="14.5" thickBot="1">
      <c r="A18" s="456"/>
      <c r="B18" s="457" t="s">
        <v>339</v>
      </c>
      <c r="C18" s="416">
        <v>0.220842251074368</v>
      </c>
      <c r="D18" s="416">
        <f>C$18*$C$5</f>
        <v>4.0819291403192667E-2</v>
      </c>
      <c r="E18" s="458"/>
      <c r="F18" s="459">
        <v>7.6882655653337545E-2</v>
      </c>
      <c r="G18" s="415">
        <v>5.8821164038465823E-2</v>
      </c>
      <c r="H18" s="444">
        <f t="shared" si="0"/>
        <v>5.8821164038465823E-2</v>
      </c>
      <c r="I18" s="444"/>
      <c r="J18" s="444">
        <f t="shared" si="1"/>
        <v>5.6020492009307664E-2</v>
      </c>
    </row>
    <row r="19" spans="1:23">
      <c r="A19" s="444"/>
      <c r="B19" s="444"/>
      <c r="C19" s="444"/>
      <c r="D19" s="444"/>
      <c r="E19" s="444"/>
      <c r="F19" s="444"/>
      <c r="G19" s="444"/>
      <c r="H19" s="444">
        <f>SUM(H7:H18)</f>
        <v>0.99999999999999978</v>
      </c>
      <c r="I19" s="444"/>
      <c r="J19" s="444">
        <f>SUM(J7:J18)</f>
        <v>0.95238666090785495</v>
      </c>
    </row>
    <row r="25" spans="1:23">
      <c r="B25" s="24"/>
      <c r="C25" s="24" t="s">
        <v>449</v>
      </c>
      <c r="D25" s="24" t="s">
        <v>457</v>
      </c>
      <c r="E25" s="24" t="s">
        <v>458</v>
      </c>
      <c r="F25" s="24"/>
    </row>
    <row r="26" spans="1:23">
      <c r="B26" s="24" t="s">
        <v>241</v>
      </c>
      <c r="C26" s="24">
        <v>0.150798097504872</v>
      </c>
      <c r="D26" s="24"/>
      <c r="E26" s="24">
        <v>6.0199999999999997E-2</v>
      </c>
      <c r="F26" s="24"/>
    </row>
    <row r="27" spans="1:23">
      <c r="B27" s="24" t="s">
        <v>242</v>
      </c>
      <c r="C27" s="24">
        <v>0.349201902495128</v>
      </c>
      <c r="D27" s="24"/>
      <c r="E27" s="24"/>
      <c r="F27" s="24"/>
    </row>
    <row r="28" spans="1:23">
      <c r="B28" s="24" t="s">
        <v>243</v>
      </c>
      <c r="C28" s="24">
        <v>0.30553436791156802</v>
      </c>
      <c r="D28" s="24"/>
      <c r="E28" s="24"/>
      <c r="F28" s="24"/>
    </row>
    <row r="29" spans="1:23" ht="14.5" thickBot="1">
      <c r="B29" s="24" t="s">
        <v>244</v>
      </c>
      <c r="C29" s="24">
        <v>0.19446563208843201</v>
      </c>
      <c r="D29" s="24"/>
      <c r="E29" s="24"/>
      <c r="F29" s="24"/>
    </row>
    <row r="30" spans="1:23" s="441" customFormat="1" ht="30" customHeight="1">
      <c r="A30" s="449" t="s">
        <v>451</v>
      </c>
      <c r="B30" s="451" t="s">
        <v>452</v>
      </c>
      <c r="C30" s="451" t="s">
        <v>453</v>
      </c>
      <c r="D30" s="451" t="s">
        <v>450</v>
      </c>
      <c r="E30" s="452" t="s">
        <v>42</v>
      </c>
      <c r="F30" s="451" t="s">
        <v>455</v>
      </c>
      <c r="G30" s="453" t="s">
        <v>456</v>
      </c>
    </row>
    <row r="31" spans="1:23">
      <c r="A31" s="454" t="s">
        <v>241</v>
      </c>
      <c r="B31" s="24" t="s">
        <v>160</v>
      </c>
      <c r="C31" s="24">
        <v>0.40175219023779701</v>
      </c>
      <c r="D31" s="24">
        <v>6.0583465956275201E-2</v>
      </c>
      <c r="E31" s="24">
        <v>6.6799999999999998E-2</v>
      </c>
      <c r="F31" s="24">
        <v>5.7498084315884275E-2</v>
      </c>
      <c r="G31" s="418">
        <v>6.0722347016690034E-2</v>
      </c>
      <c r="H31" s="445">
        <v>6.7265743483566953E-2</v>
      </c>
      <c r="J31" s="445">
        <v>5.9020617022379693E-2</v>
      </c>
      <c r="L31" s="418">
        <v>6.0722347016690034E-2</v>
      </c>
      <c r="M31" s="418">
        <v>0.11644927327340268</v>
      </c>
      <c r="N31" s="418">
        <v>0.10664329173733599</v>
      </c>
      <c r="O31" s="418">
        <v>8.432985590108745E-2</v>
      </c>
    </row>
    <row r="32" spans="1:23">
      <c r="A32" s="454"/>
      <c r="B32" s="24" t="s">
        <v>250</v>
      </c>
      <c r="C32" s="24">
        <v>0.59824780976220304</v>
      </c>
      <c r="D32" s="24">
        <v>9.021463154859681E-2</v>
      </c>
      <c r="E32" s="24"/>
      <c r="F32" s="24">
        <v>0.14214219249974772</v>
      </c>
      <c r="G32" s="418">
        <v>4.7863458438085635E-2</v>
      </c>
      <c r="H32" s="445">
        <v>0.12905956477246869</v>
      </c>
      <c r="J32" s="445">
        <v>0.11324003498707717</v>
      </c>
      <c r="L32" s="418">
        <v>4.7863458438085635E-2</v>
      </c>
      <c r="M32" s="418">
        <v>8.6335726040847494E-2</v>
      </c>
      <c r="N32" s="418">
        <v>8.3403940987656702E-2</v>
      </c>
      <c r="O32" s="445">
        <v>0.110043767</v>
      </c>
    </row>
    <row r="33" spans="1:12">
      <c r="A33" s="454" t="s">
        <v>242</v>
      </c>
      <c r="B33" s="24" t="s">
        <v>261</v>
      </c>
      <c r="C33" s="24">
        <v>0.32992956341288199</v>
      </c>
      <c r="D33" s="24">
        <v>0.11521203123316537</v>
      </c>
      <c r="E33" s="24">
        <v>3.6799999999999999E-2</v>
      </c>
      <c r="F33" s="24">
        <v>6.6235848417478121E-2</v>
      </c>
      <c r="G33" s="418">
        <v>0.11644927327340268</v>
      </c>
      <c r="H33" s="445">
        <v>9.9560179251259276E-2</v>
      </c>
      <c r="J33" s="445">
        <v>8.7356548905217726E-2</v>
      </c>
    </row>
    <row r="34" spans="1:12">
      <c r="A34" s="454"/>
      <c r="B34" s="24" t="s">
        <v>262</v>
      </c>
      <c r="C34" s="24">
        <v>0.67007043658711796</v>
      </c>
      <c r="D34" s="24">
        <v>0.23398987126196261</v>
      </c>
      <c r="E34" s="24"/>
      <c r="F34" s="24">
        <v>5.7017973858549391E-2</v>
      </c>
      <c r="G34" s="418">
        <v>8.6335726040847494E-2</v>
      </c>
      <c r="H34" s="445">
        <v>0.13164204517870789</v>
      </c>
      <c r="J34" s="445">
        <v>0.11550596678431778</v>
      </c>
    </row>
    <row r="35" spans="1:12">
      <c r="A35" s="454" t="s">
        <v>243</v>
      </c>
      <c r="B35" s="24" t="s">
        <v>142</v>
      </c>
      <c r="C35" s="24">
        <v>0.176508752442922</v>
      </c>
      <c r="D35" s="24">
        <v>5.3929490108507609E-2</v>
      </c>
      <c r="E35" s="24">
        <v>2.9100000000000001E-2</v>
      </c>
      <c r="F35" s="24">
        <v>5.701795995289663E-2</v>
      </c>
      <c r="G35" s="418">
        <v>0.10664329173733599</v>
      </c>
      <c r="H35" s="445">
        <v>6.3198852912015185E-2</v>
      </c>
      <c r="J35" s="445">
        <v>5.5452227252717472E-2</v>
      </c>
    </row>
    <row r="36" spans="1:12">
      <c r="A36" s="454"/>
      <c r="B36" s="24" t="s">
        <v>143</v>
      </c>
      <c r="C36" s="24">
        <v>0.47252732453750601</v>
      </c>
      <c r="D36" s="24">
        <v>0.14437333742351127</v>
      </c>
      <c r="E36" s="24"/>
      <c r="F36" s="24">
        <v>0.15427119178219295</v>
      </c>
      <c r="G36" s="418">
        <v>8.3403940987656702E-2</v>
      </c>
      <c r="H36" s="445">
        <v>0.17008895644863573</v>
      </c>
      <c r="J36" s="445">
        <v>0.14924023192791469</v>
      </c>
    </row>
    <row r="37" spans="1:12">
      <c r="A37" s="454"/>
      <c r="B37" s="24" t="s">
        <v>144</v>
      </c>
      <c r="C37" s="24">
        <v>0.35096392301957202</v>
      </c>
      <c r="D37" s="24">
        <v>0.10723154037954916</v>
      </c>
      <c r="E37" s="24"/>
      <c r="F37" s="24">
        <v>5.7017968782890574E-2</v>
      </c>
      <c r="G37" s="418">
        <v>6.8253936179523286E-2</v>
      </c>
      <c r="H37" s="445">
        <v>8.911634058230751E-2</v>
      </c>
      <c r="J37" s="445">
        <v>7.81928681012687E-2</v>
      </c>
    </row>
    <row r="38" spans="1:12">
      <c r="A38" s="454" t="s">
        <v>244</v>
      </c>
      <c r="B38" s="24" t="s">
        <v>264</v>
      </c>
      <c r="C38" s="24">
        <v>0.417624101834628</v>
      </c>
      <c r="D38" s="24">
        <v>8.1213534938634632E-2</v>
      </c>
      <c r="E38" s="24">
        <v>5.6599999999999998E-2</v>
      </c>
      <c r="F38" s="24">
        <v>5.7017810593812286E-2</v>
      </c>
      <c r="G38" s="418">
        <v>8.432985590108745E-2</v>
      </c>
      <c r="H38" s="445">
        <v>7.7554977631484417E-2</v>
      </c>
      <c r="J38" s="445">
        <v>6.8048644018709345E-2</v>
      </c>
    </row>
    <row r="39" spans="1:12">
      <c r="A39" s="454"/>
      <c r="B39" s="24" t="s">
        <v>265</v>
      </c>
      <c r="C39" s="24">
        <v>0.24904256483203899</v>
      </c>
      <c r="D39" s="24">
        <v>4.8430219786986771E-2</v>
      </c>
      <c r="E39" s="24"/>
      <c r="F39" s="24">
        <v>0.15439773397099121</v>
      </c>
      <c r="G39" s="418">
        <v>0.11004376666156669</v>
      </c>
      <c r="H39" s="445">
        <v>9.855278065651768E-2</v>
      </c>
      <c r="J39" s="445">
        <v>8.6472632611872172E-2</v>
      </c>
    </row>
    <row r="40" spans="1:12" ht="14.5" thickBot="1">
      <c r="A40" s="456"/>
      <c r="B40" s="416" t="s">
        <v>266</v>
      </c>
      <c r="C40" s="416">
        <v>0.33333333333333298</v>
      </c>
      <c r="D40" s="416">
        <v>6.4821877362810601E-2</v>
      </c>
      <c r="E40" s="416"/>
      <c r="F40" s="416">
        <v>6.4967830336922702E-2</v>
      </c>
      <c r="G40" s="415">
        <v>5.8821164038465823E-2</v>
      </c>
      <c r="H40" s="445">
        <v>7.3960559083036545E-2</v>
      </c>
      <c r="J40" s="445">
        <v>6.4894812817573408E-2</v>
      </c>
    </row>
    <row r="41" spans="1:12">
      <c r="H41" s="445">
        <v>1</v>
      </c>
      <c r="J41" s="445">
        <v>0.87742458442904825</v>
      </c>
    </row>
    <row r="44" spans="1:12">
      <c r="A44" s="460" t="s">
        <v>459</v>
      </c>
      <c r="B44" s="461" t="s">
        <v>460</v>
      </c>
      <c r="C44" s="462" t="s">
        <v>461</v>
      </c>
      <c r="D44" s="462" t="s">
        <v>462</v>
      </c>
      <c r="E44" s="462" t="s">
        <v>463</v>
      </c>
      <c r="F44" s="462" t="s">
        <v>464</v>
      </c>
      <c r="G44" s="462" t="s">
        <v>465</v>
      </c>
      <c r="H44" s="462" t="s">
        <v>466</v>
      </c>
      <c r="I44" s="462" t="s">
        <v>467</v>
      </c>
      <c r="J44" s="462" t="s">
        <v>468</v>
      </c>
      <c r="K44" s="462" t="s">
        <v>469</v>
      </c>
      <c r="L44" s="463" t="s">
        <v>470</v>
      </c>
    </row>
    <row r="45" spans="1:12">
      <c r="A45" s="464"/>
      <c r="B45" s="465" t="s">
        <v>471</v>
      </c>
      <c r="C45" s="465" t="s">
        <v>472</v>
      </c>
      <c r="D45" s="465" t="s">
        <v>473</v>
      </c>
      <c r="E45" s="465" t="s">
        <v>474</v>
      </c>
      <c r="F45" s="465" t="s">
        <v>475</v>
      </c>
      <c r="G45" s="466">
        <v>0.26665899999999998</v>
      </c>
      <c r="H45" s="467">
        <v>0.26934200000000003</v>
      </c>
      <c r="I45" s="467">
        <v>0.27169100000000002</v>
      </c>
      <c r="J45" s="467">
        <v>0.27378200000000003</v>
      </c>
      <c r="K45" s="467">
        <v>0.275667</v>
      </c>
      <c r="L45" s="468">
        <v>0.27738499999999999</v>
      </c>
    </row>
    <row r="46" spans="1:12">
      <c r="A46" s="464"/>
      <c r="B46" s="465" t="s">
        <v>476</v>
      </c>
      <c r="C46" s="465" t="s">
        <v>477</v>
      </c>
      <c r="D46" s="465" t="s">
        <v>478</v>
      </c>
      <c r="E46" s="465" t="s">
        <v>479</v>
      </c>
      <c r="F46" s="469" t="s">
        <v>480</v>
      </c>
      <c r="G46" s="470" t="s">
        <v>481</v>
      </c>
      <c r="H46" s="471">
        <v>0.275312</v>
      </c>
      <c r="I46" s="465" t="s">
        <v>482</v>
      </c>
      <c r="J46" s="472">
        <v>0.27893600000000002</v>
      </c>
      <c r="K46" s="465">
        <v>0.28044799999999998</v>
      </c>
      <c r="L46" s="472" t="s">
        <v>483</v>
      </c>
    </row>
    <row r="47" spans="1:12" ht="28">
      <c r="A47" s="473"/>
      <c r="B47" s="465" t="s">
        <v>484</v>
      </c>
      <c r="C47" s="465" t="s">
        <v>485</v>
      </c>
      <c r="D47" s="465" t="s">
        <v>486</v>
      </c>
      <c r="E47" s="465" t="s">
        <v>487</v>
      </c>
      <c r="F47" s="465" t="s">
        <v>488</v>
      </c>
      <c r="G47" s="474">
        <v>0.460262</v>
      </c>
      <c r="H47" s="465">
        <v>0.45534599999999997</v>
      </c>
      <c r="I47" s="465" t="s">
        <v>489</v>
      </c>
      <c r="J47" s="465">
        <v>0.44728200000000001</v>
      </c>
      <c r="K47" s="465">
        <v>0.443884</v>
      </c>
      <c r="L47" s="475">
        <v>0.440803</v>
      </c>
    </row>
    <row r="48" spans="1:12">
      <c r="A48" s="476" t="s">
        <v>490</v>
      </c>
      <c r="B48" s="477" t="s">
        <v>460</v>
      </c>
      <c r="C48" s="478" t="s">
        <v>461</v>
      </c>
      <c r="D48" s="478" t="s">
        <v>462</v>
      </c>
      <c r="E48" s="478" t="s">
        <v>463</v>
      </c>
      <c r="F48" s="478" t="s">
        <v>464</v>
      </c>
      <c r="G48" s="478" t="s">
        <v>465</v>
      </c>
      <c r="H48" s="478" t="s">
        <v>466</v>
      </c>
      <c r="I48" s="478" t="s">
        <v>467</v>
      </c>
      <c r="J48" s="478" t="s">
        <v>468</v>
      </c>
      <c r="K48" s="478" t="s">
        <v>469</v>
      </c>
      <c r="L48" s="479" t="s">
        <v>470</v>
      </c>
    </row>
    <row r="49" spans="1:12" ht="28">
      <c r="A49" s="464"/>
      <c r="B49" s="465" t="s">
        <v>471</v>
      </c>
      <c r="C49" s="465" t="s">
        <v>472</v>
      </c>
      <c r="D49" s="465" t="s">
        <v>491</v>
      </c>
      <c r="E49" s="465" t="s">
        <v>492</v>
      </c>
      <c r="F49" s="465" t="s">
        <v>493</v>
      </c>
      <c r="G49" s="465" t="s">
        <v>494</v>
      </c>
      <c r="H49" s="465" t="s">
        <v>495</v>
      </c>
      <c r="I49" s="465" t="s">
        <v>496</v>
      </c>
      <c r="J49" s="465" t="s">
        <v>497</v>
      </c>
      <c r="K49" s="465" t="s">
        <v>498</v>
      </c>
      <c r="L49" s="475" t="s">
        <v>499</v>
      </c>
    </row>
    <row r="50" spans="1:12" ht="28">
      <c r="A50" s="464"/>
      <c r="B50" s="465" t="s">
        <v>476</v>
      </c>
      <c r="C50" s="465" t="s">
        <v>477</v>
      </c>
      <c r="D50" s="465" t="s">
        <v>500</v>
      </c>
      <c r="E50" s="465" t="s">
        <v>501</v>
      </c>
      <c r="F50" s="465" t="s">
        <v>502</v>
      </c>
      <c r="G50" s="465" t="s">
        <v>503</v>
      </c>
      <c r="H50" s="465" t="s">
        <v>504</v>
      </c>
      <c r="I50" s="465" t="s">
        <v>505</v>
      </c>
      <c r="J50" s="465" t="s">
        <v>506</v>
      </c>
      <c r="K50" s="465" t="s">
        <v>507</v>
      </c>
      <c r="L50" s="475" t="s">
        <v>508</v>
      </c>
    </row>
    <row r="51" spans="1:12" ht="28">
      <c r="A51" s="473"/>
      <c r="B51" s="465" t="s">
        <v>484</v>
      </c>
      <c r="C51" s="465" t="s">
        <v>485</v>
      </c>
      <c r="D51" s="465" t="s">
        <v>509</v>
      </c>
      <c r="E51" s="465" t="s">
        <v>510</v>
      </c>
      <c r="F51" s="465" t="s">
        <v>511</v>
      </c>
      <c r="G51" s="465" t="s">
        <v>512</v>
      </c>
      <c r="H51" s="465" t="s">
        <v>513</v>
      </c>
      <c r="I51" s="465" t="s">
        <v>514</v>
      </c>
      <c r="J51" s="465" t="s">
        <v>515</v>
      </c>
      <c r="K51" s="465" t="s">
        <v>516</v>
      </c>
      <c r="L51" s="475" t="s">
        <v>517</v>
      </c>
    </row>
    <row r="52" spans="1:12">
      <c r="A52" s="476" t="s">
        <v>518</v>
      </c>
      <c r="B52" s="477" t="s">
        <v>460</v>
      </c>
      <c r="C52" s="478" t="s">
        <v>461</v>
      </c>
      <c r="D52" s="478" t="s">
        <v>462</v>
      </c>
      <c r="E52" s="478" t="s">
        <v>463</v>
      </c>
      <c r="F52" s="478" t="s">
        <v>464</v>
      </c>
      <c r="G52" s="478" t="s">
        <v>465</v>
      </c>
      <c r="H52" s="478" t="s">
        <v>466</v>
      </c>
      <c r="I52" s="478" t="s">
        <v>467</v>
      </c>
      <c r="J52" s="478" t="s">
        <v>468</v>
      </c>
      <c r="K52" s="478" t="s">
        <v>469</v>
      </c>
      <c r="L52" s="479" t="s">
        <v>470</v>
      </c>
    </row>
    <row r="53" spans="1:12" ht="28">
      <c r="A53" s="464"/>
      <c r="B53" s="465" t="s">
        <v>471</v>
      </c>
      <c r="C53" s="465" t="s">
        <v>472</v>
      </c>
      <c r="D53" s="465" t="s">
        <v>519</v>
      </c>
      <c r="E53" s="465" t="s">
        <v>520</v>
      </c>
      <c r="F53" s="465" t="s">
        <v>521</v>
      </c>
      <c r="G53" s="465" t="s">
        <v>522</v>
      </c>
      <c r="H53" s="465" t="s">
        <v>523</v>
      </c>
      <c r="I53" s="465" t="s">
        <v>524</v>
      </c>
      <c r="J53" s="465" t="s">
        <v>525</v>
      </c>
      <c r="K53" s="465" t="s">
        <v>526</v>
      </c>
      <c r="L53" s="475" t="s">
        <v>527</v>
      </c>
    </row>
    <row r="54" spans="1:12" ht="28">
      <c r="A54" s="464"/>
      <c r="B54" s="465" t="s">
        <v>476</v>
      </c>
      <c r="C54" s="465" t="s">
        <v>477</v>
      </c>
      <c r="D54" s="465" t="s">
        <v>528</v>
      </c>
      <c r="E54" s="465" t="s">
        <v>529</v>
      </c>
      <c r="F54" s="465" t="s">
        <v>530</v>
      </c>
      <c r="G54" s="465" t="s">
        <v>531</v>
      </c>
      <c r="H54" s="465" t="s">
        <v>532</v>
      </c>
      <c r="I54" s="465" t="s">
        <v>533</v>
      </c>
      <c r="J54" s="465" t="s">
        <v>534</v>
      </c>
      <c r="K54" s="465" t="s">
        <v>535</v>
      </c>
      <c r="L54" s="475" t="s">
        <v>536</v>
      </c>
    </row>
    <row r="55" spans="1:12" ht="28">
      <c r="A55" s="473"/>
      <c r="B55" s="465" t="s">
        <v>484</v>
      </c>
      <c r="C55" s="465" t="s">
        <v>485</v>
      </c>
      <c r="D55" s="465" t="s">
        <v>537</v>
      </c>
      <c r="E55" s="465" t="s">
        <v>538</v>
      </c>
      <c r="F55" s="465" t="s">
        <v>539</v>
      </c>
      <c r="G55" s="465" t="s">
        <v>540</v>
      </c>
      <c r="H55" s="465" t="s">
        <v>541</v>
      </c>
      <c r="I55" s="465" t="s">
        <v>542</v>
      </c>
      <c r="J55" s="465" t="s">
        <v>543</v>
      </c>
      <c r="K55" s="465" t="s">
        <v>544</v>
      </c>
      <c r="L55" s="475" t="s">
        <v>545</v>
      </c>
    </row>
    <row r="56" spans="1:12">
      <c r="A56" s="476" t="s">
        <v>546</v>
      </c>
      <c r="B56" s="477" t="s">
        <v>460</v>
      </c>
      <c r="C56" s="478" t="s">
        <v>461</v>
      </c>
      <c r="D56" s="478" t="s">
        <v>462</v>
      </c>
      <c r="E56" s="478" t="s">
        <v>463</v>
      </c>
      <c r="F56" s="478" t="s">
        <v>464</v>
      </c>
      <c r="G56" s="478" t="s">
        <v>465</v>
      </c>
      <c r="H56" s="478" t="s">
        <v>466</v>
      </c>
      <c r="I56" s="478" t="s">
        <v>467</v>
      </c>
      <c r="J56" s="478" t="s">
        <v>468</v>
      </c>
      <c r="K56" s="478" t="s">
        <v>469</v>
      </c>
      <c r="L56" s="479" t="s">
        <v>470</v>
      </c>
    </row>
    <row r="57" spans="1:12" ht="28">
      <c r="A57" s="464"/>
      <c r="B57" s="465" t="s">
        <v>471</v>
      </c>
      <c r="C57" s="465" t="s">
        <v>472</v>
      </c>
      <c r="D57" s="465" t="s">
        <v>547</v>
      </c>
      <c r="E57" s="465" t="s">
        <v>548</v>
      </c>
      <c r="F57" s="465" t="s">
        <v>549</v>
      </c>
      <c r="G57" s="465" t="s">
        <v>550</v>
      </c>
      <c r="H57" s="465" t="s">
        <v>551</v>
      </c>
      <c r="I57" s="465" t="s">
        <v>552</v>
      </c>
      <c r="J57" s="465" t="s">
        <v>553</v>
      </c>
      <c r="K57" s="465" t="s">
        <v>554</v>
      </c>
      <c r="L57" s="475" t="s">
        <v>555</v>
      </c>
    </row>
    <row r="58" spans="1:12" ht="28">
      <c r="A58" s="464"/>
      <c r="B58" s="465" t="s">
        <v>476</v>
      </c>
      <c r="C58" s="465" t="s">
        <v>477</v>
      </c>
      <c r="D58" s="465" t="s">
        <v>556</v>
      </c>
      <c r="E58" s="465" t="s">
        <v>557</v>
      </c>
      <c r="F58" s="465" t="s">
        <v>558</v>
      </c>
      <c r="G58" s="465" t="s">
        <v>559</v>
      </c>
      <c r="H58" s="465" t="s">
        <v>560</v>
      </c>
      <c r="I58" s="465" t="s">
        <v>561</v>
      </c>
      <c r="J58" s="465" t="s">
        <v>562</v>
      </c>
      <c r="K58" s="465" t="s">
        <v>563</v>
      </c>
      <c r="L58" s="475" t="s">
        <v>564</v>
      </c>
    </row>
    <row r="59" spans="1:12" ht="28">
      <c r="A59" s="480"/>
      <c r="B59" s="481" t="s">
        <v>484</v>
      </c>
      <c r="C59" s="481" t="s">
        <v>485</v>
      </c>
      <c r="D59" s="481" t="s">
        <v>565</v>
      </c>
      <c r="E59" s="481" t="s">
        <v>566</v>
      </c>
      <c r="F59" s="481" t="s">
        <v>567</v>
      </c>
      <c r="G59" s="481" t="s">
        <v>568</v>
      </c>
      <c r="H59" s="481" t="s">
        <v>569</v>
      </c>
      <c r="I59" s="481" t="s">
        <v>570</v>
      </c>
      <c r="J59" s="481" t="s">
        <v>571</v>
      </c>
      <c r="K59" s="481" t="s">
        <v>572</v>
      </c>
      <c r="L59" s="482" t="s">
        <v>573</v>
      </c>
    </row>
  </sheetData>
  <mergeCells count="16">
    <mergeCell ref="A44:A47"/>
    <mergeCell ref="A48:A51"/>
    <mergeCell ref="A52:A55"/>
    <mergeCell ref="A56:A59"/>
    <mergeCell ref="A16:A18"/>
    <mergeCell ref="E16:E18"/>
    <mergeCell ref="A31:A32"/>
    <mergeCell ref="A33:A34"/>
    <mergeCell ref="A35:A37"/>
    <mergeCell ref="A38:A40"/>
    <mergeCell ref="A7:A9"/>
    <mergeCell ref="E7:E9"/>
    <mergeCell ref="A10:A12"/>
    <mergeCell ref="E10:E12"/>
    <mergeCell ref="A13:A15"/>
    <mergeCell ref="E13:E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2C37B-62D2-4EA7-8CD8-B3B7E0AEF670}">
  <dimension ref="A1:U59"/>
  <sheetViews>
    <sheetView workbookViewId="0">
      <selection activeCell="D43" sqref="D43"/>
    </sheetView>
  </sheetViews>
  <sheetFormatPr defaultColWidth="8.81640625" defaultRowHeight="14"/>
  <cols>
    <col min="1" max="4" width="8.81640625" style="24"/>
    <col min="5" max="5" width="9.453125" style="24" customWidth="1"/>
    <col min="6" max="16384" width="8.81640625" style="24"/>
  </cols>
  <sheetData>
    <row r="1" spans="1:21">
      <c r="A1" s="437" t="s">
        <v>405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</row>
    <row r="2" spans="1:21" ht="45" customHeight="1">
      <c r="A2" s="439" t="s">
        <v>404</v>
      </c>
      <c r="B2" s="438"/>
      <c r="C2" s="438"/>
      <c r="E2" s="24" t="s">
        <v>403</v>
      </c>
      <c r="G2" s="424" t="s">
        <v>402</v>
      </c>
      <c r="I2" s="438" t="s">
        <v>401</v>
      </c>
      <c r="J2" s="438"/>
      <c r="K2" s="438"/>
      <c r="L2" s="438"/>
      <c r="M2" s="438"/>
      <c r="N2" s="438"/>
      <c r="O2" s="438"/>
      <c r="P2" s="438"/>
      <c r="Q2" s="438"/>
    </row>
    <row r="3" spans="1:21">
      <c r="A3" s="24" t="s">
        <v>354</v>
      </c>
    </row>
    <row r="4" spans="1:21">
      <c r="A4" s="24">
        <v>0.25</v>
      </c>
      <c r="B4" s="24">
        <v>0.42105263157894701</v>
      </c>
      <c r="C4" s="24">
        <v>0.66666666666666696</v>
      </c>
      <c r="E4" s="24">
        <v>0.417624101834628</v>
      </c>
      <c r="G4" s="24">
        <v>5.6599999999999998E-2</v>
      </c>
      <c r="I4" s="24">
        <v>1</v>
      </c>
      <c r="J4" s="24">
        <v>1</v>
      </c>
      <c r="K4" s="24">
        <v>1</v>
      </c>
      <c r="L4" s="24">
        <v>1</v>
      </c>
      <c r="M4" s="24">
        <v>1.5</v>
      </c>
      <c r="N4" s="24">
        <v>2</v>
      </c>
      <c r="O4" s="24">
        <v>1</v>
      </c>
      <c r="P4" s="24">
        <v>1.5</v>
      </c>
      <c r="Q4" s="24">
        <v>2</v>
      </c>
    </row>
    <row r="5" spans="1:21">
      <c r="A5" s="24">
        <v>0.16666666666666699</v>
      </c>
      <c r="B5" s="24">
        <v>0.24561403508771901</v>
      </c>
      <c r="C5" s="24">
        <v>0.4</v>
      </c>
      <c r="E5" s="24">
        <v>0.24904256483203899</v>
      </c>
      <c r="I5" s="24">
        <v>0.5</v>
      </c>
      <c r="J5" s="24">
        <v>0.66666666666666696</v>
      </c>
      <c r="K5" s="24">
        <v>1</v>
      </c>
      <c r="L5" s="24">
        <v>1</v>
      </c>
      <c r="M5" s="24">
        <v>1</v>
      </c>
      <c r="N5" s="24">
        <v>1</v>
      </c>
      <c r="O5" s="24">
        <v>0.5</v>
      </c>
      <c r="P5" s="24">
        <v>0.66666666666666696</v>
      </c>
      <c r="Q5" s="24">
        <v>1</v>
      </c>
    </row>
    <row r="6" spans="1:21">
      <c r="A6" s="24">
        <v>0.20833333333333301</v>
      </c>
      <c r="B6" s="24">
        <v>0.33333333333333298</v>
      </c>
      <c r="C6" s="24">
        <v>0.53333333333333299</v>
      </c>
      <c r="E6" s="24">
        <v>0.33333333333333298</v>
      </c>
      <c r="I6" s="24">
        <v>0.5</v>
      </c>
      <c r="J6" s="24">
        <v>0.66666666666666696</v>
      </c>
      <c r="K6" s="24">
        <v>1</v>
      </c>
      <c r="L6" s="24">
        <v>1</v>
      </c>
      <c r="M6" s="24">
        <v>1.5</v>
      </c>
      <c r="N6" s="24">
        <v>2</v>
      </c>
      <c r="O6" s="24">
        <v>1</v>
      </c>
      <c r="P6" s="24">
        <v>1</v>
      </c>
      <c r="Q6" s="24">
        <v>1</v>
      </c>
    </row>
    <row r="7" spans="1:21">
      <c r="S7" s="24">
        <v>0.371684356480731</v>
      </c>
      <c r="T7" s="24">
        <v>0.220842251074368</v>
      </c>
      <c r="U7" s="24">
        <v>0.40747339244490099</v>
      </c>
    </row>
    <row r="8" spans="1:21">
      <c r="A8" s="24" t="s">
        <v>370</v>
      </c>
    </row>
    <row r="9" spans="1:21">
      <c r="A9" s="24">
        <v>0.32432432432432401</v>
      </c>
      <c r="B9" s="24">
        <v>0.49180327868852503</v>
      </c>
      <c r="C9" s="24">
        <v>0.72289156626506001</v>
      </c>
      <c r="E9" s="24">
        <v>0.48851080758426702</v>
      </c>
      <c r="G9" s="24">
        <v>4.5499999999999999E-2</v>
      </c>
      <c r="I9" s="24">
        <v>1</v>
      </c>
      <c r="J9" s="24">
        <v>1</v>
      </c>
      <c r="K9" s="24">
        <v>1</v>
      </c>
      <c r="L9" s="24">
        <v>1.5</v>
      </c>
      <c r="M9" s="24">
        <v>2</v>
      </c>
      <c r="N9" s="24">
        <v>2.5</v>
      </c>
      <c r="O9" s="24">
        <v>1.5</v>
      </c>
      <c r="P9" s="24">
        <v>2</v>
      </c>
      <c r="Q9" s="24">
        <v>2.5</v>
      </c>
    </row>
    <row r="10" spans="1:21">
      <c r="A10" s="24">
        <v>0.19459459459459499</v>
      </c>
      <c r="B10" s="24">
        <v>0.29508196721311503</v>
      </c>
      <c r="C10" s="24">
        <v>0.44176706827309198</v>
      </c>
      <c r="E10" s="24">
        <v>0.29587219091289901</v>
      </c>
      <c r="I10" s="24">
        <v>0.4</v>
      </c>
      <c r="J10" s="24">
        <v>0.5</v>
      </c>
      <c r="K10" s="24">
        <v>0.66666666666666696</v>
      </c>
      <c r="L10" s="24">
        <v>1</v>
      </c>
      <c r="M10" s="24">
        <v>1</v>
      </c>
      <c r="N10" s="24">
        <v>1</v>
      </c>
      <c r="O10" s="24">
        <v>1</v>
      </c>
      <c r="P10" s="24">
        <v>1.5</v>
      </c>
      <c r="Q10" s="24">
        <v>2</v>
      </c>
    </row>
    <row r="11" spans="1:21">
      <c r="A11" s="24">
        <v>0.15405405405405401</v>
      </c>
      <c r="B11" s="24">
        <v>0.213114754098361</v>
      </c>
      <c r="C11" s="24">
        <v>0.32128514056224899</v>
      </c>
      <c r="E11" s="24">
        <v>0.215617001502834</v>
      </c>
      <c r="I11" s="24">
        <v>0.4</v>
      </c>
      <c r="J11" s="24">
        <v>0.5</v>
      </c>
      <c r="K11" s="24">
        <v>0.66666666666666696</v>
      </c>
      <c r="L11" s="24">
        <v>0.5</v>
      </c>
      <c r="M11" s="24">
        <v>0.66666666666666696</v>
      </c>
      <c r="N11" s="24">
        <v>1</v>
      </c>
      <c r="O11" s="24">
        <v>1</v>
      </c>
      <c r="P11" s="24">
        <v>1</v>
      </c>
      <c r="Q11" s="24">
        <v>1</v>
      </c>
    </row>
    <row r="13" spans="1:21">
      <c r="A13" s="24" t="s">
        <v>351</v>
      </c>
    </row>
    <row r="14" spans="1:21">
      <c r="A14" s="24">
        <v>0.28767123287671198</v>
      </c>
      <c r="B14" s="24">
        <v>0.45762711864406802</v>
      </c>
      <c r="C14" s="24">
        <v>0.69620253164557</v>
      </c>
      <c r="E14" s="24">
        <v>0.45391825861499302</v>
      </c>
      <c r="G14" s="24">
        <v>3.49E-2</v>
      </c>
      <c r="I14" s="24">
        <v>1</v>
      </c>
      <c r="J14" s="24">
        <v>1</v>
      </c>
      <c r="K14" s="24">
        <v>1</v>
      </c>
      <c r="L14" s="24">
        <v>1</v>
      </c>
      <c r="M14" s="24">
        <v>1.5</v>
      </c>
      <c r="N14" s="24">
        <v>2</v>
      </c>
      <c r="O14" s="24">
        <v>1.5</v>
      </c>
      <c r="P14" s="24">
        <v>2</v>
      </c>
      <c r="Q14" s="24">
        <v>2.5</v>
      </c>
    </row>
    <row r="15" spans="1:21">
      <c r="A15" s="24">
        <v>0.20547945205479501</v>
      </c>
      <c r="B15" s="24">
        <v>0.322033898305085</v>
      </c>
      <c r="C15" s="24">
        <v>0.506329113924051</v>
      </c>
      <c r="E15" s="24">
        <v>0.32523949031063898</v>
      </c>
      <c r="I15" s="24">
        <v>0.5</v>
      </c>
      <c r="J15" s="24">
        <v>0.66666666666666696</v>
      </c>
      <c r="K15" s="24">
        <v>1</v>
      </c>
      <c r="L15" s="24">
        <v>1</v>
      </c>
      <c r="M15" s="24">
        <v>1</v>
      </c>
      <c r="N15" s="24">
        <v>1</v>
      </c>
      <c r="O15" s="24">
        <v>1</v>
      </c>
      <c r="P15" s="24">
        <v>1.5</v>
      </c>
      <c r="Q15" s="24">
        <v>2</v>
      </c>
    </row>
    <row r="16" spans="1:21">
      <c r="A16" s="24">
        <v>0.156164383561644</v>
      </c>
      <c r="B16" s="24">
        <v>0.22033898305084701</v>
      </c>
      <c r="C16" s="24">
        <v>0.33755274261603402</v>
      </c>
      <c r="E16" s="24">
        <v>0.220842251074368</v>
      </c>
      <c r="I16" s="24">
        <v>0.4</v>
      </c>
      <c r="J16" s="24">
        <v>0.5</v>
      </c>
      <c r="K16" s="24">
        <v>0.66666666666666696</v>
      </c>
      <c r="L16" s="24">
        <v>0.5</v>
      </c>
      <c r="M16" s="24">
        <v>0.66666666666666696</v>
      </c>
      <c r="N16" s="24">
        <v>1</v>
      </c>
      <c r="O16" s="24">
        <v>1</v>
      </c>
      <c r="P16" s="24">
        <v>1</v>
      </c>
      <c r="Q16" s="24">
        <v>1</v>
      </c>
    </row>
    <row r="18" spans="1:20">
      <c r="A18" s="24" t="s">
        <v>373</v>
      </c>
    </row>
    <row r="19" spans="1:20">
      <c r="A19" s="24">
        <v>0.24657534246575299</v>
      </c>
      <c r="B19" s="24">
        <v>0.37288135593220301</v>
      </c>
      <c r="C19" s="24">
        <v>0.569620253164557</v>
      </c>
      <c r="E19" s="24">
        <v>0.371684356480731</v>
      </c>
      <c r="G19" s="24">
        <v>8.7300000000000003E-2</v>
      </c>
      <c r="I19" s="24">
        <v>1</v>
      </c>
      <c r="J19" s="24">
        <v>1</v>
      </c>
      <c r="K19" s="24">
        <v>1</v>
      </c>
      <c r="L19" s="24">
        <v>1.5</v>
      </c>
      <c r="M19" s="24">
        <v>2</v>
      </c>
      <c r="N19" s="24">
        <v>2.5</v>
      </c>
      <c r="O19" s="24">
        <v>0.5</v>
      </c>
      <c r="P19" s="24">
        <v>0.66666666699999999</v>
      </c>
      <c r="Q19" s="24">
        <v>1</v>
      </c>
    </row>
    <row r="20" spans="1:20">
      <c r="A20" s="24">
        <v>0.156164383561644</v>
      </c>
      <c r="B20" s="24">
        <v>0.22033898305084701</v>
      </c>
      <c r="C20" s="24">
        <v>0.33755274261603402</v>
      </c>
      <c r="E20" s="24">
        <v>0.220842251074368</v>
      </c>
      <c r="I20" s="24">
        <v>0.4</v>
      </c>
      <c r="J20" s="24">
        <v>0.5</v>
      </c>
      <c r="K20" s="24">
        <v>0.66666666699999999</v>
      </c>
      <c r="L20" s="24">
        <v>1</v>
      </c>
      <c r="M20" s="24">
        <v>1</v>
      </c>
      <c r="N20" s="24">
        <v>1</v>
      </c>
      <c r="O20" s="24">
        <v>0.5</v>
      </c>
      <c r="P20" s="24">
        <v>0.66666666699999999</v>
      </c>
      <c r="Q20" s="24">
        <v>1</v>
      </c>
    </row>
    <row r="21" spans="1:20">
      <c r="A21" s="24">
        <v>0.24657534246575299</v>
      </c>
      <c r="B21" s="24">
        <v>0.40677966101694901</v>
      </c>
      <c r="C21" s="24">
        <v>0.632911392405063</v>
      </c>
      <c r="E21" s="24">
        <v>0.40747339244490099</v>
      </c>
      <c r="I21" s="24">
        <v>1</v>
      </c>
      <c r="J21" s="24">
        <v>1.5</v>
      </c>
      <c r="K21" s="24">
        <v>2</v>
      </c>
      <c r="L21" s="24">
        <v>1</v>
      </c>
      <c r="M21" s="24">
        <v>1.5</v>
      </c>
      <c r="N21" s="24">
        <v>2</v>
      </c>
      <c r="O21" s="24">
        <v>1</v>
      </c>
      <c r="P21" s="24">
        <v>1</v>
      </c>
      <c r="Q21" s="24">
        <v>1</v>
      </c>
    </row>
    <row r="23" spans="1:20">
      <c r="A23" s="437" t="s">
        <v>400</v>
      </c>
      <c r="B23" s="437"/>
      <c r="C23" s="437"/>
      <c r="D23" s="437"/>
      <c r="E23" s="437"/>
      <c r="F23" s="437"/>
      <c r="G23" s="437"/>
      <c r="H23" s="437"/>
      <c r="I23" s="437"/>
      <c r="J23" s="437"/>
      <c r="K23" s="437"/>
      <c r="L23" s="437"/>
      <c r="M23" s="437"/>
      <c r="N23" s="437"/>
      <c r="O23" s="437"/>
      <c r="P23" s="437"/>
      <c r="Q23" s="437"/>
      <c r="R23" s="437"/>
      <c r="S23" s="437"/>
      <c r="T23" s="437"/>
    </row>
    <row r="24" spans="1:20">
      <c r="A24" s="24" t="s">
        <v>399</v>
      </c>
    </row>
    <row r="25" spans="1:20">
      <c r="A25" s="24">
        <v>8.8663080294879501E-2</v>
      </c>
      <c r="B25" s="24">
        <v>0.122241086587436</v>
      </c>
      <c r="C25" s="24">
        <v>0.18179104477611899</v>
      </c>
      <c r="E25" s="24">
        <v>0.122383880220714</v>
      </c>
      <c r="G25" s="24">
        <v>1.8599999999999998E-2</v>
      </c>
      <c r="I25" s="24">
        <v>1</v>
      </c>
      <c r="J25" s="24">
        <v>1</v>
      </c>
      <c r="K25" s="24">
        <v>1</v>
      </c>
      <c r="L25" s="24">
        <v>0.28571428571428598</v>
      </c>
      <c r="M25" s="24">
        <v>0.33333333333333298</v>
      </c>
      <c r="N25" s="24">
        <v>0.4</v>
      </c>
      <c r="O25" s="24">
        <v>0.33333333333333298</v>
      </c>
      <c r="P25" s="24">
        <v>0.4</v>
      </c>
      <c r="Q25" s="24">
        <v>0.5</v>
      </c>
      <c r="R25" s="24">
        <v>0.5</v>
      </c>
      <c r="S25" s="24">
        <v>0.66666666666666696</v>
      </c>
      <c r="T25" s="24">
        <v>1</v>
      </c>
    </row>
    <row r="26" spans="1:20">
      <c r="A26" s="24">
        <v>0.27196652719665299</v>
      </c>
      <c r="B26" s="24">
        <v>0.40747028862478801</v>
      </c>
      <c r="C26" s="24">
        <v>0.59552238805970203</v>
      </c>
      <c r="E26" s="24">
        <v>0.40234022625465099</v>
      </c>
      <c r="I26" s="24">
        <v>2.5</v>
      </c>
      <c r="J26" s="24">
        <v>3</v>
      </c>
      <c r="K26" s="24">
        <v>3.5</v>
      </c>
      <c r="L26" s="24">
        <v>1</v>
      </c>
      <c r="M26" s="24">
        <v>1</v>
      </c>
      <c r="N26" s="24">
        <v>1</v>
      </c>
      <c r="O26" s="24">
        <v>1</v>
      </c>
      <c r="P26" s="24">
        <v>1.5</v>
      </c>
      <c r="Q26" s="24">
        <v>2</v>
      </c>
      <c r="R26" s="24">
        <v>2</v>
      </c>
      <c r="S26" s="24">
        <v>2.5</v>
      </c>
      <c r="T26" s="24">
        <v>3</v>
      </c>
    </row>
    <row r="27" spans="1:20">
      <c r="A27" s="24">
        <v>0.18828451882845201</v>
      </c>
      <c r="B27" s="24">
        <v>0.28862478777589101</v>
      </c>
      <c r="C27" s="24">
        <v>0.43880597014925399</v>
      </c>
      <c r="E27" s="24">
        <v>0.29044128327857699</v>
      </c>
      <c r="I27" s="24">
        <v>2</v>
      </c>
      <c r="J27" s="24">
        <v>2.5</v>
      </c>
      <c r="K27" s="24">
        <v>3</v>
      </c>
      <c r="L27" s="24">
        <v>0.5</v>
      </c>
      <c r="M27" s="24">
        <v>0.66666666666666696</v>
      </c>
      <c r="N27" s="24">
        <v>1</v>
      </c>
      <c r="O27" s="24">
        <v>1</v>
      </c>
      <c r="P27" s="24">
        <v>1</v>
      </c>
      <c r="Q27" s="24">
        <v>1</v>
      </c>
      <c r="R27" s="24">
        <v>1</v>
      </c>
      <c r="S27" s="24">
        <v>1.5</v>
      </c>
      <c r="T27" s="24">
        <v>2</v>
      </c>
    </row>
    <row r="28" spans="1:20">
      <c r="A28" s="24">
        <v>0.118549511854951</v>
      </c>
      <c r="B28" s="24">
        <v>0.18166383701188499</v>
      </c>
      <c r="C28" s="24">
        <v>0.282089552238806</v>
      </c>
      <c r="E28" s="24">
        <v>0.18483461024605699</v>
      </c>
      <c r="I28" s="24">
        <v>1</v>
      </c>
      <c r="J28" s="24">
        <v>1.5</v>
      </c>
      <c r="K28" s="24">
        <v>2</v>
      </c>
      <c r="L28" s="24">
        <v>0.33333333333333298</v>
      </c>
      <c r="M28" s="24">
        <v>0.4</v>
      </c>
      <c r="N28" s="24">
        <v>0.5</v>
      </c>
      <c r="O28" s="24">
        <v>0.5</v>
      </c>
      <c r="P28" s="24">
        <v>0.66666666666666696</v>
      </c>
      <c r="Q28" s="24">
        <v>1</v>
      </c>
      <c r="R28" s="24">
        <v>1</v>
      </c>
      <c r="S28" s="24">
        <v>1</v>
      </c>
      <c r="T28" s="24">
        <v>1</v>
      </c>
    </row>
    <row r="35" spans="1:17">
      <c r="A35" s="24" t="s">
        <v>398</v>
      </c>
    </row>
    <row r="36" spans="1:17">
      <c r="A36" s="24" t="s">
        <v>397</v>
      </c>
      <c r="E36" s="24" t="s">
        <v>396</v>
      </c>
    </row>
    <row r="37" spans="1:17">
      <c r="A37" s="24">
        <v>0.3</v>
      </c>
      <c r="B37" s="24">
        <v>0.4</v>
      </c>
      <c r="C37" s="24">
        <v>0.57142857142857095</v>
      </c>
      <c r="E37" s="24">
        <v>0.40175219023779701</v>
      </c>
      <c r="G37" s="24">
        <v>6.6799999999999998E-2</v>
      </c>
      <c r="I37" s="24">
        <v>1</v>
      </c>
      <c r="J37" s="24">
        <v>1</v>
      </c>
      <c r="K37" s="24">
        <v>1</v>
      </c>
      <c r="L37" s="24">
        <v>0.5</v>
      </c>
      <c r="M37" s="24">
        <v>0.66666666666666696</v>
      </c>
      <c r="N37" s="24">
        <v>1</v>
      </c>
    </row>
    <row r="38" spans="1:17">
      <c r="A38" s="24">
        <v>0.4</v>
      </c>
      <c r="B38" s="24">
        <v>0.6</v>
      </c>
      <c r="C38" s="24">
        <v>0.85714285714285698</v>
      </c>
      <c r="E38" s="24">
        <v>0.59824780976220304</v>
      </c>
      <c r="I38" s="24">
        <v>1</v>
      </c>
      <c r="J38" s="24">
        <v>1.5</v>
      </c>
      <c r="K38" s="24">
        <v>2</v>
      </c>
      <c r="L38" s="24">
        <v>1</v>
      </c>
      <c r="M38" s="24">
        <v>1</v>
      </c>
      <c r="N38" s="24">
        <v>1</v>
      </c>
    </row>
    <row r="40" spans="1:17">
      <c r="A40" s="24" t="s">
        <v>395</v>
      </c>
    </row>
    <row r="41" spans="1:17">
      <c r="A41" s="24">
        <v>0.27096774193548401</v>
      </c>
      <c r="B41" s="24">
        <v>0.33333333333333298</v>
      </c>
      <c r="C41" s="24">
        <v>0.427350427350427</v>
      </c>
      <c r="E41" s="24">
        <v>0.32992956341288199</v>
      </c>
      <c r="G41" s="24">
        <v>3.6799999999999999E-2</v>
      </c>
      <c r="I41" s="24">
        <v>1</v>
      </c>
      <c r="J41" s="24">
        <v>1</v>
      </c>
      <c r="K41" s="24">
        <v>1</v>
      </c>
      <c r="L41" s="24">
        <v>0.4</v>
      </c>
      <c r="M41" s="24">
        <v>0.5</v>
      </c>
      <c r="N41" s="24">
        <v>0.66666666666666696</v>
      </c>
    </row>
    <row r="42" spans="1:17">
      <c r="A42" s="24">
        <v>0.483870967741936</v>
      </c>
      <c r="B42" s="24">
        <v>0.66666666666666696</v>
      </c>
      <c r="C42" s="24">
        <v>0.89743589743589802</v>
      </c>
      <c r="E42" s="24">
        <v>0.67007043658711796</v>
      </c>
      <c r="I42" s="24">
        <v>1.5</v>
      </c>
      <c r="J42" s="24">
        <v>2</v>
      </c>
      <c r="K42" s="24">
        <v>2.5</v>
      </c>
      <c r="L42" s="24">
        <v>1</v>
      </c>
      <c r="M42" s="24">
        <v>1</v>
      </c>
      <c r="N42" s="24">
        <v>1</v>
      </c>
    </row>
    <row r="44" spans="1:17">
      <c r="A44" s="24" t="s">
        <v>394</v>
      </c>
    </row>
    <row r="45" spans="1:17">
      <c r="A45" s="24">
        <v>0.13684210526315799</v>
      </c>
      <c r="B45" s="24">
        <v>0.17981072555205099</v>
      </c>
      <c r="C45" s="24">
        <v>0.248091603053435</v>
      </c>
      <c r="E45" s="24">
        <v>0.176508752442922</v>
      </c>
      <c r="G45" s="24">
        <v>2.9100000000000001E-2</v>
      </c>
      <c r="I45" s="24">
        <v>1</v>
      </c>
      <c r="J45" s="24">
        <v>1</v>
      </c>
      <c r="K45" s="24">
        <v>1</v>
      </c>
      <c r="L45" s="24">
        <v>0.33333333333333298</v>
      </c>
      <c r="M45" s="24">
        <v>0.4</v>
      </c>
      <c r="N45" s="24">
        <v>0.5</v>
      </c>
      <c r="O45" s="24">
        <v>0.4</v>
      </c>
      <c r="P45" s="24">
        <v>0.5</v>
      </c>
      <c r="Q45" s="24">
        <v>0.66666666666666696</v>
      </c>
    </row>
    <row r="46" spans="1:17">
      <c r="A46" s="24">
        <v>0.31578947368421101</v>
      </c>
      <c r="B46" s="24">
        <v>0.47318611987381698</v>
      </c>
      <c r="C46" s="24">
        <v>0.68702290076335903</v>
      </c>
      <c r="E46" s="24">
        <v>0.47252732453750601</v>
      </c>
      <c r="I46" s="24">
        <v>2</v>
      </c>
      <c r="J46" s="24">
        <v>2.5</v>
      </c>
      <c r="K46" s="24">
        <v>3</v>
      </c>
      <c r="L46" s="24">
        <v>1</v>
      </c>
      <c r="M46" s="24">
        <v>1</v>
      </c>
      <c r="N46" s="24">
        <v>1</v>
      </c>
      <c r="O46" s="24">
        <v>1</v>
      </c>
      <c r="P46" s="24">
        <v>1.5</v>
      </c>
      <c r="Q46" s="24">
        <v>2</v>
      </c>
    </row>
    <row r="47" spans="1:17">
      <c r="A47" s="24">
        <v>0.23684210526315799</v>
      </c>
      <c r="B47" s="24">
        <v>0.347003154574133</v>
      </c>
      <c r="C47" s="24">
        <v>0.515267175572519</v>
      </c>
      <c r="E47" s="24">
        <v>0.35096392301957202</v>
      </c>
      <c r="I47" s="24">
        <v>1.5</v>
      </c>
      <c r="J47" s="24">
        <v>2</v>
      </c>
      <c r="K47" s="24">
        <v>2.5</v>
      </c>
      <c r="L47" s="24">
        <v>0.5</v>
      </c>
      <c r="M47" s="24">
        <v>0.66666666666666696</v>
      </c>
      <c r="N47" s="24">
        <v>1</v>
      </c>
      <c r="O47" s="24">
        <v>1</v>
      </c>
      <c r="P47" s="24">
        <v>1</v>
      </c>
      <c r="Q47" s="24">
        <v>1</v>
      </c>
    </row>
    <row r="49" spans="1:20">
      <c r="A49" s="24" t="s">
        <v>393</v>
      </c>
    </row>
    <row r="50" spans="1:20">
      <c r="A50" s="24">
        <v>0.25</v>
      </c>
      <c r="B50" s="24">
        <v>0.42105263157894701</v>
      </c>
      <c r="C50" s="24">
        <v>0.66666666666666696</v>
      </c>
      <c r="E50" s="24">
        <v>0.417624101834628</v>
      </c>
      <c r="G50" s="24">
        <v>5.6599999999999998E-2</v>
      </c>
      <c r="I50" s="24">
        <v>1</v>
      </c>
      <c r="J50" s="24">
        <v>1</v>
      </c>
      <c r="K50" s="24">
        <v>1</v>
      </c>
      <c r="L50" s="24">
        <v>1</v>
      </c>
      <c r="M50" s="24">
        <v>1.5</v>
      </c>
      <c r="N50" s="24">
        <v>2</v>
      </c>
      <c r="O50" s="24">
        <v>1</v>
      </c>
      <c r="P50" s="24">
        <v>1.5</v>
      </c>
      <c r="Q50" s="24">
        <v>2</v>
      </c>
    </row>
    <row r="51" spans="1:20">
      <c r="A51" s="24">
        <v>0.16666666666666699</v>
      </c>
      <c r="B51" s="24">
        <v>0.24561403508771901</v>
      </c>
      <c r="C51" s="24">
        <v>0.4</v>
      </c>
      <c r="E51" s="24">
        <v>0.24904256483203899</v>
      </c>
      <c r="I51" s="24">
        <v>0.5</v>
      </c>
      <c r="J51" s="24">
        <v>0.66666666666666696</v>
      </c>
      <c r="K51" s="24">
        <v>1</v>
      </c>
      <c r="L51" s="24">
        <v>1</v>
      </c>
      <c r="M51" s="24">
        <v>1</v>
      </c>
      <c r="N51" s="24">
        <v>1</v>
      </c>
      <c r="O51" s="24">
        <v>0.5</v>
      </c>
      <c r="P51" s="24">
        <v>0.66666666666666696</v>
      </c>
      <c r="Q51" s="24">
        <v>1</v>
      </c>
    </row>
    <row r="52" spans="1:20">
      <c r="A52" s="24">
        <v>0.20833333333333301</v>
      </c>
      <c r="B52" s="24">
        <v>0.33333333333333298</v>
      </c>
      <c r="C52" s="24">
        <v>0.53333333333333299</v>
      </c>
      <c r="E52" s="24">
        <v>0.33333333333333298</v>
      </c>
      <c r="I52" s="24">
        <v>0.5</v>
      </c>
      <c r="J52" s="24">
        <v>0.66666666666666696</v>
      </c>
      <c r="K52" s="24">
        <v>1</v>
      </c>
      <c r="L52" s="24">
        <v>1</v>
      </c>
      <c r="M52" s="24">
        <v>1.5</v>
      </c>
      <c r="N52" s="24">
        <v>2</v>
      </c>
      <c r="O52" s="24">
        <v>1</v>
      </c>
      <c r="P52" s="24">
        <v>1</v>
      </c>
      <c r="Q52" s="24">
        <v>1</v>
      </c>
    </row>
    <row r="54" spans="1:20">
      <c r="A54" s="24" t="s">
        <v>392</v>
      </c>
    </row>
    <row r="55" spans="1:20">
      <c r="A55" s="24">
        <v>0.101449275362319</v>
      </c>
      <c r="B55" s="24">
        <v>0.14801444043321299</v>
      </c>
      <c r="C55" s="24">
        <v>0.23863636363636401</v>
      </c>
      <c r="E55" s="24">
        <v>0.150798097504872</v>
      </c>
      <c r="G55" s="24">
        <v>6.0199999999999997E-2</v>
      </c>
    </row>
    <row r="56" spans="1:20">
      <c r="A56" s="24">
        <v>0.217391304347826</v>
      </c>
      <c r="B56" s="24">
        <v>0.35198555956678701</v>
      </c>
      <c r="C56" s="24">
        <v>0.54545454545454497</v>
      </c>
      <c r="E56" s="24">
        <v>0.349201902495128</v>
      </c>
      <c r="I56" s="24">
        <v>1</v>
      </c>
      <c r="J56" s="24">
        <v>1</v>
      </c>
      <c r="K56" s="24">
        <v>1</v>
      </c>
      <c r="L56" s="24">
        <v>0.5</v>
      </c>
      <c r="M56" s="24">
        <v>0.66666666666666696</v>
      </c>
      <c r="N56" s="24">
        <v>1</v>
      </c>
      <c r="O56" s="24">
        <v>0.33333333333333298</v>
      </c>
      <c r="P56" s="24">
        <v>0.4</v>
      </c>
      <c r="Q56" s="24">
        <v>0.5</v>
      </c>
      <c r="R56" s="24">
        <v>0.5</v>
      </c>
      <c r="S56" s="24">
        <v>0.66666666666666696</v>
      </c>
      <c r="T56" s="24">
        <v>1</v>
      </c>
    </row>
    <row r="57" spans="1:20">
      <c r="A57" s="24">
        <v>0.19565217391304299</v>
      </c>
      <c r="B57" s="24">
        <v>0.30685920577617298</v>
      </c>
      <c r="C57" s="24">
        <v>0.47727272727272702</v>
      </c>
      <c r="E57" s="24">
        <v>0.30553436791156802</v>
      </c>
      <c r="I57" s="24">
        <v>1</v>
      </c>
      <c r="J57" s="24">
        <v>1.5</v>
      </c>
      <c r="K57" s="24">
        <v>2</v>
      </c>
      <c r="L57" s="24">
        <v>1</v>
      </c>
      <c r="M57" s="24">
        <v>1</v>
      </c>
      <c r="N57" s="24">
        <v>1</v>
      </c>
      <c r="O57" s="24">
        <v>1</v>
      </c>
      <c r="P57" s="24">
        <v>1.5</v>
      </c>
      <c r="Q57" s="24">
        <v>2</v>
      </c>
      <c r="R57" s="24">
        <v>2</v>
      </c>
      <c r="S57" s="24">
        <v>2.5</v>
      </c>
      <c r="T57" s="24">
        <v>3</v>
      </c>
    </row>
    <row r="58" spans="1:20">
      <c r="A58" s="24">
        <v>0.123188405797101</v>
      </c>
      <c r="B58" s="24">
        <v>0.19314079422382699</v>
      </c>
      <c r="C58" s="24">
        <v>0.30681818181818199</v>
      </c>
      <c r="E58" s="24">
        <v>0.19446563208843201</v>
      </c>
      <c r="I58" s="24">
        <v>2</v>
      </c>
      <c r="J58" s="24">
        <v>2.5</v>
      </c>
      <c r="K58" s="24">
        <v>3</v>
      </c>
      <c r="L58" s="24">
        <v>0.5</v>
      </c>
      <c r="M58" s="24">
        <v>0.66666666666666696</v>
      </c>
      <c r="N58" s="24">
        <v>1</v>
      </c>
      <c r="O58" s="24">
        <v>1</v>
      </c>
      <c r="P58" s="24">
        <v>1</v>
      </c>
      <c r="Q58" s="24">
        <v>1</v>
      </c>
      <c r="R58" s="24">
        <v>1</v>
      </c>
      <c r="S58" s="24">
        <v>1.5</v>
      </c>
      <c r="T58" s="24">
        <v>2</v>
      </c>
    </row>
    <row r="59" spans="1:20">
      <c r="I59" s="24">
        <v>1</v>
      </c>
      <c r="J59" s="24">
        <v>1.5</v>
      </c>
      <c r="K59" s="24">
        <v>2</v>
      </c>
      <c r="L59" s="24">
        <v>0.33333333333333298</v>
      </c>
      <c r="M59" s="24">
        <v>0.4</v>
      </c>
      <c r="N59" s="24">
        <v>0.5</v>
      </c>
      <c r="O59" s="24">
        <v>0.5</v>
      </c>
      <c r="P59" s="24">
        <v>0.66666666666666696</v>
      </c>
      <c r="Q59" s="24">
        <v>1</v>
      </c>
      <c r="R59" s="24">
        <v>1</v>
      </c>
      <c r="S59" s="24">
        <v>1</v>
      </c>
      <c r="T59" s="24">
        <v>1</v>
      </c>
    </row>
  </sheetData>
  <mergeCells count="4">
    <mergeCell ref="A1:Q1"/>
    <mergeCell ref="A2:C2"/>
    <mergeCell ref="I2:Q2"/>
    <mergeCell ref="A23:T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A3F46-1467-4C48-8584-3415F282BA34}">
  <dimension ref="A1:R134"/>
  <sheetViews>
    <sheetView topLeftCell="A5" workbookViewId="0">
      <selection activeCell="C50" sqref="C50"/>
    </sheetView>
  </sheetViews>
  <sheetFormatPr defaultRowHeight="14.5"/>
  <cols>
    <col min="1" max="1" width="16.1796875" customWidth="1"/>
    <col min="2" max="2" width="15.26953125" customWidth="1"/>
    <col min="3" max="3" width="16.26953125" customWidth="1"/>
    <col min="4" max="4" width="15" customWidth="1"/>
    <col min="5" max="5" width="12.7265625" customWidth="1"/>
    <col min="6" max="6" width="15.26953125" customWidth="1"/>
    <col min="7" max="7" width="14.7265625" customWidth="1"/>
    <col min="8" max="8" width="12.81640625" customWidth="1"/>
    <col min="9" max="9" width="15.26953125" customWidth="1"/>
    <col min="10" max="10" width="15.54296875" customWidth="1"/>
    <col min="11" max="11" width="11.453125" customWidth="1"/>
    <col min="12" max="12" width="13.81640625" customWidth="1"/>
    <col min="13" max="14" width="15.26953125" customWidth="1"/>
  </cols>
  <sheetData>
    <row r="1" spans="1:18">
      <c r="A1" s="341" t="s">
        <v>330</v>
      </c>
      <c r="B1" s="194" t="s">
        <v>0</v>
      </c>
      <c r="C1" s="194" t="s">
        <v>1</v>
      </c>
      <c r="D1" s="194" t="s">
        <v>2</v>
      </c>
      <c r="E1" s="194" t="s">
        <v>3</v>
      </c>
      <c r="F1" s="194" t="s">
        <v>4</v>
      </c>
      <c r="H1" s="224" t="s">
        <v>5</v>
      </c>
      <c r="I1" s="198" t="s">
        <v>0</v>
      </c>
      <c r="J1" s="163" t="s">
        <v>1</v>
      </c>
      <c r="K1" s="162" t="s">
        <v>2</v>
      </c>
      <c r="L1" s="164" t="s">
        <v>3</v>
      </c>
      <c r="M1" s="162" t="s">
        <v>4</v>
      </c>
    </row>
    <row r="2" spans="1:18">
      <c r="A2" s="194" t="s">
        <v>6</v>
      </c>
      <c r="B2" s="195">
        <v>0.3</v>
      </c>
      <c r="C2" s="195">
        <v>5</v>
      </c>
      <c r="D2" s="195">
        <v>60</v>
      </c>
      <c r="E2" s="195">
        <v>90</v>
      </c>
      <c r="F2" s="195">
        <v>3</v>
      </c>
      <c r="H2" s="242" t="s">
        <v>6</v>
      </c>
      <c r="I2" s="155">
        <f>$B$72*((B5-B2)/(B5-B6))+0.0001</f>
        <v>0.17647257744779174</v>
      </c>
      <c r="J2" s="125">
        <f>C72*((C5-C2)/(C5-C6))+0.0001</f>
        <v>0.17174382680905584</v>
      </c>
      <c r="K2" s="125">
        <f>D72*((D5-D2)/(D5-D6))+0.0001</f>
        <v>7.9287362281609791E-2</v>
      </c>
      <c r="L2" s="125">
        <f>E72*((E5-E2)/(E5-E6))+0.0001</f>
        <v>0.21721649905873913</v>
      </c>
      <c r="M2" s="125">
        <f>F72*((F5-F2)/(F5-F6))+0.0001</f>
        <v>1E-4</v>
      </c>
    </row>
    <row r="3" spans="1:18">
      <c r="A3" s="194" t="s">
        <v>7</v>
      </c>
      <c r="B3" s="195">
        <v>2</v>
      </c>
      <c r="C3" s="195">
        <v>16</v>
      </c>
      <c r="D3" s="195">
        <v>68</v>
      </c>
      <c r="E3" s="195">
        <v>450</v>
      </c>
      <c r="F3" s="195">
        <v>3</v>
      </c>
      <c r="H3" s="164" t="s">
        <v>7</v>
      </c>
      <c r="I3" s="155">
        <f>B72*((B5-B3)/(B5-B6))+0.0001</f>
        <v>1E-4</v>
      </c>
      <c r="J3" s="155">
        <f>C72*((C5-C3)/(C5-C6))+0.0001</f>
        <v>1E-4</v>
      </c>
      <c r="K3" s="155">
        <f t="shared" ref="K3:M3" si="0">D72*((D5-D3)/(D5-D6))+0.0001</f>
        <v>1E-4</v>
      </c>
      <c r="L3" s="155">
        <f t="shared" si="0"/>
        <v>1E-4</v>
      </c>
      <c r="M3" s="155">
        <f t="shared" si="0"/>
        <v>1E-4</v>
      </c>
    </row>
    <row r="4" spans="1:18">
      <c r="A4" s="194" t="s">
        <v>8</v>
      </c>
      <c r="B4" s="195">
        <v>1.1499999999999999</v>
      </c>
      <c r="C4" s="195">
        <v>10.5</v>
      </c>
      <c r="D4" s="195">
        <v>46</v>
      </c>
      <c r="E4" s="195">
        <v>434</v>
      </c>
      <c r="F4" s="195">
        <v>8</v>
      </c>
      <c r="H4" s="101" t="s">
        <v>8</v>
      </c>
      <c r="I4" s="155">
        <f>B72*((B5-B4)/(B5-B6))+0.0001</f>
        <v>8.8286288723895892E-2</v>
      </c>
      <c r="J4" s="155">
        <f>C72*((C5-C4)/(C5-C6))+0.0001</f>
        <v>8.5921913404527928E-2</v>
      </c>
      <c r="K4" s="155">
        <f t="shared" ref="K4:M4" si="1">D72*((D5-D4)/(D5-D6))+0.0001</f>
        <v>0.21786524627442688</v>
      </c>
      <c r="L4" s="155">
        <f t="shared" si="1"/>
        <v>9.7496221803884068E-3</v>
      </c>
      <c r="M4" s="155">
        <f t="shared" si="1"/>
        <v>0.21720185040998635</v>
      </c>
    </row>
    <row r="5" spans="1:18">
      <c r="A5" s="242" t="s">
        <v>9</v>
      </c>
      <c r="B5" s="155">
        <f>MAX(B2:B4)</f>
        <v>2</v>
      </c>
      <c r="C5" s="155">
        <f t="shared" ref="C5:E5" si="2">MAX(C2:C4)</f>
        <v>16</v>
      </c>
      <c r="D5" s="155">
        <f t="shared" si="2"/>
        <v>68</v>
      </c>
      <c r="E5" s="155">
        <f t="shared" si="2"/>
        <v>450</v>
      </c>
      <c r="F5" s="155">
        <f>MIN(F2:F4)</f>
        <v>3</v>
      </c>
    </row>
    <row r="6" spans="1:18">
      <c r="A6" s="156" t="s">
        <v>10</v>
      </c>
      <c r="B6" s="125">
        <f>MIN(B2:B4)</f>
        <v>0.3</v>
      </c>
      <c r="C6" s="125">
        <f t="shared" ref="C6:E6" si="3">MIN(C2:C4)</f>
        <v>5</v>
      </c>
      <c r="D6" s="125">
        <f t="shared" si="3"/>
        <v>46</v>
      </c>
      <c r="E6" s="125">
        <f t="shared" si="3"/>
        <v>90</v>
      </c>
      <c r="F6" s="125">
        <f>MAX(F2:F4)</f>
        <v>8</v>
      </c>
      <c r="H6" s="84" t="s">
        <v>5</v>
      </c>
      <c r="I6" s="9" t="s">
        <v>11</v>
      </c>
      <c r="J6" s="12" t="s">
        <v>12</v>
      </c>
      <c r="K6" s="9" t="s">
        <v>13</v>
      </c>
      <c r="L6" s="9" t="s">
        <v>14</v>
      </c>
      <c r="M6" s="9" t="s">
        <v>15</v>
      </c>
      <c r="N6" s="57" t="s">
        <v>16</v>
      </c>
      <c r="O6" s="9" t="s">
        <v>17</v>
      </c>
    </row>
    <row r="7" spans="1:18">
      <c r="H7" s="43" t="s">
        <v>6</v>
      </c>
      <c r="I7" s="125">
        <f>SUM(I2:M2)</f>
        <v>0.64482026559719641</v>
      </c>
      <c r="J7" s="125">
        <f>MAX(I2:M2)</f>
        <v>0.21721649905873913</v>
      </c>
      <c r="K7" s="167">
        <f>$M$10*((I7-$L$7)/($N$7-$L$7))+(1-$M$10)*((J7-$M$7)/($O$7-$M$7))+0.0001</f>
        <v>0.9986104436387655</v>
      </c>
      <c r="L7" s="125">
        <f>MIN(I7:I9)</f>
        <v>5.0000000000000001E-4</v>
      </c>
      <c r="M7" s="125">
        <f>MIN(J7:J9)</f>
        <v>1E-4</v>
      </c>
      <c r="N7" s="125">
        <f>MAX(I7:I9)</f>
        <v>0.64482026559719641</v>
      </c>
      <c r="O7" s="125">
        <f>MAX(J7:J9)</f>
        <v>0.21786524627442688</v>
      </c>
      <c r="Q7" s="84" t="s">
        <v>5</v>
      </c>
    </row>
    <row r="8" spans="1:18">
      <c r="A8" s="142" t="s">
        <v>18</v>
      </c>
      <c r="B8" s="227" t="s">
        <v>0</v>
      </c>
      <c r="C8" s="237" t="s">
        <v>1</v>
      </c>
      <c r="D8" s="237" t="s">
        <v>2</v>
      </c>
      <c r="E8" s="237" t="s">
        <v>3</v>
      </c>
      <c r="F8" s="238" t="s">
        <v>4</v>
      </c>
      <c r="H8" s="12" t="s">
        <v>7</v>
      </c>
      <c r="I8" s="125">
        <f>SUM(I3:M3)</f>
        <v>5.0000000000000001E-4</v>
      </c>
      <c r="J8" s="136">
        <f>MAX(I3:M3)</f>
        <v>1E-4</v>
      </c>
      <c r="K8" s="125">
        <f t="shared" ref="K8:K9" si="4">$M$10*((I8-$L$7)/($N$7-$L$7))+(1-$M$10)*((J8-$M$7)/($O$7-$M$7))+0.0001</f>
        <v>1E-4</v>
      </c>
      <c r="L8" s="99"/>
      <c r="M8" s="99"/>
      <c r="N8" s="99"/>
      <c r="O8" s="99"/>
      <c r="Q8" s="157" t="s">
        <v>19</v>
      </c>
      <c r="R8" s="159">
        <f>1/(3-1)</f>
        <v>0.5</v>
      </c>
    </row>
    <row r="9" spans="1:18">
      <c r="A9" s="239" t="s">
        <v>0</v>
      </c>
      <c r="B9" s="99" t="s">
        <v>20</v>
      </c>
      <c r="C9" s="99" t="s">
        <v>21</v>
      </c>
      <c r="D9" s="99" t="s">
        <v>22</v>
      </c>
      <c r="E9" s="99" t="s">
        <v>23</v>
      </c>
      <c r="F9" s="117" t="s">
        <v>23</v>
      </c>
      <c r="H9" s="43" t="s">
        <v>8</v>
      </c>
      <c r="I9" s="125">
        <f t="shared" ref="I9" si="5">SUM(I4:M4)</f>
        <v>0.61902492099322548</v>
      </c>
      <c r="J9" s="136">
        <f t="shared" ref="J9" si="6">MAX(I4:M4)</f>
        <v>0.21786524627442688</v>
      </c>
      <c r="K9" s="125">
        <f t="shared" si="4"/>
        <v>0.98008251337006902</v>
      </c>
      <c r="L9" s="99"/>
      <c r="M9" s="99"/>
      <c r="N9" s="99"/>
      <c r="O9" s="99"/>
      <c r="Q9" s="144" t="s">
        <v>24</v>
      </c>
      <c r="R9" s="160">
        <f>K9-K8</f>
        <v>0.97998251337006903</v>
      </c>
    </row>
    <row r="10" spans="1:18">
      <c r="A10" s="240" t="s">
        <v>1</v>
      </c>
      <c r="B10" s="99" t="s">
        <v>25</v>
      </c>
      <c r="C10" s="99" t="s">
        <v>20</v>
      </c>
      <c r="D10" s="99" t="s">
        <v>22</v>
      </c>
      <c r="E10" s="99" t="s">
        <v>23</v>
      </c>
      <c r="F10" s="117" t="s">
        <v>23</v>
      </c>
      <c r="H10" s="1"/>
      <c r="M10">
        <v>0.5</v>
      </c>
      <c r="Q10" s="144" t="s">
        <v>26</v>
      </c>
      <c r="R10" s="160" t="s">
        <v>27</v>
      </c>
    </row>
    <row r="11" spans="1:18">
      <c r="A11" s="240" t="s">
        <v>2</v>
      </c>
      <c r="B11" s="99" t="s">
        <v>28</v>
      </c>
      <c r="C11" s="99" t="s">
        <v>28</v>
      </c>
      <c r="D11" s="99" t="s">
        <v>20</v>
      </c>
      <c r="E11" s="99" t="s">
        <v>25</v>
      </c>
      <c r="F11" s="117" t="s">
        <v>25</v>
      </c>
      <c r="H11" s="1"/>
      <c r="J11" t="s">
        <v>29</v>
      </c>
      <c r="Q11" s="144" t="s">
        <v>30</v>
      </c>
      <c r="R11" s="160" t="s">
        <v>27</v>
      </c>
    </row>
    <row r="12" spans="1:18">
      <c r="A12" s="240" t="s">
        <v>3</v>
      </c>
      <c r="B12" s="99" t="s">
        <v>31</v>
      </c>
      <c r="C12" s="99" t="s">
        <v>31</v>
      </c>
      <c r="D12" s="99" t="s">
        <v>21</v>
      </c>
      <c r="E12" s="99" t="s">
        <v>20</v>
      </c>
      <c r="F12" s="117" t="s">
        <v>20</v>
      </c>
      <c r="H12" s="1"/>
      <c r="Q12" s="158" t="s">
        <v>32</v>
      </c>
      <c r="R12" s="161">
        <f>K7-K8</f>
        <v>0.99851044363876551</v>
      </c>
    </row>
    <row r="13" spans="1:18">
      <c r="A13" s="241" t="s">
        <v>4</v>
      </c>
      <c r="B13" s="119" t="s">
        <v>31</v>
      </c>
      <c r="C13" s="119" t="s">
        <v>31</v>
      </c>
      <c r="D13" s="119" t="s">
        <v>21</v>
      </c>
      <c r="E13" s="119" t="s">
        <v>20</v>
      </c>
      <c r="F13" s="120" t="s">
        <v>20</v>
      </c>
      <c r="H13" s="1"/>
    </row>
    <row r="15" spans="1:18">
      <c r="A15" s="99">
        <v>1</v>
      </c>
      <c r="B15" s="99">
        <v>1</v>
      </c>
      <c r="C15" s="99">
        <v>1</v>
      </c>
      <c r="D15" s="236">
        <v>0.66666666666666663</v>
      </c>
      <c r="E15" s="99">
        <v>1</v>
      </c>
      <c r="F15" s="99">
        <v>2</v>
      </c>
      <c r="G15" s="236">
        <v>0.5</v>
      </c>
      <c r="H15" s="236">
        <v>0.66666666666666663</v>
      </c>
      <c r="I15" s="99">
        <v>1</v>
      </c>
      <c r="J15" s="236">
        <v>0.4</v>
      </c>
      <c r="K15" s="236">
        <v>0.5</v>
      </c>
      <c r="L15" s="236">
        <v>0.66666666666666663</v>
      </c>
      <c r="M15" s="236">
        <v>0.4</v>
      </c>
      <c r="N15" s="236">
        <v>0.5</v>
      </c>
      <c r="O15" s="236">
        <v>0.66666666666666663</v>
      </c>
    </row>
    <row r="16" spans="1:18">
      <c r="A16" s="99">
        <v>0.5</v>
      </c>
      <c r="B16" s="99">
        <v>1</v>
      </c>
      <c r="C16" s="99">
        <v>1.5</v>
      </c>
      <c r="D16" s="99">
        <v>1</v>
      </c>
      <c r="E16" s="99">
        <v>1</v>
      </c>
      <c r="F16" s="99">
        <v>1</v>
      </c>
      <c r="G16" s="236">
        <v>0.5</v>
      </c>
      <c r="H16" s="236">
        <v>0.66666666666666663</v>
      </c>
      <c r="I16" s="99">
        <v>1</v>
      </c>
      <c r="J16" s="236">
        <v>0.4</v>
      </c>
      <c r="K16" s="236">
        <v>0.5</v>
      </c>
      <c r="L16" s="236">
        <v>0.66666666666666663</v>
      </c>
      <c r="M16" s="236">
        <v>0.4</v>
      </c>
      <c r="N16" s="236">
        <v>0.5</v>
      </c>
      <c r="O16" s="236">
        <v>0.66666666666666663</v>
      </c>
    </row>
    <row r="17" spans="1:17">
      <c r="A17" s="99">
        <v>1</v>
      </c>
      <c r="B17" s="99">
        <v>1.5</v>
      </c>
      <c r="C17" s="99">
        <v>2</v>
      </c>
      <c r="D17" s="99">
        <v>1</v>
      </c>
      <c r="E17" s="99">
        <v>1.5</v>
      </c>
      <c r="F17" s="99">
        <v>2</v>
      </c>
      <c r="G17" s="99">
        <v>1</v>
      </c>
      <c r="H17" s="99">
        <v>1</v>
      </c>
      <c r="I17" s="99">
        <v>1</v>
      </c>
      <c r="J17" s="99">
        <v>0.5</v>
      </c>
      <c r="K17" s="99">
        <v>1</v>
      </c>
      <c r="L17" s="99">
        <v>1.5</v>
      </c>
      <c r="M17" s="99">
        <v>0.5</v>
      </c>
      <c r="N17" s="99">
        <v>1</v>
      </c>
      <c r="O17" s="99">
        <v>1.5</v>
      </c>
    </row>
    <row r="18" spans="1:17">
      <c r="A18" s="99">
        <v>1.5</v>
      </c>
      <c r="B18" s="99">
        <v>2</v>
      </c>
      <c r="C18" s="99">
        <v>2.5</v>
      </c>
      <c r="D18" s="99">
        <v>1.5</v>
      </c>
      <c r="E18" s="99">
        <v>2</v>
      </c>
      <c r="F18" s="99">
        <v>2.5</v>
      </c>
      <c r="G18" s="236">
        <v>0.66666666666666663</v>
      </c>
      <c r="H18" s="99">
        <v>1</v>
      </c>
      <c r="I18" s="99">
        <v>2</v>
      </c>
      <c r="J18" s="99">
        <v>1</v>
      </c>
      <c r="K18" s="99">
        <v>1</v>
      </c>
      <c r="L18" s="99">
        <v>1</v>
      </c>
      <c r="M18" s="99">
        <v>1</v>
      </c>
      <c r="N18" s="99">
        <v>1</v>
      </c>
      <c r="O18" s="99">
        <v>1</v>
      </c>
    </row>
    <row r="19" spans="1:17">
      <c r="A19" s="99">
        <v>1.5</v>
      </c>
      <c r="B19" s="99">
        <v>2</v>
      </c>
      <c r="C19" s="99">
        <v>2.5</v>
      </c>
      <c r="D19" s="99">
        <v>1.5</v>
      </c>
      <c r="E19" s="99">
        <v>2</v>
      </c>
      <c r="F19" s="99">
        <v>2.5</v>
      </c>
      <c r="G19" s="236">
        <v>0.66666666666666663</v>
      </c>
      <c r="H19" s="99">
        <v>1</v>
      </c>
      <c r="I19" s="99">
        <v>2</v>
      </c>
      <c r="J19" s="99">
        <v>1</v>
      </c>
      <c r="K19" s="99">
        <v>1</v>
      </c>
      <c r="L19" s="99">
        <v>1</v>
      </c>
      <c r="M19" s="99">
        <v>1</v>
      </c>
      <c r="N19" s="99">
        <v>1</v>
      </c>
      <c r="O19" s="99">
        <v>1</v>
      </c>
    </row>
    <row r="21" spans="1:17">
      <c r="A21" s="224" t="s">
        <v>0</v>
      </c>
      <c r="B21" s="164" t="s">
        <v>6</v>
      </c>
      <c r="C21" s="162" t="s">
        <v>7</v>
      </c>
      <c r="D21" s="193" t="s">
        <v>8</v>
      </c>
      <c r="E21" s="162" t="s">
        <v>33</v>
      </c>
      <c r="H21" s="224" t="s">
        <v>2</v>
      </c>
      <c r="I21" s="193" t="s">
        <v>6</v>
      </c>
      <c r="J21" s="162" t="s">
        <v>7</v>
      </c>
      <c r="K21" s="163" t="s">
        <v>8</v>
      </c>
      <c r="L21" s="162" t="s">
        <v>33</v>
      </c>
    </row>
    <row r="22" spans="1:17">
      <c r="A22" s="156" t="s">
        <v>6</v>
      </c>
      <c r="B22" s="125">
        <v>1</v>
      </c>
      <c r="C22" s="125">
        <v>0.25</v>
      </c>
      <c r="D22" s="246">
        <v>0.33300000000000002</v>
      </c>
      <c r="E22" s="125">
        <v>0.220842251074368</v>
      </c>
      <c r="H22" s="242" t="s">
        <v>6</v>
      </c>
      <c r="I22" s="125">
        <v>1</v>
      </c>
      <c r="J22" s="125">
        <v>2</v>
      </c>
      <c r="K22" s="125">
        <v>3</v>
      </c>
      <c r="L22" s="125">
        <v>0.34507516030694801</v>
      </c>
      <c r="N22" s="143" t="s">
        <v>34</v>
      </c>
      <c r="O22" s="228" t="s">
        <v>35</v>
      </c>
      <c r="Q22" t="s">
        <v>36</v>
      </c>
    </row>
    <row r="23" spans="1:17">
      <c r="A23" s="164" t="s">
        <v>7</v>
      </c>
      <c r="B23" s="125">
        <v>4</v>
      </c>
      <c r="C23" s="125">
        <v>1</v>
      </c>
      <c r="D23" s="247">
        <v>3</v>
      </c>
      <c r="E23" s="125">
        <v>0.45391825861499302</v>
      </c>
      <c r="H23" s="164" t="s">
        <v>7</v>
      </c>
      <c r="I23" s="125">
        <v>0.5</v>
      </c>
      <c r="J23" s="125">
        <v>1</v>
      </c>
      <c r="K23" s="125">
        <v>5</v>
      </c>
      <c r="L23" s="125">
        <v>0.45538386068187398</v>
      </c>
      <c r="N23" s="232" t="s">
        <v>37</v>
      </c>
      <c r="O23" s="229">
        <v>0.15103321615419399</v>
      </c>
    </row>
    <row r="24" spans="1:17">
      <c r="A24" s="156" t="s">
        <v>8</v>
      </c>
      <c r="B24" s="245">
        <v>3</v>
      </c>
      <c r="C24" s="244">
        <f>1/3</f>
        <v>0.33333333333333331</v>
      </c>
      <c r="D24" s="136">
        <v>1</v>
      </c>
      <c r="E24" s="125">
        <v>0.32523949031063898</v>
      </c>
      <c r="H24" s="156" t="s">
        <v>8</v>
      </c>
      <c r="I24" s="125">
        <v>0.33300000000000002</v>
      </c>
      <c r="J24" s="125">
        <v>0.2</v>
      </c>
      <c r="K24" s="125">
        <v>1</v>
      </c>
      <c r="L24" s="125">
        <v>0.19954097901117801</v>
      </c>
      <c r="N24" s="233" t="s">
        <v>38</v>
      </c>
      <c r="O24" s="230">
        <v>0.14304303775896199</v>
      </c>
    </row>
    <row r="25" spans="1:17">
      <c r="N25" s="233" t="s">
        <v>39</v>
      </c>
      <c r="O25" s="230">
        <v>0.23416261549269399</v>
      </c>
    </row>
    <row r="26" spans="1:17">
      <c r="A26" s="224" t="s">
        <v>1</v>
      </c>
      <c r="B26" s="164" t="s">
        <v>6</v>
      </c>
      <c r="C26" s="162" t="s">
        <v>7</v>
      </c>
      <c r="D26" s="163" t="s">
        <v>8</v>
      </c>
      <c r="E26" s="162" t="s">
        <v>33</v>
      </c>
      <c r="H26" s="224" t="s">
        <v>3</v>
      </c>
      <c r="I26" s="193" t="s">
        <v>6</v>
      </c>
      <c r="J26" s="162" t="s">
        <v>7</v>
      </c>
      <c r="K26" s="163" t="s">
        <v>8</v>
      </c>
      <c r="L26" s="162" t="s">
        <v>33</v>
      </c>
      <c r="N26" s="234" t="s">
        <v>40</v>
      </c>
      <c r="O26" s="230">
        <v>0.23588056529707499</v>
      </c>
    </row>
    <row r="27" spans="1:17">
      <c r="A27" s="156" t="s">
        <v>6</v>
      </c>
      <c r="B27" s="125">
        <v>1</v>
      </c>
      <c r="C27" s="125">
        <v>0.25</v>
      </c>
      <c r="D27" s="244">
        <v>0.33300000000000002</v>
      </c>
      <c r="E27" s="125">
        <v>0.220842251074368</v>
      </c>
      <c r="H27" s="242" t="s">
        <v>6</v>
      </c>
      <c r="I27" s="125">
        <v>1</v>
      </c>
      <c r="J27" s="125">
        <v>0.25</v>
      </c>
      <c r="K27" s="125">
        <v>0.25</v>
      </c>
      <c r="L27" s="125">
        <v>0.191623967656851</v>
      </c>
      <c r="N27" s="235" t="s">
        <v>41</v>
      </c>
      <c r="O27" s="231">
        <v>0.23588056529707499</v>
      </c>
    </row>
    <row r="28" spans="1:17">
      <c r="A28" s="164" t="s">
        <v>7</v>
      </c>
      <c r="B28" s="125">
        <v>4</v>
      </c>
      <c r="C28" s="125">
        <v>1</v>
      </c>
      <c r="D28" s="245">
        <v>3</v>
      </c>
      <c r="E28" s="125">
        <v>0.45391825861499302</v>
      </c>
      <c r="H28" s="164" t="s">
        <v>7</v>
      </c>
      <c r="I28" s="125">
        <v>4</v>
      </c>
      <c r="J28" s="125">
        <v>1</v>
      </c>
      <c r="K28" s="125">
        <v>2</v>
      </c>
      <c r="L28" s="125">
        <v>0.39324526887764699</v>
      </c>
    </row>
    <row r="29" spans="1:17">
      <c r="A29" s="156" t="s">
        <v>8</v>
      </c>
      <c r="B29" s="245">
        <v>3</v>
      </c>
      <c r="C29" s="244">
        <f>1/3</f>
        <v>0.33333333333333331</v>
      </c>
      <c r="D29" s="125">
        <v>1</v>
      </c>
      <c r="E29" s="125">
        <v>0.32523949031063898</v>
      </c>
      <c r="H29" s="156" t="s">
        <v>8</v>
      </c>
      <c r="I29" s="125">
        <v>4</v>
      </c>
      <c r="J29" s="125">
        <v>0.5</v>
      </c>
      <c r="K29" s="125">
        <v>1</v>
      </c>
      <c r="L29" s="125">
        <v>0.41513076346550198</v>
      </c>
      <c r="N29" s="100" t="s">
        <v>42</v>
      </c>
      <c r="O29" s="99">
        <v>-4.36E-2</v>
      </c>
    </row>
    <row r="31" spans="1:17">
      <c r="A31" s="224" t="s">
        <v>4</v>
      </c>
      <c r="B31" s="164" t="s">
        <v>6</v>
      </c>
      <c r="C31" s="162" t="s">
        <v>7</v>
      </c>
      <c r="D31" s="163" t="s">
        <v>8</v>
      </c>
      <c r="E31" s="162" t="s">
        <v>33</v>
      </c>
    </row>
    <row r="32" spans="1:17">
      <c r="A32" s="156" t="s">
        <v>6</v>
      </c>
      <c r="B32" s="125">
        <v>1</v>
      </c>
      <c r="C32" s="125">
        <v>1</v>
      </c>
      <c r="D32" s="125">
        <v>0.2</v>
      </c>
      <c r="E32" s="125">
        <v>0.21725211204979999</v>
      </c>
    </row>
    <row r="33" spans="1:18">
      <c r="A33" s="164" t="s">
        <v>7</v>
      </c>
      <c r="B33" s="125">
        <v>1</v>
      </c>
      <c r="C33" s="125">
        <v>1</v>
      </c>
      <c r="D33" s="125">
        <v>0.2</v>
      </c>
      <c r="E33" s="125">
        <v>0.21725211204979999</v>
      </c>
      <c r="N33" s="125">
        <v>0.220842251074368</v>
      </c>
      <c r="O33" s="125">
        <v>0.220842251074368</v>
      </c>
      <c r="P33" s="125">
        <v>0.34507516030694801</v>
      </c>
      <c r="Q33" s="125">
        <v>0.191623967656851</v>
      </c>
      <c r="R33" s="125">
        <v>0.21725211204979999</v>
      </c>
    </row>
    <row r="34" spans="1:18">
      <c r="A34" s="156" t="s">
        <v>8</v>
      </c>
      <c r="B34" s="125">
        <v>5</v>
      </c>
      <c r="C34" s="125">
        <v>5</v>
      </c>
      <c r="D34" s="125">
        <v>1</v>
      </c>
      <c r="E34" s="125">
        <v>0.56549577590040001</v>
      </c>
      <c r="N34" s="125">
        <v>0.45391825861499302</v>
      </c>
      <c r="O34" s="125">
        <v>0.45391825861499302</v>
      </c>
      <c r="P34" s="125">
        <v>0.45538386068187398</v>
      </c>
      <c r="Q34" s="125">
        <v>0.39324526887764699</v>
      </c>
      <c r="R34" s="125">
        <v>0.21725211204979999</v>
      </c>
    </row>
    <row r="35" spans="1:18">
      <c r="N35" s="125">
        <v>0.32523949031063898</v>
      </c>
      <c r="O35" s="125">
        <v>0.32523949031063898</v>
      </c>
      <c r="P35" s="125">
        <v>0.19954097901117801</v>
      </c>
      <c r="Q35" s="125">
        <v>0.41513076346550198</v>
      </c>
      <c r="R35" s="125">
        <v>0.56549577590040001</v>
      </c>
    </row>
    <row r="37" spans="1:18">
      <c r="B37" s="162" t="s">
        <v>0</v>
      </c>
      <c r="C37" s="162" t="s">
        <v>1</v>
      </c>
      <c r="D37" s="162" t="s">
        <v>2</v>
      </c>
      <c r="E37" s="164" t="s">
        <v>3</v>
      </c>
      <c r="F37" s="162" t="s">
        <v>4</v>
      </c>
      <c r="G37" s="164" t="s">
        <v>43</v>
      </c>
      <c r="H37" s="162" t="s">
        <v>44</v>
      </c>
      <c r="I37" s="162" t="s">
        <v>45</v>
      </c>
      <c r="J37" s="162" t="s">
        <v>46</v>
      </c>
      <c r="K37" s="162" t="s">
        <v>47</v>
      </c>
      <c r="L37" s="162" t="s">
        <v>48</v>
      </c>
      <c r="M37" s="248" t="s">
        <v>49</v>
      </c>
      <c r="O37" s="125">
        <v>0.220842251074368</v>
      </c>
      <c r="P37" s="125">
        <v>0.45391825861499302</v>
      </c>
      <c r="Q37" s="125">
        <v>0.32523949031063898</v>
      </c>
    </row>
    <row r="38" spans="1:18">
      <c r="A38" s="156" t="s">
        <v>6</v>
      </c>
      <c r="B38" s="125">
        <v>0.220842251074368</v>
      </c>
      <c r="C38" s="125">
        <v>0.220842251074368</v>
      </c>
      <c r="D38" s="125">
        <v>0.34507516030694801</v>
      </c>
      <c r="E38" s="125">
        <v>0.191623967656851</v>
      </c>
      <c r="F38" s="136">
        <v>0.21725211204979999</v>
      </c>
      <c r="G38" s="125">
        <f>B38*$O$23</f>
        <v>3.33545154424938E-2</v>
      </c>
      <c r="H38" s="125">
        <f>C38*$O$24</f>
        <v>3.1589946459204987E-2</v>
      </c>
      <c r="I38" s="136">
        <f>D38*$O$25</f>
        <v>8.0803702079035603E-2</v>
      </c>
      <c r="J38" s="136">
        <f>E38*$O$26</f>
        <v>4.5200369815366424E-2</v>
      </c>
      <c r="K38" s="136">
        <f>F38*$O$27</f>
        <v>5.12455510022903E-2</v>
      </c>
      <c r="L38" s="136">
        <f>SUM(G38:K38)</f>
        <v>0.24219408479839111</v>
      </c>
      <c r="M38" s="243">
        <v>3</v>
      </c>
      <c r="O38" s="125">
        <v>0.220842251074368</v>
      </c>
      <c r="P38" s="125">
        <v>0.45391825861499302</v>
      </c>
      <c r="Q38" s="125">
        <v>0.32523949031063898</v>
      </c>
    </row>
    <row r="39" spans="1:18">
      <c r="A39" s="164" t="s">
        <v>7</v>
      </c>
      <c r="B39" s="125">
        <v>0.45391825861499302</v>
      </c>
      <c r="C39" s="125">
        <v>0.45391825861499302</v>
      </c>
      <c r="D39" s="125">
        <v>0.45538386068187398</v>
      </c>
      <c r="E39" s="125">
        <v>0.39324526887764699</v>
      </c>
      <c r="F39" s="136">
        <v>0.21725211204979999</v>
      </c>
      <c r="G39" s="125">
        <f>B39*$O$23</f>
        <v>6.8556734469733566E-2</v>
      </c>
      <c r="H39" s="125">
        <f>C39*$O$24</f>
        <v>6.4929846606546715E-2</v>
      </c>
      <c r="I39" s="136">
        <f t="shared" ref="I39:I40" si="7">D39*$O$25</f>
        <v>0.10663387587042818</v>
      </c>
      <c r="J39" s="136">
        <f t="shared" ref="J39:J40" si="8">E39*$O$26</f>
        <v>9.2758916323259624E-2</v>
      </c>
      <c r="K39" s="136">
        <f t="shared" ref="K39:K40" si="9">F39*$O$27</f>
        <v>5.12455510022903E-2</v>
      </c>
      <c r="L39" s="136">
        <f t="shared" ref="L39:L40" si="10">SUM(G39:K39)</f>
        <v>0.38412492427225836</v>
      </c>
      <c r="M39" s="243">
        <v>1</v>
      </c>
      <c r="O39" s="125">
        <v>0.34507516030694801</v>
      </c>
      <c r="P39" s="125">
        <v>0.45538386068187398</v>
      </c>
      <c r="Q39" s="125">
        <v>0.19954097901117801</v>
      </c>
    </row>
    <row r="40" spans="1:18">
      <c r="A40" s="156" t="s">
        <v>8</v>
      </c>
      <c r="B40" s="125">
        <v>0.32523949031063898</v>
      </c>
      <c r="C40" s="125">
        <v>0.32523949031063898</v>
      </c>
      <c r="D40" s="125">
        <v>0.19954097901117801</v>
      </c>
      <c r="E40" s="125">
        <v>0.41513076346550198</v>
      </c>
      <c r="F40" s="136">
        <v>0.56549577590040001</v>
      </c>
      <c r="G40" s="125">
        <f t="shared" ref="G40" si="11">B40*$O$23</f>
        <v>4.9121966241966616E-2</v>
      </c>
      <c r="H40" s="125">
        <f t="shared" ref="H40" si="12">C40*$O$24</f>
        <v>4.6523244693210286E-2</v>
      </c>
      <c r="I40" s="136">
        <f t="shared" si="7"/>
        <v>4.6725037543230201E-2</v>
      </c>
      <c r="J40" s="136">
        <f t="shared" si="8"/>
        <v>9.7921279158448934E-2</v>
      </c>
      <c r="K40" s="136">
        <f t="shared" si="9"/>
        <v>0.1333894632924944</v>
      </c>
      <c r="L40" s="136">
        <f t="shared" si="10"/>
        <v>0.37368099092935042</v>
      </c>
      <c r="M40" s="243">
        <v>2</v>
      </c>
      <c r="O40" s="125">
        <v>0.191623967656851</v>
      </c>
      <c r="P40" s="125">
        <v>0.39324526887764699</v>
      </c>
      <c r="Q40" s="125">
        <v>0.41513076346550198</v>
      </c>
    </row>
    <row r="41" spans="1:18">
      <c r="O41" s="125">
        <v>0.21725211204979999</v>
      </c>
      <c r="P41" s="125">
        <v>0.21725211204979999</v>
      </c>
      <c r="Q41" s="125">
        <v>0.56549577590040001</v>
      </c>
    </row>
    <row r="42" spans="1:18">
      <c r="B42" s="101" t="s">
        <v>0</v>
      </c>
      <c r="C42" s="101" t="s">
        <v>1</v>
      </c>
      <c r="D42" s="101" t="s">
        <v>2</v>
      </c>
      <c r="E42" s="156" t="s">
        <v>3</v>
      </c>
      <c r="F42" s="101" t="s">
        <v>4</v>
      </c>
      <c r="H42" s="68"/>
      <c r="I42" s="392" t="s">
        <v>50</v>
      </c>
      <c r="J42" s="392"/>
      <c r="K42" s="391" t="s">
        <v>51</v>
      </c>
      <c r="L42" s="392"/>
      <c r="M42" s="391" t="s">
        <v>52</v>
      </c>
      <c r="N42" s="393"/>
    </row>
    <row r="43" spans="1:18">
      <c r="A43" s="101" t="s">
        <v>6</v>
      </c>
      <c r="B43" s="141">
        <v>0.3</v>
      </c>
      <c r="C43" s="125">
        <v>5</v>
      </c>
      <c r="D43" s="125">
        <v>60</v>
      </c>
      <c r="E43" s="136">
        <v>90</v>
      </c>
      <c r="F43" s="125">
        <v>3</v>
      </c>
      <c r="H43" s="69"/>
      <c r="I43" s="65" t="s">
        <v>53</v>
      </c>
      <c r="J43" s="17" t="s">
        <v>54</v>
      </c>
      <c r="K43" s="65" t="s">
        <v>53</v>
      </c>
      <c r="L43" s="17" t="s">
        <v>54</v>
      </c>
      <c r="M43" s="65" t="s">
        <v>53</v>
      </c>
      <c r="N43" s="17" t="s">
        <v>54</v>
      </c>
    </row>
    <row r="44" spans="1:18">
      <c r="A44" s="101" t="s">
        <v>7</v>
      </c>
      <c r="B44" s="196">
        <v>2</v>
      </c>
      <c r="C44" s="166">
        <v>16</v>
      </c>
      <c r="D44" s="166">
        <v>68</v>
      </c>
      <c r="E44" s="167">
        <v>450</v>
      </c>
      <c r="F44" s="125">
        <v>3</v>
      </c>
      <c r="H44" s="16" t="s">
        <v>6</v>
      </c>
      <c r="I44" s="258">
        <v>0.47129500580905098</v>
      </c>
      <c r="J44" s="54">
        <v>0.29526385520475901</v>
      </c>
      <c r="K44" s="55">
        <v>0.49176529699990101</v>
      </c>
      <c r="L44" s="42">
        <v>0.28184262390814702</v>
      </c>
      <c r="M44" s="42">
        <v>0.451519414041745</v>
      </c>
      <c r="N44" s="42">
        <v>0.30716926091546098</v>
      </c>
    </row>
    <row r="45" spans="1:18">
      <c r="A45" s="164" t="s">
        <v>8</v>
      </c>
      <c r="B45" s="249">
        <v>1.1499999999999999</v>
      </c>
      <c r="C45" s="249">
        <v>10.5</v>
      </c>
      <c r="D45" s="249">
        <v>46</v>
      </c>
      <c r="E45" s="250">
        <v>434</v>
      </c>
      <c r="F45" s="166">
        <v>8</v>
      </c>
      <c r="H45" s="19" t="s">
        <v>7</v>
      </c>
      <c r="I45" s="11">
        <v>0</v>
      </c>
      <c r="J45" s="11">
        <v>0.58900285852962497</v>
      </c>
      <c r="K45" s="11">
        <v>0</v>
      </c>
      <c r="L45" s="11">
        <v>0.59646595150647197</v>
      </c>
      <c r="M45" s="11">
        <v>0</v>
      </c>
      <c r="N45" s="11">
        <v>0.581962585608651</v>
      </c>
    </row>
    <row r="46" spans="1:18">
      <c r="A46" s="156" t="s">
        <v>55</v>
      </c>
      <c r="B46" s="125">
        <f>MAX(B43:B45)</f>
        <v>2</v>
      </c>
      <c r="C46" s="125">
        <f t="shared" ref="C46:F46" si="13">MAX(C43:C45)</f>
        <v>16</v>
      </c>
      <c r="D46" s="125">
        <f t="shared" si="13"/>
        <v>68</v>
      </c>
      <c r="E46" s="125">
        <f t="shared" si="13"/>
        <v>450</v>
      </c>
      <c r="F46" s="125">
        <f t="shared" si="13"/>
        <v>8</v>
      </c>
      <c r="H46" s="19" t="s">
        <v>8</v>
      </c>
      <c r="I46" s="11">
        <v>0.41751697128396198</v>
      </c>
      <c r="J46" s="11">
        <v>0.30079403783945002</v>
      </c>
      <c r="K46" s="11">
        <v>0.41111224327087498</v>
      </c>
      <c r="L46" s="11">
        <v>0.30356694491069097</v>
      </c>
      <c r="M46" s="11">
        <v>0.42326574615655699</v>
      </c>
      <c r="N46" s="11">
        <v>0.29826990638257</v>
      </c>
    </row>
    <row r="47" spans="1:18">
      <c r="A47" s="156" t="s">
        <v>56</v>
      </c>
      <c r="B47" s="125">
        <f>MIN(B43:B45)</f>
        <v>0.3</v>
      </c>
      <c r="C47" s="125">
        <f t="shared" ref="C47:F47" si="14">MIN(C43:C45)</f>
        <v>5</v>
      </c>
      <c r="D47" s="125">
        <f t="shared" si="14"/>
        <v>46</v>
      </c>
      <c r="E47" s="125">
        <f t="shared" si="14"/>
        <v>90</v>
      </c>
      <c r="F47" s="125">
        <f t="shared" si="14"/>
        <v>3</v>
      </c>
      <c r="H47" s="1"/>
      <c r="I47" s="2"/>
      <c r="J47" s="2"/>
      <c r="K47" s="2"/>
      <c r="L47" s="2"/>
      <c r="M47" s="2"/>
      <c r="N47" s="2"/>
    </row>
    <row r="48" spans="1:18">
      <c r="A48" s="164" t="s">
        <v>57</v>
      </c>
      <c r="B48" s="166">
        <f>B46-B47</f>
        <v>1.7</v>
      </c>
      <c r="C48" s="166">
        <f t="shared" ref="C48:F48" si="15">C46-C47</f>
        <v>11</v>
      </c>
      <c r="D48" s="166">
        <f t="shared" si="15"/>
        <v>22</v>
      </c>
      <c r="E48" s="166">
        <f t="shared" si="15"/>
        <v>360</v>
      </c>
      <c r="F48" s="166">
        <f t="shared" si="15"/>
        <v>5</v>
      </c>
      <c r="H48" s="1"/>
      <c r="I48" s="2"/>
      <c r="J48" s="2"/>
      <c r="K48" s="2"/>
      <c r="L48" s="2"/>
      <c r="M48" s="2"/>
      <c r="N48" s="2"/>
    </row>
    <row r="49" spans="1:14">
      <c r="A49" s="388" t="s">
        <v>58</v>
      </c>
      <c r="B49" s="388"/>
      <c r="C49" s="388"/>
      <c r="D49" s="388"/>
      <c r="E49" s="388"/>
      <c r="F49" s="388"/>
      <c r="H49" s="68"/>
      <c r="I49" s="392" t="s">
        <v>50</v>
      </c>
      <c r="J49" s="392"/>
      <c r="K49" s="391" t="s">
        <v>51</v>
      </c>
      <c r="L49" s="392"/>
      <c r="M49" s="391" t="s">
        <v>52</v>
      </c>
      <c r="N49" s="393"/>
    </row>
    <row r="50" spans="1:14">
      <c r="A50" s="242" t="s">
        <v>6</v>
      </c>
      <c r="B50" s="155">
        <f>((B43-B47)/B48)+0.0001</f>
        <v>1E-4</v>
      </c>
      <c r="C50" s="155">
        <f>((C43-C47)/C48)+0.0001</f>
        <v>1E-4</v>
      </c>
      <c r="D50" s="155">
        <f t="shared" ref="D50:E50" si="16">((D43-D47)/D48)+0.0001</f>
        <v>0.63646363636363634</v>
      </c>
      <c r="E50" s="155">
        <f t="shared" si="16"/>
        <v>1E-4</v>
      </c>
      <c r="F50" s="155">
        <f>((F46-F43)/F48)+0.0001</f>
        <v>1.0001</v>
      </c>
      <c r="H50" s="69"/>
      <c r="I50" s="65" t="s">
        <v>31</v>
      </c>
      <c r="J50" s="17" t="s">
        <v>59</v>
      </c>
      <c r="K50" s="65" t="s">
        <v>31</v>
      </c>
      <c r="L50" s="17" t="s">
        <v>59</v>
      </c>
      <c r="M50" s="65" t="s">
        <v>31</v>
      </c>
      <c r="N50" s="17" t="s">
        <v>59</v>
      </c>
    </row>
    <row r="51" spans="1:14">
      <c r="A51" s="164" t="s">
        <v>7</v>
      </c>
      <c r="B51" s="155">
        <f>((B44-B47)/B48)+0.0001</f>
        <v>1.0001</v>
      </c>
      <c r="C51" s="155">
        <f>((C44-C47)/C48)+0.0001</f>
        <v>1.0001</v>
      </c>
      <c r="D51" s="155">
        <f t="shared" ref="D51" si="17">((D44-D47)/D48)+0.0001</f>
        <v>1.0001</v>
      </c>
      <c r="E51" s="155">
        <f>((E44-E47)/E48)+0.0001</f>
        <v>1.0001</v>
      </c>
      <c r="F51" s="155">
        <f>((F46-F44)/F48)+0.0001</f>
        <v>1.0001</v>
      </c>
      <c r="H51" s="16" t="s">
        <v>6</v>
      </c>
      <c r="I51" s="258">
        <v>0.38518093028662997</v>
      </c>
      <c r="J51" s="54">
        <v>0.213522888577766</v>
      </c>
      <c r="K51" s="55">
        <v>0.36432230887362799</v>
      </c>
      <c r="L51" s="42">
        <v>0.203636445549081</v>
      </c>
      <c r="M51" s="42">
        <v>0.404868651733581</v>
      </c>
      <c r="N51" s="42">
        <v>0.22266931915720001</v>
      </c>
    </row>
    <row r="52" spans="1:14">
      <c r="A52" s="162" t="s">
        <v>8</v>
      </c>
      <c r="B52" s="251">
        <f>((B45-B47)/B48)+0.0001</f>
        <v>0.50009999999999999</v>
      </c>
      <c r="C52" s="251">
        <f t="shared" ref="C52:E52" si="18">((C45-C47)/C48)+0.0001</f>
        <v>0.50009999999999999</v>
      </c>
      <c r="D52" s="251">
        <f t="shared" si="18"/>
        <v>1E-4</v>
      </c>
      <c r="E52" s="251">
        <f t="shared" si="18"/>
        <v>0.95565555555555559</v>
      </c>
      <c r="F52" s="251">
        <f>((F46-F45)/F48)+0.0001</f>
        <v>1E-4</v>
      </c>
      <c r="H52" s="19" t="s">
        <v>7</v>
      </c>
      <c r="I52" s="11">
        <v>1</v>
      </c>
      <c r="J52" s="11">
        <v>0.55434439191699802</v>
      </c>
      <c r="K52" s="11">
        <v>1</v>
      </c>
      <c r="L52" s="11">
        <v>0.55894585807457497</v>
      </c>
      <c r="M52" s="11">
        <v>1</v>
      </c>
      <c r="N52" s="11">
        <v>0.54997915547120402</v>
      </c>
    </row>
    <row r="53" spans="1:14">
      <c r="A53" s="164" t="s">
        <v>60</v>
      </c>
      <c r="B53" s="166">
        <f>SUM(B50:B52)</f>
        <v>1.5003</v>
      </c>
      <c r="C53" s="166">
        <f t="shared" ref="C53:F53" si="19">SUM(C50:C52)</f>
        <v>1.5003</v>
      </c>
      <c r="D53" s="166">
        <f t="shared" si="19"/>
        <v>1.6366636363636362</v>
      </c>
      <c r="E53" s="166">
        <f t="shared" si="19"/>
        <v>1.9558555555555555</v>
      </c>
      <c r="F53" s="166">
        <f t="shared" si="19"/>
        <v>2.0003000000000002</v>
      </c>
      <c r="H53" s="19" t="s">
        <v>8</v>
      </c>
      <c r="I53" s="11">
        <v>0.41875181365593001</v>
      </c>
      <c r="J53" s="11">
        <v>0.23213271950523701</v>
      </c>
      <c r="K53" s="11">
        <v>0.42475973825834901</v>
      </c>
      <c r="L53" s="11">
        <v>0.23741769637634499</v>
      </c>
      <c r="M53" s="11">
        <v>0.41338207659308301</v>
      </c>
      <c r="N53" s="11">
        <v>0.227351525371596</v>
      </c>
    </row>
    <row r="54" spans="1:14">
      <c r="A54" s="388" t="s">
        <v>61</v>
      </c>
      <c r="B54" s="388"/>
      <c r="C54" s="388"/>
      <c r="D54" s="388"/>
      <c r="E54" s="388"/>
      <c r="F54" s="388"/>
    </row>
    <row r="55" spans="1:14">
      <c r="A55" s="252" t="s">
        <v>6</v>
      </c>
      <c r="B55" s="154">
        <f>B50/B53</f>
        <v>6.6653335999466775E-5</v>
      </c>
      <c r="C55" s="154">
        <f>C50/C53</f>
        <v>6.6653335999466775E-5</v>
      </c>
      <c r="D55" s="154">
        <f>D50/D53</f>
        <v>0.38887870557064541</v>
      </c>
      <c r="E55" s="154">
        <f>E50/E53</f>
        <v>5.1128520056582233E-5</v>
      </c>
      <c r="F55" s="154">
        <f>F50/F53</f>
        <v>0.49997500374943754</v>
      </c>
    </row>
    <row r="56" spans="1:14">
      <c r="A56" s="101" t="s">
        <v>7</v>
      </c>
      <c r="B56" s="154">
        <f>B51/B53</f>
        <v>0.66660001333066721</v>
      </c>
      <c r="C56" s="154">
        <f t="shared" ref="C56:F56" si="20">C51/C53</f>
        <v>0.66660001333066721</v>
      </c>
      <c r="D56" s="154">
        <f t="shared" si="20"/>
        <v>0.61106019451989357</v>
      </c>
      <c r="E56" s="154">
        <f t="shared" si="20"/>
        <v>0.51133632908587889</v>
      </c>
      <c r="F56" s="154">
        <f t="shared" si="20"/>
        <v>0.49997500374943754</v>
      </c>
    </row>
    <row r="57" spans="1:14">
      <c r="A57" s="162" t="s">
        <v>8</v>
      </c>
      <c r="B57" s="253">
        <f>B52/B53</f>
        <v>0.33333333333333331</v>
      </c>
      <c r="C57" s="253">
        <f t="shared" ref="C57:E57" si="21">C52/C53</f>
        <v>0.33333333333333331</v>
      </c>
      <c r="D57" s="253">
        <f t="shared" si="21"/>
        <v>6.1099909461043264E-5</v>
      </c>
      <c r="E57" s="253">
        <f t="shared" si="21"/>
        <v>0.4886125423940646</v>
      </c>
      <c r="F57" s="253">
        <f>F52/F53</f>
        <v>4.9992501124831273E-5</v>
      </c>
    </row>
    <row r="58" spans="1:14">
      <c r="A58" s="388" t="s">
        <v>62</v>
      </c>
      <c r="B58" s="389"/>
      <c r="C58" s="389"/>
      <c r="D58" s="389"/>
      <c r="E58" s="389"/>
      <c r="F58" s="389"/>
    </row>
    <row r="59" spans="1:14">
      <c r="A59" s="242" t="s">
        <v>6</v>
      </c>
      <c r="B59" s="125">
        <f>LOG(B55)</f>
        <v>-4.1761781092673305</v>
      </c>
      <c r="C59" s="125">
        <f t="shared" ref="C59:F60" si="22">LOG(C55)</f>
        <v>-4.1761781092673305</v>
      </c>
      <c r="D59" s="125">
        <f t="shared" si="22"/>
        <v>-0.41018583753231475</v>
      </c>
      <c r="E59" s="125">
        <f t="shared" si="22"/>
        <v>-4.2913367779865839</v>
      </c>
      <c r="F59" s="125">
        <f t="shared" si="22"/>
        <v>-0.30105170767407968</v>
      </c>
    </row>
    <row r="60" spans="1:14">
      <c r="A60" s="164" t="s">
        <v>7</v>
      </c>
      <c r="B60" s="125">
        <f>LOG(B56)</f>
        <v>-0.17613468199046753</v>
      </c>
      <c r="C60" s="125">
        <f>LOG(C56)</f>
        <v>-0.17613468199046753</v>
      </c>
      <c r="D60" s="125">
        <f t="shared" si="22"/>
        <v>-0.21391600602556585</v>
      </c>
      <c r="E60" s="125">
        <f t="shared" si="22"/>
        <v>-0.29129335070972145</v>
      </c>
      <c r="F60" s="125">
        <f t="shared" si="22"/>
        <v>-0.30105170767407968</v>
      </c>
    </row>
    <row r="61" spans="1:14">
      <c r="A61" s="162" t="s">
        <v>8</v>
      </c>
      <c r="B61" s="166">
        <f t="shared" ref="B61:F61" si="23">LOG(B57)</f>
        <v>-0.47712125471966244</v>
      </c>
      <c r="C61" s="166">
        <f t="shared" si="23"/>
        <v>-0.47712125471966244</v>
      </c>
      <c r="D61" s="166">
        <f t="shared" si="23"/>
        <v>-4.2139594333024286</v>
      </c>
      <c r="E61" s="166">
        <f t="shared" si="23"/>
        <v>-0.31103538913781809</v>
      </c>
      <c r="F61" s="166">
        <f t="shared" si="23"/>
        <v>-4.3010951349509421</v>
      </c>
    </row>
    <row r="62" spans="1:14">
      <c r="A62" s="388" t="s">
        <v>63</v>
      </c>
      <c r="B62" s="389"/>
      <c r="C62" s="389"/>
      <c r="D62" s="389"/>
      <c r="E62" s="389"/>
      <c r="F62" s="389"/>
    </row>
    <row r="63" spans="1:14">
      <c r="A63" s="242" t="s">
        <v>6</v>
      </c>
      <c r="B63" s="125">
        <f>B55*B59</f>
        <v>-2.7835620271061327E-4</v>
      </c>
      <c r="C63" s="125">
        <f t="shared" ref="C63:F64" si="24">C55*C59</f>
        <v>-2.7835620271061327E-4</v>
      </c>
      <c r="D63" s="125">
        <f t="shared" si="24"/>
        <v>-0.15951253754297762</v>
      </c>
      <c r="E63" s="125">
        <f t="shared" si="24"/>
        <v>-2.1940969852283604E-4</v>
      </c>
      <c r="F63" s="125">
        <f t="shared" si="24"/>
        <v>-0.15051832867312256</v>
      </c>
      <c r="H63">
        <f>LN(3)</f>
        <v>1.0986122886681098</v>
      </c>
      <c r="I63">
        <f>-1/H63</f>
        <v>-0.91023922662683732</v>
      </c>
    </row>
    <row r="64" spans="1:14">
      <c r="A64" s="164" t="s">
        <v>7</v>
      </c>
      <c r="B64" s="125">
        <f>B56*B60</f>
        <v>-0.11741138136283849</v>
      </c>
      <c r="C64" s="125">
        <f t="shared" si="24"/>
        <v>-0.11741138136283849</v>
      </c>
      <c r="D64" s="125">
        <f t="shared" si="24"/>
        <v>-0.13071555625290099</v>
      </c>
      <c r="E64" s="125">
        <f t="shared" si="24"/>
        <v>-0.14894887263903447</v>
      </c>
      <c r="F64" s="125">
        <f t="shared" si="24"/>
        <v>-0.15051832867312256</v>
      </c>
    </row>
    <row r="65" spans="1:10">
      <c r="A65" s="164" t="s">
        <v>8</v>
      </c>
      <c r="B65" s="166">
        <f t="shared" ref="B65:F65" si="25">B57*B61</f>
        <v>-0.15904041823988746</v>
      </c>
      <c r="C65" s="166">
        <f t="shared" si="25"/>
        <v>-0.15904041823988746</v>
      </c>
      <c r="D65" s="166">
        <f t="shared" si="25"/>
        <v>-2.5747253984728755E-4</v>
      </c>
      <c r="E65" s="166">
        <f t="shared" si="25"/>
        <v>-0.15197579226115651</v>
      </c>
      <c r="F65" s="166">
        <f t="shared" si="25"/>
        <v>-2.1502250337204128E-4</v>
      </c>
    </row>
    <row r="66" spans="1:10">
      <c r="A66" s="162" t="s">
        <v>60</v>
      </c>
      <c r="B66" s="166">
        <f>SUM(B63:B65)</f>
        <v>-0.27673015580543658</v>
      </c>
      <c r="C66" s="166">
        <f t="shared" ref="C66:F66" si="26">SUM(C63:C65)</f>
        <v>-0.27673015580543658</v>
      </c>
      <c r="D66" s="166">
        <f t="shared" si="26"/>
        <v>-0.29048556633572592</v>
      </c>
      <c r="E66" s="166">
        <f t="shared" si="26"/>
        <v>-0.30114407459871384</v>
      </c>
      <c r="F66" s="166">
        <f t="shared" si="26"/>
        <v>-0.30125167984961715</v>
      </c>
    </row>
    <row r="67" spans="1:10">
      <c r="A67" s="243" t="s">
        <v>64</v>
      </c>
      <c r="B67" s="254">
        <f>B66*$I$63</f>
        <v>0.25189064300466479</v>
      </c>
      <c r="C67" s="254">
        <f>C66*$I$63</f>
        <v>0.25189064300466479</v>
      </c>
      <c r="D67" s="254">
        <f t="shared" ref="D67:F67" si="27">D66*$I$63</f>
        <v>0.26441135724768999</v>
      </c>
      <c r="E67" s="254">
        <f t="shared" si="27"/>
        <v>0.27411314956598787</v>
      </c>
      <c r="F67" s="254">
        <f t="shared" si="27"/>
        <v>0.27421109608635108</v>
      </c>
    </row>
    <row r="68" spans="1:10">
      <c r="A68" s="255" t="s">
        <v>65</v>
      </c>
      <c r="B68" s="256">
        <f>1-B67</f>
        <v>0.74810935699533521</v>
      </c>
      <c r="C68" s="256">
        <f t="shared" ref="C68:F68" si="28">1-C67</f>
        <v>0.74810935699533521</v>
      </c>
      <c r="D68" s="256">
        <f t="shared" si="28"/>
        <v>0.73558864275230995</v>
      </c>
      <c r="E68" s="256">
        <f t="shared" si="28"/>
        <v>0.72588685043401213</v>
      </c>
      <c r="F68" s="256">
        <f t="shared" si="28"/>
        <v>0.72578890391364892</v>
      </c>
      <c r="G68" s="99">
        <f>SUM(B68:F68)</f>
        <v>3.6834831110906414</v>
      </c>
    </row>
    <row r="69" spans="1:10">
      <c r="A69" s="257" t="s">
        <v>51</v>
      </c>
      <c r="B69" s="259">
        <f>B68/$G$68</f>
        <v>0.20309835403964366</v>
      </c>
      <c r="C69" s="259">
        <f t="shared" ref="C69:F69" si="29">C68/$G$68</f>
        <v>0.20309835403964366</v>
      </c>
      <c r="D69" s="259">
        <f t="shared" si="29"/>
        <v>0.19969920332674193</v>
      </c>
      <c r="E69" s="259">
        <f t="shared" si="29"/>
        <v>0.1970653396640889</v>
      </c>
      <c r="F69" s="259">
        <f t="shared" si="29"/>
        <v>0.19703874892988182</v>
      </c>
    </row>
    <row r="70" spans="1:10">
      <c r="A70" s="257" t="s">
        <v>52</v>
      </c>
      <c r="B70" s="145">
        <v>0.15103321615419399</v>
      </c>
      <c r="C70" s="145">
        <v>0.14304303775896199</v>
      </c>
      <c r="D70" s="145">
        <v>0.23416261549269399</v>
      </c>
      <c r="E70" s="145">
        <v>0.23588056529707499</v>
      </c>
      <c r="F70" s="145">
        <v>0.23588056529707499</v>
      </c>
    </row>
    <row r="71" spans="1:10">
      <c r="B71" s="99">
        <f>(B69)^0.5*(B70)^0.5</f>
        <v>0.17514165011849842</v>
      </c>
      <c r="C71" s="99">
        <f>(C69)^0.5*(C70)^0.5</f>
        <v>0.17044590205011026</v>
      </c>
      <c r="D71" s="99">
        <f t="shared" ref="D71:F71" si="30">(D69)^0.5*(D70)^0.5</f>
        <v>0.21624543408543265</v>
      </c>
      <c r="E71" s="99">
        <f t="shared" si="30"/>
        <v>0.21560121456157288</v>
      </c>
      <c r="F71" s="99">
        <f t="shared" si="30"/>
        <v>0.21558666814765926</v>
      </c>
      <c r="G71">
        <f>SUM(B71:F71)</f>
        <v>0.99302086896327346</v>
      </c>
    </row>
    <row r="72" spans="1:10">
      <c r="A72" s="197" t="s">
        <v>50</v>
      </c>
      <c r="B72" s="260">
        <f>B71/$G$71</f>
        <v>0.17637257744779175</v>
      </c>
      <c r="C72" s="260">
        <f t="shared" ref="C72:F72" si="31">C71/$G$71</f>
        <v>0.17164382680905585</v>
      </c>
      <c r="D72" s="260">
        <f t="shared" si="31"/>
        <v>0.21776524627442689</v>
      </c>
      <c r="E72" s="260">
        <f t="shared" si="31"/>
        <v>0.21711649905873914</v>
      </c>
      <c r="F72" s="260">
        <f t="shared" si="31"/>
        <v>0.21710185040998636</v>
      </c>
    </row>
    <row r="74" spans="1:10">
      <c r="G74" s="390" t="s">
        <v>66</v>
      </c>
      <c r="H74" s="390"/>
      <c r="I74" s="391"/>
      <c r="J74" s="101" t="s">
        <v>67</v>
      </c>
    </row>
    <row r="75" spans="1:10" ht="43.5">
      <c r="B75" s="101" t="s">
        <v>0</v>
      </c>
      <c r="C75" s="101" t="s">
        <v>1</v>
      </c>
      <c r="D75" s="101" t="s">
        <v>2</v>
      </c>
      <c r="E75" s="156" t="s">
        <v>3</v>
      </c>
      <c r="F75" s="156" t="s">
        <v>4</v>
      </c>
      <c r="G75" s="139" t="s">
        <v>68</v>
      </c>
      <c r="H75" s="266" t="s">
        <v>69</v>
      </c>
      <c r="I75" s="266" t="s">
        <v>70</v>
      </c>
      <c r="J75" s="267" t="s">
        <v>71</v>
      </c>
    </row>
    <row r="76" spans="1:10">
      <c r="A76" s="101" t="s">
        <v>6</v>
      </c>
      <c r="B76" s="141">
        <v>0.3</v>
      </c>
      <c r="C76" s="125">
        <v>5</v>
      </c>
      <c r="D76" s="125">
        <v>60</v>
      </c>
      <c r="E76" s="136">
        <v>90</v>
      </c>
      <c r="F76" s="136">
        <v>3</v>
      </c>
      <c r="G76" s="136">
        <v>0.97199999999999998</v>
      </c>
      <c r="H76" s="136">
        <v>0.32200000000000001</v>
      </c>
      <c r="I76" s="136">
        <v>0.121</v>
      </c>
      <c r="J76" s="125">
        <v>193</v>
      </c>
    </row>
    <row r="77" spans="1:10">
      <c r="A77" s="101" t="s">
        <v>7</v>
      </c>
      <c r="B77" s="196">
        <v>2</v>
      </c>
      <c r="C77" s="166">
        <v>16</v>
      </c>
      <c r="D77" s="166">
        <v>68</v>
      </c>
      <c r="E77" s="167">
        <v>450</v>
      </c>
      <c r="F77" s="136">
        <v>3</v>
      </c>
      <c r="G77" s="136">
        <v>0.98</v>
      </c>
      <c r="H77" s="136">
        <v>0.32700000000000001</v>
      </c>
      <c r="I77" s="136">
        <v>0.123</v>
      </c>
      <c r="J77" s="125">
        <v>289</v>
      </c>
    </row>
    <row r="78" spans="1:10">
      <c r="A78" s="164" t="s">
        <v>8</v>
      </c>
      <c r="B78" s="249">
        <v>1.1499999999999999</v>
      </c>
      <c r="C78" s="249">
        <v>10.5</v>
      </c>
      <c r="D78" s="249">
        <v>46</v>
      </c>
      <c r="E78" s="250">
        <v>434</v>
      </c>
      <c r="F78" s="167">
        <v>8</v>
      </c>
      <c r="G78" s="136">
        <v>0.97699999999999998</v>
      </c>
      <c r="H78" s="136">
        <v>0.32500000000000001</v>
      </c>
      <c r="I78" s="167">
        <v>0.122</v>
      </c>
      <c r="J78" s="125">
        <v>249</v>
      </c>
    </row>
    <row r="79" spans="1:10">
      <c r="A79" s="156" t="s">
        <v>9</v>
      </c>
      <c r="B79" s="125">
        <f>MAX(B76:B78)</f>
        <v>2</v>
      </c>
      <c r="C79" s="125">
        <f t="shared" ref="C79:E79" si="32">MAX(C76:C78)</f>
        <v>16</v>
      </c>
      <c r="D79" s="125">
        <f t="shared" si="32"/>
        <v>68</v>
      </c>
      <c r="E79" s="125">
        <f t="shared" si="32"/>
        <v>450</v>
      </c>
      <c r="F79" s="136">
        <f>MIN(F76:F78)</f>
        <v>3</v>
      </c>
      <c r="G79" s="136">
        <f>MIN(G76:G78)</f>
        <v>0.97199999999999998</v>
      </c>
      <c r="H79" s="136">
        <f t="shared" ref="H79:I79" si="33">MIN(H76:H78)</f>
        <v>0.32200000000000001</v>
      </c>
      <c r="I79" s="136">
        <f t="shared" si="33"/>
        <v>0.121</v>
      </c>
      <c r="J79" s="125">
        <f>MIN(J76:J78)</f>
        <v>193</v>
      </c>
    </row>
    <row r="80" spans="1:10">
      <c r="A80" s="156" t="s">
        <v>10</v>
      </c>
      <c r="B80" s="125">
        <f>MIN(B76:B78)</f>
        <v>0.3</v>
      </c>
      <c r="C80" s="125">
        <f t="shared" ref="C80:E80" si="34">MIN(C76:C78)</f>
        <v>5</v>
      </c>
      <c r="D80" s="125">
        <f t="shared" si="34"/>
        <v>46</v>
      </c>
      <c r="E80" s="125">
        <f t="shared" si="34"/>
        <v>90</v>
      </c>
      <c r="F80" s="136">
        <f>MAX(F76:F78)</f>
        <v>8</v>
      </c>
      <c r="G80" s="136">
        <f>MAX(G76:G78)</f>
        <v>0.98</v>
      </c>
      <c r="H80" s="136">
        <f t="shared" ref="H80:I80" si="35">MAX(H76:H78)</f>
        <v>0.32700000000000001</v>
      </c>
      <c r="I80" s="136">
        <f t="shared" si="35"/>
        <v>0.123</v>
      </c>
      <c r="J80" s="125">
        <f>MAX(J76:J78)</f>
        <v>289</v>
      </c>
    </row>
    <row r="82" spans="1:12">
      <c r="A82" s="142" t="s">
        <v>18</v>
      </c>
      <c r="B82" s="227" t="s">
        <v>0</v>
      </c>
      <c r="C82" s="237" t="s">
        <v>1</v>
      </c>
      <c r="D82" s="237" t="s">
        <v>2</v>
      </c>
      <c r="E82" s="237" t="s">
        <v>3</v>
      </c>
      <c r="F82" s="237" t="s">
        <v>4</v>
      </c>
      <c r="G82" s="143" t="s">
        <v>72</v>
      </c>
      <c r="H82" s="272" t="s">
        <v>73</v>
      </c>
      <c r="I82" s="271" t="s">
        <v>74</v>
      </c>
    </row>
    <row r="83" spans="1:12">
      <c r="A83" s="239" t="s">
        <v>0</v>
      </c>
      <c r="B83" s="99" t="s">
        <v>20</v>
      </c>
      <c r="C83" s="99" t="s">
        <v>21</v>
      </c>
      <c r="D83" s="99" t="s">
        <v>22</v>
      </c>
      <c r="E83" s="99" t="s">
        <v>23</v>
      </c>
      <c r="F83" s="99" t="s">
        <v>23</v>
      </c>
      <c r="G83" s="157"/>
      <c r="H83" s="159"/>
      <c r="I83" s="275"/>
    </row>
    <row r="84" spans="1:12">
      <c r="A84" s="240" t="s">
        <v>1</v>
      </c>
      <c r="B84" s="99" t="s">
        <v>25</v>
      </c>
      <c r="C84" s="99" t="s">
        <v>20</v>
      </c>
      <c r="D84" s="99" t="s">
        <v>22</v>
      </c>
      <c r="E84" s="99" t="s">
        <v>23</v>
      </c>
      <c r="F84" s="99" t="s">
        <v>23</v>
      </c>
      <c r="G84" s="144"/>
      <c r="H84" s="160"/>
      <c r="I84" s="276"/>
    </row>
    <row r="85" spans="1:12">
      <c r="A85" s="240" t="s">
        <v>2</v>
      </c>
      <c r="B85" s="99" t="s">
        <v>28</v>
      </c>
      <c r="C85" s="99" t="s">
        <v>28</v>
      </c>
      <c r="D85" s="99" t="s">
        <v>20</v>
      </c>
      <c r="E85" s="99" t="s">
        <v>25</v>
      </c>
      <c r="F85" s="99" t="s">
        <v>25</v>
      </c>
      <c r="G85" s="144"/>
      <c r="H85" s="160"/>
      <c r="I85" s="276"/>
    </row>
    <row r="86" spans="1:12">
      <c r="A86" s="240" t="s">
        <v>3</v>
      </c>
      <c r="B86" s="99" t="s">
        <v>31</v>
      </c>
      <c r="C86" s="99" t="s">
        <v>31</v>
      </c>
      <c r="D86" s="99" t="s">
        <v>21</v>
      </c>
      <c r="E86" s="99" t="s">
        <v>20</v>
      </c>
      <c r="F86" s="99" t="s">
        <v>20</v>
      </c>
      <c r="G86" s="144"/>
      <c r="H86" s="160"/>
      <c r="I86" s="276"/>
    </row>
    <row r="87" spans="1:12">
      <c r="A87" s="273" t="s">
        <v>4</v>
      </c>
      <c r="B87" s="99" t="s">
        <v>31</v>
      </c>
      <c r="C87" s="99" t="s">
        <v>31</v>
      </c>
      <c r="D87" s="99" t="s">
        <v>21</v>
      </c>
      <c r="E87" s="99" t="s">
        <v>20</v>
      </c>
      <c r="F87" s="99" t="s">
        <v>20</v>
      </c>
      <c r="G87" s="158"/>
      <c r="H87" s="160"/>
      <c r="I87" s="278"/>
    </row>
    <row r="88" spans="1:12">
      <c r="A88" s="143" t="s">
        <v>72</v>
      </c>
      <c r="B88" s="157"/>
      <c r="C88" s="274"/>
      <c r="D88" s="274"/>
      <c r="E88" s="274"/>
      <c r="F88" s="275"/>
      <c r="G88" s="99" t="s">
        <v>20</v>
      </c>
      <c r="H88" s="268" t="s">
        <v>23</v>
      </c>
      <c r="I88" s="99" t="s">
        <v>22</v>
      </c>
      <c r="J88" s="287" t="s">
        <v>75</v>
      </c>
    </row>
    <row r="89" spans="1:12">
      <c r="A89" s="279" t="s">
        <v>73</v>
      </c>
      <c r="B89" s="144"/>
      <c r="F89" s="276"/>
      <c r="G89" s="99" t="s">
        <v>31</v>
      </c>
      <c r="H89" s="269" t="s">
        <v>20</v>
      </c>
      <c r="I89" s="99" t="s">
        <v>22</v>
      </c>
      <c r="J89" s="285">
        <v>0.22216279749857801</v>
      </c>
    </row>
    <row r="90" spans="1:12">
      <c r="A90" s="280" t="s">
        <v>74</v>
      </c>
      <c r="B90" s="158"/>
      <c r="C90" s="277"/>
      <c r="D90" s="277"/>
      <c r="E90" s="277"/>
      <c r="F90" s="278"/>
      <c r="G90" s="119" t="s">
        <v>28</v>
      </c>
      <c r="H90" s="270" t="s">
        <v>28</v>
      </c>
      <c r="I90" s="119" t="s">
        <v>20</v>
      </c>
      <c r="J90" s="285">
        <v>0.36746348727172901</v>
      </c>
    </row>
    <row r="91" spans="1:12">
      <c r="G91" s="99">
        <v>1</v>
      </c>
      <c r="H91" s="99">
        <v>0.25</v>
      </c>
      <c r="I91" s="99">
        <v>0.33300000000000002</v>
      </c>
      <c r="J91" s="286">
        <v>0.41037371522969301</v>
      </c>
    </row>
    <row r="92" spans="1:12">
      <c r="A92" s="284" t="s">
        <v>72</v>
      </c>
      <c r="B92" s="164" t="s">
        <v>6</v>
      </c>
      <c r="C92" s="162" t="s">
        <v>7</v>
      </c>
      <c r="D92" s="193" t="s">
        <v>8</v>
      </c>
      <c r="E92" s="162" t="s">
        <v>33</v>
      </c>
      <c r="G92" s="99">
        <v>4</v>
      </c>
      <c r="H92" s="99">
        <v>1</v>
      </c>
      <c r="I92" s="99">
        <v>0.33300000000000002</v>
      </c>
    </row>
    <row r="93" spans="1:12">
      <c r="A93" s="156" t="s">
        <v>6</v>
      </c>
      <c r="B93" s="125">
        <v>1</v>
      </c>
      <c r="C93" s="125">
        <v>0.25</v>
      </c>
      <c r="D93" s="246">
        <v>0.33300000000000002</v>
      </c>
      <c r="E93" s="125">
        <v>0.22486944238245599</v>
      </c>
      <c r="G93" s="99">
        <v>3</v>
      </c>
      <c r="H93" s="99">
        <v>3</v>
      </c>
      <c r="I93" s="99">
        <v>1</v>
      </c>
    </row>
    <row r="94" spans="1:12">
      <c r="A94" s="164" t="s">
        <v>7</v>
      </c>
      <c r="B94" s="125">
        <v>4</v>
      </c>
      <c r="C94" s="125">
        <v>1</v>
      </c>
      <c r="D94" s="247">
        <v>3</v>
      </c>
      <c r="E94" s="125">
        <v>0.46209874241205601</v>
      </c>
      <c r="F94" s="100" t="s">
        <v>76</v>
      </c>
    </row>
    <row r="95" spans="1:12">
      <c r="A95" s="156" t="s">
        <v>8</v>
      </c>
      <c r="B95" s="245">
        <v>3</v>
      </c>
      <c r="C95" s="244">
        <v>0.33333333333333331</v>
      </c>
      <c r="D95" s="136">
        <v>1</v>
      </c>
      <c r="E95" s="125">
        <v>0.31303181520548801</v>
      </c>
      <c r="H95" s="164" t="s">
        <v>43</v>
      </c>
      <c r="I95" s="162" t="s">
        <v>44</v>
      </c>
      <c r="J95" s="164" t="s">
        <v>45</v>
      </c>
      <c r="K95" s="162" t="s">
        <v>48</v>
      </c>
      <c r="L95" s="248" t="s">
        <v>49</v>
      </c>
    </row>
    <row r="96" spans="1:12">
      <c r="G96" s="156" t="s">
        <v>6</v>
      </c>
      <c r="H96" s="125">
        <f>J89*E93</f>
        <v>4.9957624391631726E-2</v>
      </c>
      <c r="I96" s="125">
        <f>$J$90*E98</f>
        <v>7.422044273206975E-2</v>
      </c>
      <c r="J96" s="136">
        <f>$J$91*E103</f>
        <v>5.7744571002863433E-2</v>
      </c>
      <c r="K96" s="136">
        <f>SUM(H96:J96)</f>
        <v>0.1819226381265649</v>
      </c>
      <c r="L96" s="243">
        <v>3</v>
      </c>
    </row>
    <row r="97" spans="1:13">
      <c r="A97" s="284" t="s">
        <v>73</v>
      </c>
      <c r="B97" s="164" t="s">
        <v>6</v>
      </c>
      <c r="C97" s="162" t="s">
        <v>7</v>
      </c>
      <c r="D97" s="193" t="s">
        <v>8</v>
      </c>
      <c r="E97" s="162" t="s">
        <v>33</v>
      </c>
      <c r="G97" s="164" t="s">
        <v>7</v>
      </c>
      <c r="H97" s="125">
        <f>J89*E94</f>
        <v>0.10266114933483717</v>
      </c>
      <c r="I97" s="125">
        <f>$J$90*E99</f>
        <v>0.17773673671927703</v>
      </c>
      <c r="J97" s="136">
        <f t="shared" ref="J97:J98" si="36">$J$91*E104</f>
        <v>0.22033766008156122</v>
      </c>
      <c r="K97" s="136">
        <f t="shared" ref="K97:K98" si="37">SUM(H97:J97)</f>
        <v>0.50073554613567539</v>
      </c>
      <c r="L97" s="243">
        <v>1</v>
      </c>
    </row>
    <row r="98" spans="1:13">
      <c r="A98" s="156" t="s">
        <v>6</v>
      </c>
      <c r="B98" s="125">
        <v>1</v>
      </c>
      <c r="C98" s="125">
        <v>0.2</v>
      </c>
      <c r="D98" s="246">
        <v>0.25</v>
      </c>
      <c r="E98" s="125">
        <v>0.20198045602605899</v>
      </c>
      <c r="G98" s="156" t="s">
        <v>8</v>
      </c>
      <c r="H98" s="125">
        <f>J89*E95</f>
        <v>6.9544023772109123E-2</v>
      </c>
      <c r="I98" s="125">
        <f t="shared" ref="I98" si="38">$J$90*E100</f>
        <v>0.11550630782038258</v>
      </c>
      <c r="J98" s="136">
        <f t="shared" si="36"/>
        <v>0.13229148414526876</v>
      </c>
      <c r="K98" s="136">
        <f t="shared" si="37"/>
        <v>0.31734181573776044</v>
      </c>
      <c r="L98" s="243">
        <v>2</v>
      </c>
    </row>
    <row r="99" spans="1:13">
      <c r="A99" s="164" t="s">
        <v>7</v>
      </c>
      <c r="B99" s="125">
        <v>5</v>
      </c>
      <c r="C99" s="125">
        <v>1</v>
      </c>
      <c r="D99" s="247">
        <v>4</v>
      </c>
      <c r="E99" s="125">
        <v>0.48368543508608702</v>
      </c>
      <c r="F99" s="100" t="s">
        <v>77</v>
      </c>
    </row>
    <row r="100" spans="1:13">
      <c r="A100" s="156" t="s">
        <v>8</v>
      </c>
      <c r="B100" s="245">
        <v>4</v>
      </c>
      <c r="C100" s="244">
        <v>0.25</v>
      </c>
      <c r="D100" s="136">
        <v>1</v>
      </c>
      <c r="E100" s="125">
        <v>0.31433410888785501</v>
      </c>
      <c r="H100" s="101" t="s">
        <v>72</v>
      </c>
      <c r="I100" s="101" t="s">
        <v>73</v>
      </c>
      <c r="J100" s="101" t="s">
        <v>74</v>
      </c>
      <c r="L100" t="s">
        <v>29</v>
      </c>
    </row>
    <row r="101" spans="1:13">
      <c r="G101" s="101" t="s">
        <v>55</v>
      </c>
      <c r="H101" s="155">
        <f>MAX(G76:G78)</f>
        <v>0.98</v>
      </c>
      <c r="I101" s="155">
        <f>MAX(H76:H78)</f>
        <v>0.32700000000000001</v>
      </c>
      <c r="J101" s="155">
        <f t="shared" ref="J101" si="39">MAX(I76:I78)</f>
        <v>0.123</v>
      </c>
    </row>
    <row r="102" spans="1:13">
      <c r="A102" s="284" t="s">
        <v>74</v>
      </c>
      <c r="B102" s="164" t="s">
        <v>6</v>
      </c>
      <c r="C102" s="162" t="s">
        <v>7</v>
      </c>
      <c r="D102" s="193" t="s">
        <v>8</v>
      </c>
      <c r="E102" s="162" t="s">
        <v>33</v>
      </c>
      <c r="G102" s="101" t="s">
        <v>56</v>
      </c>
      <c r="H102" s="125">
        <f>MIN(G76:G78)</f>
        <v>0.97199999999999998</v>
      </c>
      <c r="I102" s="125">
        <f t="shared" ref="I102:J102" si="40">MIN(H76:H78)</f>
        <v>0.32200000000000001</v>
      </c>
      <c r="J102" s="125">
        <f t="shared" si="40"/>
        <v>0.121</v>
      </c>
    </row>
    <row r="103" spans="1:13">
      <c r="A103" s="156" t="s">
        <v>6</v>
      </c>
      <c r="B103" s="125">
        <v>1</v>
      </c>
      <c r="C103" s="199">
        <f>1/6</f>
        <v>0.16666666666666666</v>
      </c>
      <c r="D103" s="246">
        <v>0.2</v>
      </c>
      <c r="E103" s="125">
        <v>0.14071215786942601</v>
      </c>
      <c r="G103" s="101" t="s">
        <v>57</v>
      </c>
      <c r="H103" s="166">
        <f>H101-H102</f>
        <v>8.0000000000000071E-3</v>
      </c>
      <c r="I103" s="166">
        <f t="shared" ref="I103:J103" si="41">I101-I102</f>
        <v>5.0000000000000044E-3</v>
      </c>
      <c r="J103" s="166">
        <f t="shared" si="41"/>
        <v>2.0000000000000018E-3</v>
      </c>
    </row>
    <row r="104" spans="1:13">
      <c r="A104" s="164" t="s">
        <v>7</v>
      </c>
      <c r="B104" s="125">
        <v>6</v>
      </c>
      <c r="C104" s="125">
        <v>1</v>
      </c>
      <c r="D104" s="247">
        <v>5</v>
      </c>
      <c r="E104" s="125">
        <v>0.53691952458074599</v>
      </c>
      <c r="F104" s="100" t="s">
        <v>78</v>
      </c>
      <c r="H104" s="389" t="s">
        <v>58</v>
      </c>
      <c r="I104" s="389"/>
      <c r="J104" s="389"/>
      <c r="K104" s="288"/>
      <c r="L104" s="288"/>
      <c r="M104" s="288"/>
    </row>
    <row r="105" spans="1:13">
      <c r="A105" s="156" t="s">
        <v>8</v>
      </c>
      <c r="B105" s="245">
        <v>5</v>
      </c>
      <c r="C105" s="244">
        <v>0.2</v>
      </c>
      <c r="D105" s="136">
        <v>1</v>
      </c>
      <c r="E105" s="125">
        <v>0.32236831754982898</v>
      </c>
      <c r="G105" s="156" t="s">
        <v>6</v>
      </c>
      <c r="H105" s="125">
        <f>((H101-G76)/H103)+0.0001</f>
        <v>1.0001</v>
      </c>
      <c r="I105" s="125">
        <f>((I101-H76)/I103)+0.0001</f>
        <v>1.0001</v>
      </c>
      <c r="J105" s="125">
        <f>((J101-I76)/J103)+0.0001</f>
        <v>1.0001</v>
      </c>
    </row>
    <row r="106" spans="1:13">
      <c r="G106" s="164" t="s">
        <v>7</v>
      </c>
      <c r="H106" s="125">
        <f>((H101-G77)/H103)+0.0001</f>
        <v>1E-4</v>
      </c>
      <c r="I106" s="125">
        <f>((I101-H77)/I103)+0.0001</f>
        <v>1E-4</v>
      </c>
      <c r="J106" s="125">
        <f>((J101-I77)/J103)+0.0001</f>
        <v>1E-4</v>
      </c>
    </row>
    <row r="107" spans="1:13">
      <c r="A107" s="224" t="s">
        <v>79</v>
      </c>
      <c r="B107" s="162" t="s">
        <v>72</v>
      </c>
      <c r="C107" s="162" t="s">
        <v>73</v>
      </c>
      <c r="D107" s="162" t="s">
        <v>74</v>
      </c>
      <c r="G107" s="164" t="s">
        <v>8</v>
      </c>
      <c r="H107" s="166">
        <f>((H101-G78)/H103)+0.0001</f>
        <v>0.37509999999999999</v>
      </c>
      <c r="I107" s="166">
        <f>((I101-H78)/I103)+0.0001</f>
        <v>0.40010000000000001</v>
      </c>
      <c r="J107" s="166">
        <f>((J101-I78)/J103)+0.0001</f>
        <v>0.50009999999999999</v>
      </c>
    </row>
    <row r="108" spans="1:13">
      <c r="A108" s="242" t="s">
        <v>6</v>
      </c>
      <c r="B108" s="125">
        <f>$H$127*((G79-G76)/(G79-G80))+0.0001</f>
        <v>1E-4</v>
      </c>
      <c r="C108" s="125">
        <f>$H$127*((H79-H76)/(H79-H80))+0.0001</f>
        <v>1E-4</v>
      </c>
      <c r="D108" s="125">
        <f t="shared" ref="D108" si="42">$H$127*((I79-I76)/(I79-I80))+0.0001</f>
        <v>1E-4</v>
      </c>
      <c r="G108" s="101" t="s">
        <v>60</v>
      </c>
      <c r="H108" s="166">
        <f>SUM(H105:H107)</f>
        <v>1.3753</v>
      </c>
      <c r="I108" s="166">
        <f t="shared" ref="I108:J108" si="43">SUM(I105:I107)</f>
        <v>1.4003000000000001</v>
      </c>
      <c r="J108" s="166">
        <f t="shared" si="43"/>
        <v>1.5003</v>
      </c>
    </row>
    <row r="109" spans="1:13">
      <c r="A109" s="164" t="s">
        <v>7</v>
      </c>
      <c r="B109" s="125">
        <f>$I$127*((G79-G77)/(G79-G80))+0.0001</f>
        <v>0.35166348379826817</v>
      </c>
      <c r="C109" s="125">
        <f>$I$127*((H79-H77)/(H79-H80))+0.0001</f>
        <v>0.35166348379826817</v>
      </c>
      <c r="D109" s="125">
        <f>$I$127*((I79-I77)/(I79-I80))+0.0001</f>
        <v>0.35166348379826817</v>
      </c>
      <c r="H109" s="394" t="s">
        <v>61</v>
      </c>
      <c r="I109" s="395"/>
      <c r="J109" s="396"/>
      <c r="K109" s="288"/>
      <c r="L109" s="288"/>
      <c r="M109" s="288"/>
    </row>
    <row r="110" spans="1:13">
      <c r="A110" s="156" t="s">
        <v>8</v>
      </c>
      <c r="B110" s="125">
        <f>$J$127*((G79-G78)/(G79-G80))+0.0001</f>
        <v>0.2352214777051625</v>
      </c>
      <c r="C110" s="125">
        <f>$I$127*((H79-H78)/(H79-H80))+0.0001</f>
        <v>0.21103809027896089</v>
      </c>
      <c r="D110" s="125">
        <f>$J$127*((I79-I78)/(I79-I80))+0.0001</f>
        <v>0.18819718216413001</v>
      </c>
      <c r="G110" s="156" t="s">
        <v>6</v>
      </c>
      <c r="H110" s="125">
        <f>H105/$H$108</f>
        <v>0.72718679560823096</v>
      </c>
      <c r="I110" s="125">
        <f>I105/$I$108</f>
        <v>0.71420409912161675</v>
      </c>
      <c r="J110" s="125">
        <f>J105/$J$108</f>
        <v>0.66660001333066721</v>
      </c>
    </row>
    <row r="111" spans="1:13">
      <c r="G111" s="164" t="s">
        <v>7</v>
      </c>
      <c r="H111" s="125">
        <f>H106/$H$108</f>
        <v>7.2711408419981105E-5</v>
      </c>
      <c r="I111" s="125">
        <f>I106/$I$108</f>
        <v>7.1413268585303143E-5</v>
      </c>
      <c r="J111" s="125">
        <f t="shared" ref="J111:J112" si="44">J106/$J$108</f>
        <v>6.6653335999466775E-5</v>
      </c>
    </row>
    <row r="112" spans="1:13">
      <c r="G112" s="101" t="s">
        <v>8</v>
      </c>
      <c r="H112" s="125">
        <f t="shared" ref="H112" si="45">H107/$H$108</f>
        <v>0.27274049298334907</v>
      </c>
      <c r="I112" s="125">
        <f t="shared" ref="I112" si="46">I107/$I$108</f>
        <v>0.28572448760979791</v>
      </c>
      <c r="J112" s="125">
        <f t="shared" si="44"/>
        <v>0.33333333333333331</v>
      </c>
    </row>
    <row r="113" spans="7:11">
      <c r="H113" s="394" t="s">
        <v>62</v>
      </c>
      <c r="I113" s="395"/>
      <c r="J113" s="396"/>
    </row>
    <row r="114" spans="7:11">
      <c r="G114" s="101" t="s">
        <v>6</v>
      </c>
      <c r="H114" s="125">
        <f>LN(H110)</f>
        <v>-0.3185718941381917</v>
      </c>
      <c r="I114" s="125">
        <f t="shared" ref="I114:J114" si="47">LN(I110)</f>
        <v>-0.33658650437926108</v>
      </c>
      <c r="J114" s="125">
        <f t="shared" si="47"/>
        <v>-0.40556509311049732</v>
      </c>
    </row>
    <row r="115" spans="7:11">
      <c r="G115" s="101" t="s">
        <v>7</v>
      </c>
      <c r="H115" s="125">
        <f>LN(H111)</f>
        <v>-9.5290122611147083</v>
      </c>
      <c r="I115" s="125">
        <f t="shared" ref="I115:J115" si="48">LN(I111)</f>
        <v>-9.5470268713557775</v>
      </c>
      <c r="J115" s="125">
        <f t="shared" si="48"/>
        <v>-9.6160054600870133</v>
      </c>
    </row>
    <row r="116" spans="7:11">
      <c r="G116" s="101" t="s">
        <v>8</v>
      </c>
      <c r="H116" s="125">
        <f t="shared" ref="H116:J116" si="49">LN(H112)</f>
        <v>-1.2992345110328205</v>
      </c>
      <c r="I116" s="125">
        <f t="shared" si="49"/>
        <v>-1.2527272624985419</v>
      </c>
      <c r="J116" s="125">
        <f t="shared" si="49"/>
        <v>-1.0986122886681098</v>
      </c>
    </row>
    <row r="117" spans="7:11">
      <c r="H117" s="394" t="s">
        <v>63</v>
      </c>
      <c r="I117" s="395"/>
      <c r="J117" s="396"/>
    </row>
    <row r="118" spans="7:11">
      <c r="G118" s="156" t="s">
        <v>6</v>
      </c>
      <c r="H118" s="125">
        <f>H110*H114</f>
        <v>-0.23166127486919619</v>
      </c>
      <c r="I118" s="125">
        <f>I110*I114</f>
        <v>-0.24039146113668428</v>
      </c>
      <c r="J118" s="125">
        <f t="shared" ref="J118" si="50">J110*J114</f>
        <v>-0.27034969647391083</v>
      </c>
    </row>
    <row r="119" spans="7:11">
      <c r="G119" s="164" t="s">
        <v>7</v>
      </c>
      <c r="H119" s="125">
        <f t="shared" ref="H119:J120" si="51">H111*H115</f>
        <v>-6.9286790235691923E-4</v>
      </c>
      <c r="I119" s="125">
        <f t="shared" si="51"/>
        <v>-6.817843941552365E-4</v>
      </c>
      <c r="J119" s="125">
        <f t="shared" si="51"/>
        <v>-6.4093884290388685E-4</v>
      </c>
    </row>
    <row r="120" spans="7:11">
      <c r="G120" s="164" t="s">
        <v>8</v>
      </c>
      <c r="H120" s="125">
        <f t="shared" si="51"/>
        <v>-0.35435386104007194</v>
      </c>
      <c r="I120" s="125">
        <f t="shared" si="51"/>
        <v>-0.35793485519222068</v>
      </c>
      <c r="J120" s="125">
        <f t="shared" si="51"/>
        <v>-0.36620409622270322</v>
      </c>
    </row>
    <row r="121" spans="7:11">
      <c r="G121" s="156" t="s">
        <v>60</v>
      </c>
      <c r="H121" s="166">
        <f>SUM(H118:H120)</f>
        <v>-0.58670800381162502</v>
      </c>
      <c r="I121" s="166">
        <f t="shared" ref="I121:J121" si="52">SUM(I118:I120)</f>
        <v>-0.59900810072306021</v>
      </c>
      <c r="J121" s="166">
        <f t="shared" si="52"/>
        <v>-0.63719473153951789</v>
      </c>
      <c r="K121">
        <f>LN(3)</f>
        <v>1.0986122886681098</v>
      </c>
    </row>
    <row r="122" spans="7:11">
      <c r="G122" s="283" t="s">
        <v>64</v>
      </c>
      <c r="H122" s="289">
        <f>H121*$K$121</f>
        <v>-0.64456462284738747</v>
      </c>
      <c r="I122" s="289">
        <f t="shared" ref="I122:J122" si="53">I121*$K$121</f>
        <v>-0.65807766046609883</v>
      </c>
      <c r="J122" s="289">
        <f t="shared" si="53"/>
        <v>-0.70002996234389159</v>
      </c>
    </row>
    <row r="123" spans="7:11">
      <c r="G123" s="290" t="s">
        <v>65</v>
      </c>
      <c r="H123" s="291">
        <f>1-H122</f>
        <v>1.6445646228473874</v>
      </c>
      <c r="I123" s="291">
        <f t="shared" ref="I123:J123" si="54">1-I122</f>
        <v>1.6580776604660987</v>
      </c>
      <c r="J123" s="291">
        <f t="shared" si="54"/>
        <v>1.7000299623438915</v>
      </c>
      <c r="K123">
        <f>SUM(H123:J123)</f>
        <v>5.0026722456573776</v>
      </c>
    </row>
    <row r="124" spans="7:11">
      <c r="G124" s="281" t="s">
        <v>51</v>
      </c>
      <c r="H124" s="145">
        <f>H123/$K$123</f>
        <v>0.32873723124175663</v>
      </c>
      <c r="I124" s="145">
        <f>I123/$K$123</f>
        <v>0.33143839513080448</v>
      </c>
      <c r="J124" s="145">
        <f t="shared" ref="J124" si="55">J123/$K$123</f>
        <v>0.33982437362743889</v>
      </c>
    </row>
    <row r="125" spans="7:11">
      <c r="G125" s="281" t="s">
        <v>52</v>
      </c>
      <c r="H125" s="145">
        <v>0.22216279749857801</v>
      </c>
      <c r="I125" s="145">
        <v>0.36746348727172901</v>
      </c>
      <c r="J125" s="145">
        <v>0.41037371522969301</v>
      </c>
    </row>
    <row r="126" spans="7:11">
      <c r="H126">
        <f>(H124)^0.5*(H125)^0.5</f>
        <v>0.27024652252083764</v>
      </c>
      <c r="I126">
        <f>(I124)^0.5*(I125)^0.5</f>
        <v>0.34898640158394517</v>
      </c>
      <c r="J126">
        <f t="shared" ref="J126" si="56">(J124)^0.5*(J125)^0.5</f>
        <v>0.37343672922075494</v>
      </c>
      <c r="K126">
        <f>SUM(H126:J126)</f>
        <v>0.99266965332553769</v>
      </c>
    </row>
    <row r="127" spans="7:11">
      <c r="G127" s="282" t="s">
        <v>50</v>
      </c>
      <c r="H127" s="260">
        <f>H126/$K$126</f>
        <v>0.27224215187347178</v>
      </c>
      <c r="I127" s="260">
        <f t="shared" ref="I127:J127" si="57">I126/$K$126</f>
        <v>0.35156348379826818</v>
      </c>
      <c r="J127" s="260">
        <f t="shared" si="57"/>
        <v>0.37619436432826003</v>
      </c>
    </row>
    <row r="129" spans="1:8">
      <c r="A129" s="83" t="s">
        <v>5</v>
      </c>
      <c r="B129" s="9" t="s">
        <v>11</v>
      </c>
      <c r="C129" s="9" t="s">
        <v>12</v>
      </c>
      <c r="D129" s="9" t="s">
        <v>13</v>
      </c>
      <c r="E129" s="9" t="s">
        <v>14</v>
      </c>
      <c r="F129" s="9" t="s">
        <v>15</v>
      </c>
      <c r="G129" s="9" t="s">
        <v>16</v>
      </c>
      <c r="H129" s="9" t="s">
        <v>17</v>
      </c>
    </row>
    <row r="130" spans="1:8">
      <c r="A130" s="242" t="s">
        <v>6</v>
      </c>
      <c r="B130" s="125">
        <f>SUM(B108:D108)</f>
        <v>3.0000000000000003E-4</v>
      </c>
      <c r="C130" s="125">
        <f>MAX(B108:D108)</f>
        <v>1E-4</v>
      </c>
      <c r="D130" s="167">
        <f>$F$132*((B130-$E$130)/($G$130-$E$130))+(1-$F$132)*((C130-$F$130)/($H$130-$F$130))+0.0001</f>
        <v>1E-4</v>
      </c>
      <c r="E130" s="125">
        <f>MIN(B130:B132)</f>
        <v>3.0000000000000003E-4</v>
      </c>
      <c r="F130" s="125">
        <f>MIN(C130:C132)</f>
        <v>1E-4</v>
      </c>
      <c r="G130" s="125">
        <f>MAX(B130:B132)</f>
        <v>1.0549904513948045</v>
      </c>
      <c r="H130" s="125">
        <f>MAX(C130:C132)</f>
        <v>0.35166348379826817</v>
      </c>
    </row>
    <row r="131" spans="1:8">
      <c r="A131" s="164" t="s">
        <v>7</v>
      </c>
      <c r="B131" s="125">
        <f>SUM(B109:D109)</f>
        <v>1.0549904513948045</v>
      </c>
      <c r="C131" s="136">
        <f t="shared" ref="C131:C132" si="58">MAX(B109:D109)</f>
        <v>0.35166348379826817</v>
      </c>
      <c r="D131" s="125">
        <f>$F$132*((B131-$E$130)/($G$130-$E$130))+(1-$F$132)*((C131-$F$130)/($H$130-$F$130))+0.0001</f>
        <v>1.0001</v>
      </c>
      <c r="E131" s="99"/>
      <c r="F131" s="99"/>
      <c r="G131" s="99"/>
      <c r="H131" s="99"/>
    </row>
    <row r="132" spans="1:8">
      <c r="A132" s="156" t="s">
        <v>8</v>
      </c>
      <c r="B132" s="125">
        <f>SUM(B110:D110)</f>
        <v>0.63445675014825342</v>
      </c>
      <c r="C132" s="136">
        <f t="shared" si="58"/>
        <v>0.2352214777051625</v>
      </c>
      <c r="D132" s="125">
        <f t="shared" ref="D132" si="59">$F$132*((B132-$E$130)/($G$130-$E$130))+(1-$F$132)*((C132-$F$130)/($H$130-$F$130))+0.0001</f>
        <v>0.63513048761475654</v>
      </c>
      <c r="E132" s="99"/>
      <c r="F132" s="99">
        <v>0.5</v>
      </c>
      <c r="G132" s="99"/>
      <c r="H132" s="99"/>
    </row>
    <row r="134" spans="1:8">
      <c r="D134" t="s">
        <v>80</v>
      </c>
    </row>
  </sheetData>
  <mergeCells count="15">
    <mergeCell ref="H117:J117"/>
    <mergeCell ref="H104:J104"/>
    <mergeCell ref="H109:J109"/>
    <mergeCell ref="H113:J113"/>
    <mergeCell ref="K42:L42"/>
    <mergeCell ref="M42:N42"/>
    <mergeCell ref="A49:F49"/>
    <mergeCell ref="I49:J49"/>
    <mergeCell ref="K49:L49"/>
    <mergeCell ref="M49:N49"/>
    <mergeCell ref="A54:F54"/>
    <mergeCell ref="A58:F58"/>
    <mergeCell ref="A62:F62"/>
    <mergeCell ref="G74:I74"/>
    <mergeCell ref="I42:J4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1A9C4-9CAA-4DD7-B4A1-3D822F25720C}">
  <dimension ref="A1:AI96"/>
  <sheetViews>
    <sheetView topLeftCell="A12" zoomScale="90" zoomScaleNormal="90" workbookViewId="0">
      <selection activeCell="T82" sqref="T82"/>
    </sheetView>
  </sheetViews>
  <sheetFormatPr defaultRowHeight="14.5"/>
  <cols>
    <col min="4" max="4" width="9.26953125" bestFit="1" customWidth="1"/>
    <col min="6" max="6" width="13.1796875" customWidth="1"/>
    <col min="7" max="7" width="11.26953125" customWidth="1"/>
    <col min="8" max="8" width="15.453125" customWidth="1"/>
    <col min="9" max="9" width="10.1796875" customWidth="1"/>
    <col min="10" max="10" width="12.26953125" customWidth="1"/>
    <col min="13" max="13" width="12.81640625" customWidth="1"/>
    <col min="14" max="14" width="11.54296875" customWidth="1"/>
    <col min="15" max="15" width="12.453125" customWidth="1"/>
    <col min="16" max="16" width="11.54296875" customWidth="1"/>
    <col min="17" max="17" width="11.7265625" customWidth="1"/>
    <col min="18" max="18" width="11.81640625" customWidth="1"/>
    <col min="19" max="19" width="10.26953125" customWidth="1"/>
    <col min="20" max="20" width="12.90625" customWidth="1"/>
    <col min="21" max="21" width="12.1796875" customWidth="1"/>
    <col min="22" max="24" width="9.453125" bestFit="1" customWidth="1"/>
    <col min="25" max="25" width="10.7265625" customWidth="1"/>
    <col min="26" max="26" width="9.453125" bestFit="1" customWidth="1"/>
    <col min="27" max="27" width="11.54296875" customWidth="1"/>
  </cols>
  <sheetData>
    <row r="1" spans="1:35" ht="44" thickBot="1">
      <c r="A1" s="357"/>
      <c r="B1" s="358" t="s">
        <v>72</v>
      </c>
      <c r="C1" s="354" t="s">
        <v>81</v>
      </c>
      <c r="D1" s="362" t="s">
        <v>73</v>
      </c>
      <c r="G1" s="343"/>
      <c r="H1" s="344" t="s">
        <v>82</v>
      </c>
      <c r="I1" s="335" t="s">
        <v>83</v>
      </c>
      <c r="J1" s="335" t="s">
        <v>84</v>
      </c>
      <c r="L1" s="302" t="s">
        <v>75</v>
      </c>
      <c r="N1" s="224" t="s">
        <v>79</v>
      </c>
      <c r="O1" s="162" t="s">
        <v>72</v>
      </c>
      <c r="P1" s="162" t="s">
        <v>85</v>
      </c>
      <c r="Q1" s="162" t="s">
        <v>73</v>
      </c>
      <c r="S1" s="194" t="s">
        <v>86</v>
      </c>
      <c r="T1" s="194" t="s">
        <v>87</v>
      </c>
      <c r="U1" s="194" t="s">
        <v>88</v>
      </c>
      <c r="V1" s="194" t="s">
        <v>89</v>
      </c>
      <c r="Y1" s="100" t="s">
        <v>42</v>
      </c>
      <c r="AA1" s="162" t="s">
        <v>90</v>
      </c>
      <c r="AB1" s="299" t="s">
        <v>91</v>
      </c>
      <c r="AC1" s="299" t="s">
        <v>92</v>
      </c>
    </row>
    <row r="2" spans="1:35" ht="15" thickBot="1">
      <c r="A2" s="352" t="s">
        <v>72</v>
      </c>
      <c r="B2" s="359" t="s">
        <v>20</v>
      </c>
      <c r="C2" s="365" t="s">
        <v>23</v>
      </c>
      <c r="D2" s="363" t="s">
        <v>22</v>
      </c>
      <c r="G2" s="194" t="s">
        <v>6</v>
      </c>
      <c r="H2" s="195">
        <v>255</v>
      </c>
      <c r="I2" s="195">
        <v>82.1</v>
      </c>
      <c r="J2" s="195">
        <v>20.8</v>
      </c>
      <c r="L2" s="303">
        <v>0.22216279749857801</v>
      </c>
      <c r="N2" s="156" t="s">
        <v>6</v>
      </c>
      <c r="O2" s="125">
        <f>I35*(($H$5-H2)/($H$5-$H$6))+0.0001</f>
        <v>1E-4</v>
      </c>
      <c r="P2" s="125">
        <f>$J$35*(($I$5-I2)/($I$5-$I$6))+0.0001</f>
        <v>1E-4</v>
      </c>
      <c r="Q2" s="125">
        <f>$K$35*(($J$5-J2)/($J$5-$J$6))+0.0001</f>
        <v>1E-4</v>
      </c>
      <c r="S2" s="194" t="s">
        <v>6</v>
      </c>
      <c r="T2" s="195">
        <v>74.599999999999994</v>
      </c>
      <c r="U2" s="195">
        <v>55.7</v>
      </c>
      <c r="V2" s="195">
        <v>25.4</v>
      </c>
      <c r="X2" s="302" t="s">
        <v>75</v>
      </c>
      <c r="Z2" s="156" t="s">
        <v>6</v>
      </c>
      <c r="AA2" s="125">
        <v>8.75</v>
      </c>
      <c r="AB2" s="125">
        <v>8.75</v>
      </c>
      <c r="AC2" s="125">
        <v>9.75</v>
      </c>
    </row>
    <row r="3" spans="1:35" ht="15" thickBot="1">
      <c r="A3" s="354" t="s">
        <v>81</v>
      </c>
      <c r="B3" s="360" t="s">
        <v>31</v>
      </c>
      <c r="C3" s="366" t="s">
        <v>20</v>
      </c>
      <c r="D3" s="355" t="s">
        <v>22</v>
      </c>
      <c r="G3" s="194" t="s">
        <v>7</v>
      </c>
      <c r="H3" s="195">
        <v>257</v>
      </c>
      <c r="I3" s="195">
        <v>85</v>
      </c>
      <c r="J3" s="195">
        <v>21.1</v>
      </c>
      <c r="L3" s="303">
        <v>0.36746348727172901</v>
      </c>
      <c r="N3" s="156" t="s">
        <v>7</v>
      </c>
      <c r="O3" s="125">
        <f>I35*(($H$5-H3)/($H$5-$H$6))+0.0001</f>
        <v>0.22815898476726057</v>
      </c>
      <c r="P3" s="125">
        <f>$J$35*(($I$5-I3)/($I$5-$I$6))+0.0001</f>
        <v>0.37813595400454875</v>
      </c>
      <c r="Q3" s="125">
        <f t="shared" ref="Q3:Q4" si="0">$K$35*(($J$5-J3)/($J$5-$J$6))+0.0001</f>
        <v>0.39400506122819057</v>
      </c>
      <c r="S3" s="194" t="s">
        <v>7</v>
      </c>
      <c r="T3" s="195">
        <v>74.599999999999994</v>
      </c>
      <c r="U3" s="195">
        <v>321</v>
      </c>
      <c r="V3" s="195">
        <v>25.4</v>
      </c>
      <c r="X3" s="303">
        <v>0.22216279749857801</v>
      </c>
      <c r="Z3" s="156" t="s">
        <v>7</v>
      </c>
      <c r="AA3" s="125">
        <v>7</v>
      </c>
      <c r="AB3" s="125">
        <v>8.75</v>
      </c>
      <c r="AC3" s="125">
        <v>9.75</v>
      </c>
    </row>
    <row r="4" spans="1:35" ht="15" thickBot="1">
      <c r="A4" s="353" t="s">
        <v>73</v>
      </c>
      <c r="B4" s="361" t="s">
        <v>28</v>
      </c>
      <c r="C4" s="367" t="s">
        <v>28</v>
      </c>
      <c r="D4" s="364" t="s">
        <v>20</v>
      </c>
      <c r="G4" s="194" t="s">
        <v>8</v>
      </c>
      <c r="H4" s="195">
        <v>257</v>
      </c>
      <c r="I4" s="195">
        <v>83.8</v>
      </c>
      <c r="J4" s="195">
        <v>21</v>
      </c>
      <c r="L4" s="304">
        <v>0.41037371522969301</v>
      </c>
      <c r="N4" s="156" t="s">
        <v>8</v>
      </c>
      <c r="O4" s="125">
        <f>I35*(($H$5-H4)/($H$5-$H$6))+0.0001</f>
        <v>0.22815898476726057</v>
      </c>
      <c r="P4" s="125">
        <f t="shared" ref="P4" si="1">$J$35*(($I$5-I4)/($I$5-$I$6))+0.0001</f>
        <v>0.22170728338197679</v>
      </c>
      <c r="Q4" s="125">
        <f t="shared" si="0"/>
        <v>0.26270337415212547</v>
      </c>
      <c r="S4" s="194" t="s">
        <v>8</v>
      </c>
      <c r="T4" s="195">
        <v>199</v>
      </c>
      <c r="U4" s="195">
        <v>209</v>
      </c>
      <c r="V4" s="195">
        <v>67.7</v>
      </c>
      <c r="X4" s="303">
        <v>0.36746348727172901</v>
      </c>
      <c r="Y4" s="100">
        <v>5.3600000000000002E-2</v>
      </c>
      <c r="Z4" s="156" t="s">
        <v>8</v>
      </c>
      <c r="AA4" s="125">
        <v>0.25</v>
      </c>
      <c r="AB4" s="125">
        <v>1.25</v>
      </c>
      <c r="AC4" s="125">
        <v>9.75</v>
      </c>
    </row>
    <row r="5" spans="1:35" ht="15" thickBot="1">
      <c r="G5" s="242" t="s">
        <v>9</v>
      </c>
      <c r="H5" s="155">
        <f>MIN(H2:H4)</f>
        <v>255</v>
      </c>
      <c r="I5" s="155">
        <f t="shared" ref="I5:J5" si="2">MIN(I2:I4)</f>
        <v>82.1</v>
      </c>
      <c r="J5" s="155">
        <f t="shared" si="2"/>
        <v>20.8</v>
      </c>
      <c r="S5" s="242" t="s">
        <v>9</v>
      </c>
      <c r="T5" s="155">
        <f>MAX(T2:T4)</f>
        <v>199</v>
      </c>
      <c r="U5" s="155">
        <f>MIN(U2:U4)</f>
        <v>55.7</v>
      </c>
      <c r="V5" s="155">
        <f>MIN(V2:V4)</f>
        <v>25.4</v>
      </c>
      <c r="X5" s="303">
        <v>0.41037371522969301</v>
      </c>
      <c r="Z5" s="156" t="s">
        <v>9</v>
      </c>
      <c r="AA5" s="125">
        <f>MAX(AA2:AA4)</f>
        <v>8.75</v>
      </c>
      <c r="AB5" s="125">
        <f t="shared" ref="AB5:AC5" si="3">MAX(AB2:AB4)</f>
        <v>8.75</v>
      </c>
      <c r="AC5" s="125">
        <f t="shared" si="3"/>
        <v>9.75</v>
      </c>
    </row>
    <row r="6" spans="1:35" ht="15" thickBot="1">
      <c r="G6" s="156" t="s">
        <v>10</v>
      </c>
      <c r="H6" s="125">
        <f>MAX(H2:H4)</f>
        <v>257</v>
      </c>
      <c r="I6" s="125">
        <f t="shared" ref="I6:J6" si="4">MAX(I2:I4)</f>
        <v>85</v>
      </c>
      <c r="J6" s="125">
        <f t="shared" si="4"/>
        <v>21.1</v>
      </c>
      <c r="S6" s="156" t="s">
        <v>10</v>
      </c>
      <c r="T6" s="125">
        <f>MIN(T2:T4)</f>
        <v>74.599999999999994</v>
      </c>
      <c r="U6" s="125">
        <f>MAX(U2:U4)</f>
        <v>321</v>
      </c>
      <c r="V6" s="125">
        <f>MAX(V2:V4)</f>
        <v>67.7</v>
      </c>
      <c r="X6" s="306" t="s">
        <v>93</v>
      </c>
      <c r="Z6" s="156" t="s">
        <v>10</v>
      </c>
      <c r="AA6" s="125">
        <f>MIN(AA2:AA4)</f>
        <v>0.25</v>
      </c>
      <c r="AB6" s="125">
        <f t="shared" ref="AB6:AC6" si="5">MIN(AB2:AB4)</f>
        <v>1.25</v>
      </c>
      <c r="AC6" s="125">
        <f t="shared" si="5"/>
        <v>9.75</v>
      </c>
      <c r="AG6" s="354" t="s">
        <v>34</v>
      </c>
      <c r="AH6" s="271" t="s">
        <v>331</v>
      </c>
    </row>
    <row r="7" spans="1:35" ht="15" thickBot="1">
      <c r="X7" s="305">
        <v>0.40826504034051198</v>
      </c>
      <c r="Y7" s="99"/>
      <c r="AG7" s="351" t="s">
        <v>94</v>
      </c>
      <c r="AH7" s="115">
        <f>0.365466101694915</f>
        <v>0.365466101694915</v>
      </c>
    </row>
    <row r="8" spans="1:35" ht="15" thickBot="1">
      <c r="A8" s="224" t="s">
        <v>72</v>
      </c>
      <c r="B8" s="193" t="s">
        <v>6</v>
      </c>
      <c r="C8" s="162" t="s">
        <v>7</v>
      </c>
      <c r="D8" s="193" t="s">
        <v>8</v>
      </c>
      <c r="E8" s="162" t="s">
        <v>33</v>
      </c>
      <c r="I8" s="101" t="s">
        <v>72</v>
      </c>
      <c r="J8" s="101" t="s">
        <v>85</v>
      </c>
      <c r="K8" s="101" t="s">
        <v>73</v>
      </c>
      <c r="M8" s="95" t="s">
        <v>5</v>
      </c>
      <c r="N8" s="19" t="s">
        <v>11</v>
      </c>
      <c r="O8" s="19" t="s">
        <v>12</v>
      </c>
      <c r="P8" s="19" t="s">
        <v>13</v>
      </c>
      <c r="Q8" s="19" t="s">
        <v>14</v>
      </c>
      <c r="R8" s="19" t="s">
        <v>15</v>
      </c>
      <c r="S8" s="19" t="s">
        <v>16</v>
      </c>
      <c r="T8" s="19" t="s">
        <v>17</v>
      </c>
      <c r="X8" s="285">
        <v>0.29586747982974398</v>
      </c>
      <c r="Y8" s="100">
        <v>-8.7099999999999997E-2</v>
      </c>
      <c r="AG8" s="354" t="s">
        <v>95</v>
      </c>
      <c r="AH8" s="355">
        <f>0.245768888669269</f>
        <v>0.24576888866926899</v>
      </c>
      <c r="AI8" s="100">
        <v>6.3E-2</v>
      </c>
    </row>
    <row r="9" spans="1:35" ht="15" thickBot="1">
      <c r="A9" s="242" t="s">
        <v>6</v>
      </c>
      <c r="B9" s="125">
        <v>1</v>
      </c>
      <c r="C9" s="125">
        <v>0.25</v>
      </c>
      <c r="D9" s="246">
        <v>0.33300000000000002</v>
      </c>
      <c r="E9" s="125">
        <v>0.22486944238245599</v>
      </c>
      <c r="H9" s="101" t="s">
        <v>55</v>
      </c>
      <c r="I9" s="155">
        <f>MAX(H2:H4)</f>
        <v>257</v>
      </c>
      <c r="J9" s="155">
        <f t="shared" ref="J9:K9" si="6">MAX(I2:I4)</f>
        <v>85</v>
      </c>
      <c r="K9" s="155">
        <f t="shared" si="6"/>
        <v>21.1</v>
      </c>
      <c r="M9" s="156" t="s">
        <v>6</v>
      </c>
      <c r="N9" s="166">
        <f>SUM(O2:Q2)</f>
        <v>3.0000000000000003E-4</v>
      </c>
      <c r="O9" s="166">
        <f>MAX(O2:Q2)</f>
        <v>1E-4</v>
      </c>
      <c r="P9" s="166">
        <f>$R$11*((N9-$Q$9)/($S$9-$Q$9))+(1-$R$11)*((O9-$R$9)/($T$9-$R$9))+0.0001</f>
        <v>1E-4</v>
      </c>
      <c r="Q9" s="125">
        <f>MIN(N9:N11)</f>
        <v>3.0000000000000003E-4</v>
      </c>
      <c r="R9" s="125">
        <f>MIN(O9:O11)</f>
        <v>1E-4</v>
      </c>
      <c r="S9" s="125">
        <f>MAX(N9:N11)</f>
        <v>1.0002999999999997</v>
      </c>
      <c r="T9" s="125">
        <f>MAX(O9:O11)</f>
        <v>0.39400506122819057</v>
      </c>
      <c r="X9" s="285">
        <v>0.29586747982974398</v>
      </c>
      <c r="Y9" s="99"/>
      <c r="AA9" s="162" t="s">
        <v>96</v>
      </c>
      <c r="AB9" s="299" t="s">
        <v>97</v>
      </c>
      <c r="AC9" s="299" t="s">
        <v>98</v>
      </c>
      <c r="AD9" s="100" t="s">
        <v>42</v>
      </c>
      <c r="AE9" s="315" t="s">
        <v>99</v>
      </c>
      <c r="AG9" s="353" t="s">
        <v>100</v>
      </c>
      <c r="AH9" s="120">
        <f>0.388765009635816</f>
        <v>0.38876500963581601</v>
      </c>
    </row>
    <row r="10" spans="1:35" ht="15" thickBot="1">
      <c r="A10" s="164" t="s">
        <v>7</v>
      </c>
      <c r="B10" s="125">
        <v>4</v>
      </c>
      <c r="C10" s="125">
        <v>1</v>
      </c>
      <c r="D10" s="247">
        <v>3</v>
      </c>
      <c r="E10" s="125">
        <v>0.46209874241205601</v>
      </c>
      <c r="F10" s="100" t="s">
        <v>76</v>
      </c>
      <c r="H10" s="101" t="s">
        <v>56</v>
      </c>
      <c r="I10" s="125">
        <f>MIN(H2:H4)</f>
        <v>255</v>
      </c>
      <c r="J10" s="125">
        <f t="shared" ref="J10:K10" si="7">MIN(I2:I4)</f>
        <v>82.1</v>
      </c>
      <c r="K10" s="125">
        <f t="shared" si="7"/>
        <v>20.8</v>
      </c>
      <c r="M10" s="156" t="s">
        <v>7</v>
      </c>
      <c r="N10" s="166">
        <f>SUM(O3:Q3)</f>
        <v>1.0002999999999997</v>
      </c>
      <c r="O10" s="167">
        <f t="shared" ref="O10:O11" si="8">MAX(O3:Q3)</f>
        <v>0.39400506122819057</v>
      </c>
      <c r="P10" s="166">
        <f>$R$11*((N10-$Q$9)/($S$9-$Q$9))+(1-$R$11)*((O10-$R$9)/($T$9-$R$9))+0.0001</f>
        <v>1.0001</v>
      </c>
      <c r="X10" s="272" t="s">
        <v>101</v>
      </c>
      <c r="Y10" s="100">
        <v>6.6799999999999998E-2</v>
      </c>
      <c r="Z10" s="164" t="s">
        <v>96</v>
      </c>
      <c r="AA10" s="125">
        <v>1</v>
      </c>
      <c r="AB10" s="125">
        <v>0.5</v>
      </c>
      <c r="AC10" s="125">
        <v>0.25</v>
      </c>
      <c r="AD10" s="100"/>
      <c r="AE10" s="316">
        <v>0.27613079560090897</v>
      </c>
    </row>
    <row r="11" spans="1:35">
      <c r="A11" s="156" t="s">
        <v>8</v>
      </c>
      <c r="B11" s="245">
        <v>3</v>
      </c>
      <c r="C11" s="244">
        <v>0.33333333333333331</v>
      </c>
      <c r="D11" s="136">
        <v>1</v>
      </c>
      <c r="E11" s="125">
        <v>0.31303181520548801</v>
      </c>
      <c r="H11" s="101" t="s">
        <v>57</v>
      </c>
      <c r="I11" s="166">
        <f>I9-I10</f>
        <v>2</v>
      </c>
      <c r="J11" s="166">
        <f t="shared" ref="J11:K11" si="9">J9-J10</f>
        <v>2.9000000000000057</v>
      </c>
      <c r="K11" s="166">
        <f t="shared" si="9"/>
        <v>0.30000000000000071</v>
      </c>
      <c r="M11" s="156" t="s">
        <v>8</v>
      </c>
      <c r="N11" s="136">
        <f t="shared" ref="N11" si="10">SUM(O4:Q4)</f>
        <v>0.71256964230136277</v>
      </c>
      <c r="O11" s="136">
        <f t="shared" si="8"/>
        <v>0.26270337415212547</v>
      </c>
      <c r="P11" s="125">
        <f t="shared" ref="P11" si="11">$R$11*((N11-$Q$9)/($S$9-$Q$9))+(1-$R$11)*((O11-$R$9)/($T$9-$R$9))+0.0001</f>
        <v>0.68956815448401276</v>
      </c>
      <c r="R11">
        <v>0.5</v>
      </c>
      <c r="W11" s="100" t="s">
        <v>94</v>
      </c>
      <c r="X11" s="159">
        <v>0.59824780976220304</v>
      </c>
      <c r="Z11" s="314" t="s">
        <v>97</v>
      </c>
      <c r="AA11" s="125">
        <v>2</v>
      </c>
      <c r="AB11" s="125">
        <v>1</v>
      </c>
      <c r="AC11" s="125">
        <v>0.33</v>
      </c>
      <c r="AD11" s="100">
        <v>7.1900000000000006E-2</v>
      </c>
      <c r="AE11" s="317">
        <v>0.27554820770162602</v>
      </c>
    </row>
    <row r="12" spans="1:35">
      <c r="I12" s="389" t="s">
        <v>58</v>
      </c>
      <c r="J12" s="389"/>
      <c r="K12" s="389"/>
      <c r="W12" s="100" t="s">
        <v>95</v>
      </c>
      <c r="X12" s="161">
        <v>0.40175219023779701</v>
      </c>
      <c r="Z12" s="203" t="s">
        <v>98</v>
      </c>
      <c r="AA12" s="141">
        <v>4</v>
      </c>
      <c r="AB12" s="125">
        <v>3</v>
      </c>
      <c r="AC12" s="125">
        <v>1</v>
      </c>
      <c r="AD12" s="100"/>
      <c r="AE12" s="318">
        <v>0.448320996697465</v>
      </c>
    </row>
    <row r="13" spans="1:35">
      <c r="A13" s="224" t="s">
        <v>73</v>
      </c>
      <c r="B13" s="193" t="s">
        <v>6</v>
      </c>
      <c r="C13" s="162" t="s">
        <v>7</v>
      </c>
      <c r="D13" s="193" t="s">
        <v>8</v>
      </c>
      <c r="E13" s="162" t="s">
        <v>33</v>
      </c>
      <c r="H13" s="156" t="s">
        <v>6</v>
      </c>
      <c r="I13" s="125">
        <f>((I9-H2)/I11)+0.0001</f>
        <v>1.0001</v>
      </c>
      <c r="J13" s="125">
        <f>((J9-I2)/J11)+0.0001</f>
        <v>1.0001</v>
      </c>
      <c r="K13" s="125">
        <f t="shared" ref="K13" si="12">((K9-J2)/K11)+0.0001</f>
        <v>1.0001</v>
      </c>
      <c r="O13" t="s">
        <v>80</v>
      </c>
    </row>
    <row r="14" spans="1:35">
      <c r="A14" s="242" t="s">
        <v>6</v>
      </c>
      <c r="B14" s="125">
        <v>1</v>
      </c>
      <c r="C14" s="199">
        <v>0.2</v>
      </c>
      <c r="D14" s="244">
        <v>0.25</v>
      </c>
      <c r="E14" s="125">
        <v>0.191426235094874</v>
      </c>
      <c r="H14" s="164" t="s">
        <v>7</v>
      </c>
      <c r="I14" s="125">
        <f>((I9-H3)/I11)+0.0001</f>
        <v>1E-4</v>
      </c>
      <c r="J14" s="125">
        <f t="shared" ref="J14:K14" si="13">((J9-I3)/J11)+0.0001</f>
        <v>1E-4</v>
      </c>
      <c r="K14" s="125">
        <f t="shared" si="13"/>
        <v>1E-4</v>
      </c>
      <c r="R14" t="s">
        <v>102</v>
      </c>
      <c r="S14" t="s">
        <v>103</v>
      </c>
      <c r="T14" t="s">
        <v>104</v>
      </c>
    </row>
    <row r="15" spans="1:35">
      <c r="A15" s="164" t="s">
        <v>7</v>
      </c>
      <c r="B15" s="125">
        <v>5</v>
      </c>
      <c r="C15" s="125">
        <v>1</v>
      </c>
      <c r="D15" s="322">
        <v>3</v>
      </c>
      <c r="E15" s="125">
        <v>0.42814103648912499</v>
      </c>
      <c r="F15" s="100" t="s">
        <v>105</v>
      </c>
      <c r="H15" s="164" t="s">
        <v>8</v>
      </c>
      <c r="I15" s="125">
        <f>((I9-H4)/I11)+0.0001</f>
        <v>1E-4</v>
      </c>
      <c r="J15" s="125">
        <f t="shared" ref="J15:K15" si="14">((J9-I4)/J11)+0.0001</f>
        <v>0.41389310344827601</v>
      </c>
      <c r="K15" s="125">
        <f t="shared" si="14"/>
        <v>0.33343333333333725</v>
      </c>
      <c r="Q15" t="s">
        <v>102</v>
      </c>
      <c r="R15">
        <v>1</v>
      </c>
      <c r="S15">
        <v>3</v>
      </c>
      <c r="T15">
        <v>2</v>
      </c>
    </row>
    <row r="16" spans="1:35">
      <c r="A16" s="156" t="s">
        <v>8</v>
      </c>
      <c r="B16" s="245">
        <v>4</v>
      </c>
      <c r="C16" s="244">
        <v>0.33300000000000002</v>
      </c>
      <c r="D16" s="125">
        <v>1</v>
      </c>
      <c r="E16" s="125">
        <v>0.38043272841600101</v>
      </c>
      <c r="H16" s="101" t="s">
        <v>60</v>
      </c>
      <c r="I16" s="166">
        <f>SUM(I13:I15)</f>
        <v>1.0003</v>
      </c>
      <c r="J16" s="166">
        <f t="shared" ref="J16:K16" si="15">SUM(J13:J15)</f>
        <v>1.414093103448276</v>
      </c>
      <c r="K16" s="166">
        <f t="shared" si="15"/>
        <v>1.3336333333333372</v>
      </c>
      <c r="M16" s="83" t="s">
        <v>5</v>
      </c>
      <c r="Q16" t="s">
        <v>103</v>
      </c>
      <c r="R16" s="307">
        <f>1/3</f>
        <v>0.33333333333333331</v>
      </c>
      <c r="S16">
        <v>1</v>
      </c>
      <c r="T16">
        <v>0.33</v>
      </c>
    </row>
    <row r="17" spans="1:33">
      <c r="I17" s="394" t="s">
        <v>61</v>
      </c>
      <c r="J17" s="395"/>
      <c r="K17" s="396"/>
      <c r="M17" s="157" t="s">
        <v>19</v>
      </c>
      <c r="N17" s="159">
        <f>1/(3-1)</f>
        <v>0.5</v>
      </c>
      <c r="Q17" t="s">
        <v>104</v>
      </c>
      <c r="R17">
        <v>0.5</v>
      </c>
      <c r="S17">
        <v>3</v>
      </c>
      <c r="T17">
        <v>1</v>
      </c>
    </row>
    <row r="18" spans="1:33">
      <c r="A18" s="224" t="s">
        <v>81</v>
      </c>
      <c r="B18" s="193" t="s">
        <v>6</v>
      </c>
      <c r="C18" s="162" t="s">
        <v>7</v>
      </c>
      <c r="D18" s="193" t="s">
        <v>8</v>
      </c>
      <c r="E18" s="162" t="s">
        <v>33</v>
      </c>
      <c r="H18" s="156" t="s">
        <v>6</v>
      </c>
      <c r="I18" s="125">
        <f>I13/$I$16</f>
        <v>0.99980005998200538</v>
      </c>
      <c r="J18" s="125">
        <f>J13/$J$16</f>
        <v>0.7072377324811564</v>
      </c>
      <c r="K18" s="125">
        <f>K13/$K$16</f>
        <v>0.74990627108900276</v>
      </c>
      <c r="M18" s="144" t="s">
        <v>24</v>
      </c>
      <c r="N18" s="160">
        <f>P11-P9</f>
        <v>0.68946815448401277</v>
      </c>
    </row>
    <row r="19" spans="1:33" ht="29">
      <c r="A19" s="252" t="s">
        <v>6</v>
      </c>
      <c r="B19" s="125">
        <v>1</v>
      </c>
      <c r="C19" s="199">
        <v>0.25</v>
      </c>
      <c r="D19" s="244">
        <v>0.33300000000000002</v>
      </c>
      <c r="E19" s="125">
        <v>0.21803410662587699</v>
      </c>
      <c r="H19" s="164" t="s">
        <v>7</v>
      </c>
      <c r="I19" s="125">
        <f>I14/$I$16</f>
        <v>9.9970008997300822E-5</v>
      </c>
      <c r="J19" s="125">
        <f>J14/$J$16</f>
        <v>7.0716701577957844E-5</v>
      </c>
      <c r="K19" s="125">
        <f t="shared" ref="K19:K20" si="16">K14/$K$16</f>
        <v>7.498312879602068E-5</v>
      </c>
      <c r="M19" s="300" t="s">
        <v>106</v>
      </c>
      <c r="N19" s="160" t="s">
        <v>27</v>
      </c>
    </row>
    <row r="20" spans="1:33" ht="43.5">
      <c r="A20" s="101" t="s">
        <v>7</v>
      </c>
      <c r="B20" s="125">
        <v>4</v>
      </c>
      <c r="C20" s="125">
        <v>1</v>
      </c>
      <c r="D20" s="245">
        <v>2</v>
      </c>
      <c r="E20" s="125">
        <v>0.40257194542703101</v>
      </c>
      <c r="F20" s="100" t="s">
        <v>107</v>
      </c>
      <c r="H20" s="101" t="s">
        <v>8</v>
      </c>
      <c r="I20" s="125">
        <f t="shared" ref="I20" si="17">I15/$I$16</f>
        <v>9.9970008997300822E-5</v>
      </c>
      <c r="J20" s="125">
        <f t="shared" ref="J20" si="18">J15/$J$16</f>
        <v>0.29269155081726567</v>
      </c>
      <c r="K20" s="125">
        <f t="shared" si="16"/>
        <v>0.25001874578220123</v>
      </c>
      <c r="M20" s="301" t="s">
        <v>108</v>
      </c>
      <c r="N20" s="161" t="s">
        <v>27</v>
      </c>
    </row>
    <row r="21" spans="1:33">
      <c r="A21" s="101" t="s">
        <v>8</v>
      </c>
      <c r="B21" s="245">
        <v>3</v>
      </c>
      <c r="C21" s="244">
        <v>0.5</v>
      </c>
      <c r="D21" s="125">
        <v>1</v>
      </c>
      <c r="E21" s="125">
        <v>0.37939394794709103</v>
      </c>
      <c r="I21" s="394" t="s">
        <v>62</v>
      </c>
      <c r="J21" s="395"/>
      <c r="K21" s="396"/>
    </row>
    <row r="22" spans="1:33" ht="15" thickBot="1">
      <c r="H22" s="101" t="s">
        <v>6</v>
      </c>
      <c r="I22" s="125">
        <f>LN(I18)</f>
        <v>-1.999600086646809E-4</v>
      </c>
      <c r="J22" s="125">
        <f t="shared" ref="J22:K22" si="19">LN(J18)</f>
        <v>-0.34638841432925116</v>
      </c>
      <c r="K22" s="125">
        <f t="shared" si="19"/>
        <v>-0.28780705214274682</v>
      </c>
      <c r="O22" s="156" t="s">
        <v>87</v>
      </c>
      <c r="P22" s="101" t="s">
        <v>88</v>
      </c>
      <c r="Q22" s="162" t="s">
        <v>89</v>
      </c>
      <c r="R22" s="162" t="s">
        <v>96</v>
      </c>
      <c r="S22" s="299" t="s">
        <v>97</v>
      </c>
      <c r="T22" s="299" t="s">
        <v>98</v>
      </c>
    </row>
    <row r="23" spans="1:33" ht="17" thickBot="1">
      <c r="B23" s="143" t="s">
        <v>87</v>
      </c>
      <c r="C23" s="272" t="s">
        <v>88</v>
      </c>
      <c r="D23" s="271" t="s">
        <v>89</v>
      </c>
      <c r="H23" s="101" t="s">
        <v>7</v>
      </c>
      <c r="I23" s="125">
        <f t="shared" ref="I23:K24" si="20">LN(I19)</f>
        <v>-9.21064032698518</v>
      </c>
      <c r="J23" s="125">
        <f t="shared" si="20"/>
        <v>-9.556828781305768</v>
      </c>
      <c r="K23" s="125">
        <f t="shared" si="20"/>
        <v>-9.498247419119263</v>
      </c>
      <c r="N23" s="101" t="s">
        <v>55</v>
      </c>
      <c r="O23" s="309">
        <f>MAX(T2:T4)</f>
        <v>199</v>
      </c>
      <c r="P23" s="309">
        <f t="shared" ref="P23:Q23" si="21">MAX(U2:U4)</f>
        <v>321</v>
      </c>
      <c r="Q23" s="136">
        <f t="shared" si="21"/>
        <v>67.7</v>
      </c>
      <c r="R23" s="136">
        <f>MAX(AA2:AA4)</f>
        <v>8.75</v>
      </c>
      <c r="S23" s="125">
        <f t="shared" ref="S23:T23" si="22">MAX(AB2:AB4)</f>
        <v>8.75</v>
      </c>
      <c r="T23" s="125">
        <f t="shared" si="22"/>
        <v>9.75</v>
      </c>
      <c r="V23" s="398" t="s">
        <v>241</v>
      </c>
      <c r="W23" s="334" t="s">
        <v>329</v>
      </c>
      <c r="X23" s="194">
        <v>0</v>
      </c>
      <c r="Y23" s="194">
        <v>0.1</v>
      </c>
      <c r="Z23" s="194">
        <v>0.2</v>
      </c>
      <c r="AA23" s="194">
        <v>0.3</v>
      </c>
      <c r="AB23" s="194">
        <v>0.4</v>
      </c>
      <c r="AC23" s="194">
        <v>0.5</v>
      </c>
      <c r="AD23" s="194">
        <v>0.6</v>
      </c>
      <c r="AE23" s="194">
        <v>0.7</v>
      </c>
      <c r="AF23" s="194">
        <v>0.8</v>
      </c>
      <c r="AG23" s="194">
        <v>0.9</v>
      </c>
    </row>
    <row r="24" spans="1:33" ht="15" thickBot="1">
      <c r="A24" s="143" t="s">
        <v>87</v>
      </c>
      <c r="B24" s="113" t="s">
        <v>20</v>
      </c>
      <c r="C24" s="268" t="s">
        <v>25</v>
      </c>
      <c r="D24" s="115" t="s">
        <v>28</v>
      </c>
      <c r="H24" s="101" t="s">
        <v>8</v>
      </c>
      <c r="I24" s="125">
        <f t="shared" si="20"/>
        <v>-9.21064032698518</v>
      </c>
      <c r="J24" s="125">
        <f t="shared" si="20"/>
        <v>-1.2286359520580763</v>
      </c>
      <c r="K24" s="125">
        <f t="shared" si="20"/>
        <v>-1.3862193808021799</v>
      </c>
      <c r="N24" s="101" t="s">
        <v>56</v>
      </c>
      <c r="O24" s="125">
        <f>MIN(T2:T4)</f>
        <v>74.599999999999994</v>
      </c>
      <c r="P24" s="125">
        <f t="shared" ref="P24:Q24" si="23">MIN(U2:U4)</f>
        <v>55.7</v>
      </c>
      <c r="Q24" s="309">
        <f t="shared" si="23"/>
        <v>25.4</v>
      </c>
      <c r="R24" s="136">
        <f>MIN(AA2:AA4)</f>
        <v>0.25</v>
      </c>
      <c r="S24" s="125">
        <f t="shared" ref="S24:T24" si="24">MIN(AB2:AB4)</f>
        <v>1.25</v>
      </c>
      <c r="T24" s="166">
        <f t="shared" si="24"/>
        <v>9.75</v>
      </c>
      <c r="V24" s="398"/>
      <c r="W24" s="338" t="s">
        <v>6</v>
      </c>
      <c r="X24" s="195">
        <v>1E-4</v>
      </c>
      <c r="Y24" s="195">
        <v>1E-4</v>
      </c>
      <c r="Z24" s="195">
        <v>1E-4</v>
      </c>
      <c r="AA24" s="195">
        <v>1E-4</v>
      </c>
      <c r="AB24" s="195">
        <v>1E-4</v>
      </c>
      <c r="AC24" s="195">
        <v>1E-4</v>
      </c>
      <c r="AD24" s="195">
        <v>1E-4</v>
      </c>
      <c r="AE24" s="195">
        <v>1E-4</v>
      </c>
      <c r="AF24" s="195">
        <v>1E-4</v>
      </c>
      <c r="AG24" s="195">
        <v>1E-4</v>
      </c>
    </row>
    <row r="25" spans="1:33" ht="15" thickBot="1">
      <c r="A25" s="143" t="s">
        <v>88</v>
      </c>
      <c r="B25" s="295" t="s">
        <v>21</v>
      </c>
      <c r="C25" s="296" t="s">
        <v>20</v>
      </c>
      <c r="D25" s="297" t="s">
        <v>20</v>
      </c>
      <c r="I25" s="394" t="s">
        <v>63</v>
      </c>
      <c r="J25" s="395"/>
      <c r="K25" s="396"/>
      <c r="N25" s="101" t="s">
        <v>57</v>
      </c>
      <c r="O25" s="166">
        <f>O23-O24</f>
        <v>124.4</v>
      </c>
      <c r="P25" s="166">
        <f>P23-P24</f>
        <v>265.3</v>
      </c>
      <c r="Q25" s="167">
        <f t="shared" ref="Q25:S25" si="25">Q23-Q24</f>
        <v>42.300000000000004</v>
      </c>
      <c r="R25" s="167">
        <f>R23-R24</f>
        <v>8.5</v>
      </c>
      <c r="S25" s="167">
        <f t="shared" si="25"/>
        <v>7.5</v>
      </c>
      <c r="T25" s="125">
        <f>(T23-T24)+0.0001</f>
        <v>1E-4</v>
      </c>
      <c r="V25" s="398"/>
      <c r="W25" s="338" t="s">
        <v>7</v>
      </c>
      <c r="X25" s="195">
        <v>0.92191055088448959</v>
      </c>
      <c r="Y25" s="195">
        <v>0.93707415401610283</v>
      </c>
      <c r="Z25" s="195">
        <v>0.94934668474628769</v>
      </c>
      <c r="AA25" s="195">
        <v>0.95961893188324965</v>
      </c>
      <c r="AB25" s="195">
        <v>0.96842519877436395</v>
      </c>
      <c r="AC25" s="195">
        <v>0.97611168563538464</v>
      </c>
      <c r="AD25" s="195">
        <v>0.9829156619984829</v>
      </c>
      <c r="AE25" s="195">
        <v>0.98900685220774998</v>
      </c>
      <c r="AF25" s="195">
        <v>0.99451083674981611</v>
      </c>
      <c r="AG25" s="195">
        <v>0.99952311491644796</v>
      </c>
    </row>
    <row r="26" spans="1:33" ht="15" thickBot="1">
      <c r="A26" s="227" t="s">
        <v>89</v>
      </c>
      <c r="B26" s="118" t="s">
        <v>22</v>
      </c>
      <c r="C26" s="270" t="s">
        <v>20</v>
      </c>
      <c r="D26" s="120" t="s">
        <v>20</v>
      </c>
      <c r="H26" s="156" t="s">
        <v>6</v>
      </c>
      <c r="I26" s="125">
        <f>I18*I22</f>
        <v>-1.9992002865695029E-4</v>
      </c>
      <c r="J26" s="125">
        <f>J18*J22</f>
        <v>-0.24497895670796288</v>
      </c>
      <c r="K26" s="125">
        <f>K18*K22</f>
        <v>-0.21582831326548546</v>
      </c>
      <c r="O26" s="388" t="s">
        <v>58</v>
      </c>
      <c r="P26" s="388"/>
      <c r="Q26" s="388"/>
      <c r="R26" s="389"/>
      <c r="S26" s="389"/>
      <c r="T26" s="397"/>
      <c r="V26" s="398"/>
      <c r="W26" s="339" t="s">
        <v>8</v>
      </c>
      <c r="X26" s="195">
        <v>0.83424389157988044</v>
      </c>
      <c r="Y26" s="195">
        <v>0.74566579538673894</v>
      </c>
      <c r="Z26" s="195">
        <v>0.69848270366881582</v>
      </c>
      <c r="AA26" s="195">
        <v>0.68144364634719001</v>
      </c>
      <c r="AB26" s="195">
        <v>0.69994843343261426</v>
      </c>
      <c r="AC26" s="195">
        <v>0.71361116355238252</v>
      </c>
      <c r="AD26" s="195">
        <v>0.72416563984885318</v>
      </c>
      <c r="AE26" s="195">
        <v>0.73259837867127264</v>
      </c>
      <c r="AF26" s="195">
        <v>0.73951374221297783</v>
      </c>
      <c r="AG26" s="195">
        <v>0.74530357495047661</v>
      </c>
    </row>
    <row r="27" spans="1:33">
      <c r="H27" s="164" t="s">
        <v>7</v>
      </c>
      <c r="I27" s="125">
        <f t="shared" ref="I27:K28" si="26">I19*I23</f>
        <v>-9.2078779635961026E-4</v>
      </c>
      <c r="J27" s="125">
        <f t="shared" si="26"/>
        <v>-6.7582740895923859E-4</v>
      </c>
      <c r="K27" s="125">
        <f t="shared" si="26"/>
        <v>-7.1220830956429074E-4</v>
      </c>
      <c r="N27" s="156" t="s">
        <v>6</v>
      </c>
      <c r="O27" s="155">
        <f>((T2-$O$24)/$O$25)+0.0001</f>
        <v>1E-4</v>
      </c>
      <c r="P27" s="155">
        <f>(($P$23-U2)/$P$25)+0.0001</f>
        <v>1.0001</v>
      </c>
      <c r="Q27" s="309">
        <f>(($Q$23-V2)/$Q$25)+0.0001</f>
        <v>1.0001</v>
      </c>
      <c r="R27" s="166">
        <f>((AA2-$R$24)/$R$25)+0.0001</f>
        <v>1.0001</v>
      </c>
      <c r="S27" s="166">
        <f>((AB2-$S$24)/$S$25)+0.0001</f>
        <v>1.0001</v>
      </c>
      <c r="T27" s="166">
        <f>((AC2-$T$24)/$T$25)+0.0001</f>
        <v>1E-4</v>
      </c>
    </row>
    <row r="28" spans="1:33" ht="16.5">
      <c r="A28" s="224" t="s">
        <v>87</v>
      </c>
      <c r="B28" s="193" t="s">
        <v>6</v>
      </c>
      <c r="C28" s="162" t="s">
        <v>7</v>
      </c>
      <c r="D28" s="193" t="s">
        <v>8</v>
      </c>
      <c r="E28" s="162" t="s">
        <v>33</v>
      </c>
      <c r="F28" s="100" t="s">
        <v>42</v>
      </c>
      <c r="H28" s="164" t="s">
        <v>8</v>
      </c>
      <c r="I28" s="125">
        <f t="shared" si="26"/>
        <v>-9.2078779635961026E-4</v>
      </c>
      <c r="J28" s="125">
        <f t="shared" si="26"/>
        <v>-0.35961136219772605</v>
      </c>
      <c r="K28" s="125">
        <f t="shared" si="26"/>
        <v>-0.3465808309671406</v>
      </c>
      <c r="N28" s="164" t="s">
        <v>7</v>
      </c>
      <c r="O28" s="125">
        <f>((T3-$O$24)/$O$25)+0.0001</f>
        <v>1E-4</v>
      </c>
      <c r="P28" s="125">
        <f t="shared" ref="P28:P29" si="27">(($P$23-U3)/$P$25)+0.0001</f>
        <v>1E-4</v>
      </c>
      <c r="Q28" s="136">
        <f t="shared" ref="Q28" si="28">(($Q$23-V3)/$Q$25)+0.0001</f>
        <v>1.0001</v>
      </c>
      <c r="R28" s="136">
        <f>((AA3-$R$24)/$R$25)+0.0001</f>
        <v>0.79421764705882347</v>
      </c>
      <c r="S28" s="125">
        <f>((AB3-$S$24)/$S$25)+0.0001</f>
        <v>1.0001</v>
      </c>
      <c r="T28" s="166">
        <f t="shared" ref="T28:T29" si="29">((AC3-$T$24)/$T$25)+0.0001</f>
        <v>1E-4</v>
      </c>
      <c r="V28" s="399" t="s">
        <v>242</v>
      </c>
      <c r="W28" s="334" t="s">
        <v>329</v>
      </c>
      <c r="X28" s="194">
        <v>0</v>
      </c>
      <c r="Y28" s="194">
        <v>0.1</v>
      </c>
      <c r="Z28" s="194">
        <v>0.2</v>
      </c>
      <c r="AA28" s="194">
        <v>0.3</v>
      </c>
      <c r="AB28" s="194">
        <v>0.4</v>
      </c>
      <c r="AC28" s="194">
        <v>0.5</v>
      </c>
      <c r="AD28" s="194">
        <v>0.6</v>
      </c>
      <c r="AE28" s="194">
        <v>0.7</v>
      </c>
      <c r="AF28" s="194">
        <v>0.8</v>
      </c>
      <c r="AG28" s="194">
        <v>0.9</v>
      </c>
    </row>
    <row r="29" spans="1:33">
      <c r="A29" s="242" t="s">
        <v>6</v>
      </c>
      <c r="B29" s="125">
        <v>1</v>
      </c>
      <c r="C29" s="125">
        <v>1</v>
      </c>
      <c r="D29" s="125">
        <v>0.25</v>
      </c>
      <c r="E29" s="125">
        <v>0.244682412814406</v>
      </c>
      <c r="H29" s="156" t="s">
        <v>60</v>
      </c>
      <c r="I29" s="166">
        <f>SUM(I26:I28)</f>
        <v>-2.0414956213761709E-3</v>
      </c>
      <c r="J29" s="166">
        <f t="shared" ref="J29:K29" si="30">SUM(J26:J28)</f>
        <v>-0.60526614631464815</v>
      </c>
      <c r="K29" s="166">
        <f t="shared" si="30"/>
        <v>-0.56312135254219031</v>
      </c>
      <c r="N29" s="164" t="s">
        <v>8</v>
      </c>
      <c r="O29" s="125">
        <f t="shared" ref="O29" si="31">((T4-$O$24)/$O$25)+0.0001</f>
        <v>1.0001</v>
      </c>
      <c r="P29" s="125">
        <f t="shared" si="27"/>
        <v>0.42226358839050127</v>
      </c>
      <c r="Q29" s="136">
        <f>(($Q$23-V4)/$Q$25)+0.0001</f>
        <v>1E-4</v>
      </c>
      <c r="R29" s="136">
        <f t="shared" ref="R29" si="32">((AA4-$R$24)/$R$25)+0.0001</f>
        <v>1E-4</v>
      </c>
      <c r="S29" s="125">
        <f t="shared" ref="S29" si="33">((AB4-$S$24)/$S$25)+0.0001</f>
        <v>1E-4</v>
      </c>
      <c r="T29" s="166">
        <f t="shared" si="29"/>
        <v>1E-4</v>
      </c>
      <c r="V29" s="399"/>
      <c r="W29" s="338" t="s">
        <v>6</v>
      </c>
      <c r="X29" s="195">
        <v>1E-4</v>
      </c>
      <c r="Y29" s="195">
        <v>1E-4</v>
      </c>
      <c r="Z29" s="195">
        <v>1E-4</v>
      </c>
      <c r="AA29" s="195">
        <v>1E-4</v>
      </c>
      <c r="AB29" s="195">
        <v>1E-4</v>
      </c>
      <c r="AC29" s="195">
        <v>1E-4</v>
      </c>
      <c r="AD29" s="195">
        <v>1E-4</v>
      </c>
      <c r="AE29" s="195">
        <v>1E-4</v>
      </c>
      <c r="AF29" s="195">
        <v>1E-4</v>
      </c>
      <c r="AG29" s="195">
        <v>1E-4</v>
      </c>
    </row>
    <row r="30" spans="1:33">
      <c r="A30" s="156" t="s">
        <v>7</v>
      </c>
      <c r="B30" s="125">
        <v>1</v>
      </c>
      <c r="C30" s="125">
        <v>1</v>
      </c>
      <c r="D30" s="125">
        <v>0.25</v>
      </c>
      <c r="E30" s="125">
        <v>0.244682412814406</v>
      </c>
      <c r="F30" s="100">
        <v>1.6E-2</v>
      </c>
      <c r="H30" s="283" t="s">
        <v>64</v>
      </c>
      <c r="I30" s="289">
        <f>I29*$L$30</f>
        <v>-2.2428121769060001E-3</v>
      </c>
      <c r="J30" s="289">
        <f>J29*$L$30</f>
        <v>-0.66495282625606256</v>
      </c>
      <c r="K30" s="289">
        <f>K29*$L$30</f>
        <v>-0.61865203791425716</v>
      </c>
      <c r="L30">
        <f>LN(3)</f>
        <v>1.0986122886681098</v>
      </c>
      <c r="N30" s="101" t="s">
        <v>60</v>
      </c>
      <c r="O30" s="166">
        <f>SUM(O27:O29)</f>
        <v>1.0003</v>
      </c>
      <c r="P30" s="166">
        <f t="shared" ref="P30:T30" si="34">SUM(P27:P29)</f>
        <v>1.4224635883905012</v>
      </c>
      <c r="Q30" s="167">
        <f t="shared" si="34"/>
        <v>2.0003000000000002</v>
      </c>
      <c r="R30" s="309">
        <f t="shared" si="34"/>
        <v>1.7944176470588233</v>
      </c>
      <c r="S30" s="125">
        <f t="shared" si="34"/>
        <v>2.0003000000000002</v>
      </c>
      <c r="T30" s="125">
        <f t="shared" si="34"/>
        <v>3.0000000000000003E-4</v>
      </c>
      <c r="V30" s="399"/>
      <c r="W30" s="338" t="s">
        <v>7</v>
      </c>
      <c r="X30" s="195">
        <v>0.92191055088448959</v>
      </c>
      <c r="Y30" s="195">
        <v>0.92846278413154804</v>
      </c>
      <c r="Z30" s="195">
        <v>0.93389031173132619</v>
      </c>
      <c r="AA30" s="195">
        <v>0.82117087933494048</v>
      </c>
      <c r="AB30" s="195">
        <v>0.82530455858847329</v>
      </c>
      <c r="AC30" s="195">
        <v>0.82902187802105631</v>
      </c>
      <c r="AD30" s="195">
        <v>0.83240806376090326</v>
      </c>
      <c r="AE30" s="195">
        <v>0.83552333132100998</v>
      </c>
      <c r="AF30" s="195">
        <v>0.83841203687767774</v>
      </c>
      <c r="AG30" s="195">
        <v>0.84110793574107534</v>
      </c>
    </row>
    <row r="31" spans="1:33">
      <c r="A31" s="156" t="s">
        <v>8</v>
      </c>
      <c r="B31" s="125">
        <v>4</v>
      </c>
      <c r="C31" s="125">
        <v>4</v>
      </c>
      <c r="D31" s="125">
        <v>1</v>
      </c>
      <c r="E31" s="125">
        <v>0.510635174371187</v>
      </c>
      <c r="H31" s="290" t="s">
        <v>65</v>
      </c>
      <c r="I31" s="291">
        <f>1-I30</f>
        <v>1.002242812176906</v>
      </c>
      <c r="J31" s="291">
        <f t="shared" ref="J31:K31" si="35">1-J30</f>
        <v>1.6649528262560627</v>
      </c>
      <c r="K31" s="291">
        <f t="shared" si="35"/>
        <v>1.618652037914257</v>
      </c>
      <c r="L31">
        <f>SUM(I31:K31)</f>
        <v>4.2858476763472257</v>
      </c>
      <c r="O31" s="388" t="s">
        <v>61</v>
      </c>
      <c r="P31" s="388"/>
      <c r="Q31" s="388"/>
      <c r="R31" s="397"/>
      <c r="S31" s="397"/>
      <c r="T31" s="397"/>
      <c r="V31" s="399"/>
      <c r="W31" s="339" t="s">
        <v>8</v>
      </c>
      <c r="X31" s="195">
        <v>0.83424389157988044</v>
      </c>
      <c r="Y31" s="195">
        <v>0.75026442563434315</v>
      </c>
      <c r="Z31" s="195">
        <v>0.91907749487207879</v>
      </c>
      <c r="AA31" s="195">
        <v>1.0001</v>
      </c>
      <c r="AB31" s="195">
        <v>1.0001</v>
      </c>
      <c r="AC31" s="195">
        <v>1.0001</v>
      </c>
      <c r="AD31" s="195">
        <v>1.0001</v>
      </c>
      <c r="AE31" s="195">
        <v>1.0001</v>
      </c>
      <c r="AF31" s="195">
        <v>1.0001</v>
      </c>
      <c r="AG31" s="195">
        <v>1.0001</v>
      </c>
    </row>
    <row r="32" spans="1:33">
      <c r="H32" s="281" t="s">
        <v>51</v>
      </c>
      <c r="I32" s="145">
        <f>I31/$L$31</f>
        <v>0.23384937773409273</v>
      </c>
      <c r="J32" s="145">
        <f t="shared" ref="J32:K32" si="36">J31/$L$31</f>
        <v>0.38847690165112941</v>
      </c>
      <c r="K32" s="145">
        <f t="shared" si="36"/>
        <v>0.37767372061477789</v>
      </c>
      <c r="N32" s="156" t="s">
        <v>6</v>
      </c>
      <c r="O32" s="155">
        <f>O27/$O$30</f>
        <v>9.9970008997300822E-5</v>
      </c>
      <c r="P32" s="155">
        <f>P27/$P$30</f>
        <v>0.70307599306046209</v>
      </c>
      <c r="Q32" s="309">
        <f>Q27/$Q$30</f>
        <v>0.49997500374943754</v>
      </c>
      <c r="R32" s="125">
        <f>R27/$R$30</f>
        <v>0.5573395923960256</v>
      </c>
      <c r="S32" s="125">
        <f>S27/$S$30</f>
        <v>0.49997500374943754</v>
      </c>
      <c r="T32" s="125">
        <f>T27/$T$30</f>
        <v>0.33333333333333331</v>
      </c>
    </row>
    <row r="33" spans="1:33" ht="16.5">
      <c r="A33" s="224" t="s">
        <v>88</v>
      </c>
      <c r="B33" s="193" t="s">
        <v>6</v>
      </c>
      <c r="C33" s="162" t="s">
        <v>7</v>
      </c>
      <c r="D33" s="193" t="s">
        <v>8</v>
      </c>
      <c r="E33" s="162" t="s">
        <v>33</v>
      </c>
      <c r="F33" s="99"/>
      <c r="H33" s="281" t="s">
        <v>52</v>
      </c>
      <c r="I33" s="145">
        <v>0.22216279749857801</v>
      </c>
      <c r="J33" s="145">
        <v>0.36746348727172901</v>
      </c>
      <c r="K33" s="145">
        <v>0.41037371522969301</v>
      </c>
      <c r="N33" s="164" t="s">
        <v>7</v>
      </c>
      <c r="O33" s="125">
        <f>O28/$O$30</f>
        <v>9.9970008997300822E-5</v>
      </c>
      <c r="P33" s="125">
        <f t="shared" ref="P33:P34" si="37">P28/$P$30</f>
        <v>7.0300569249121298E-5</v>
      </c>
      <c r="Q33" s="136">
        <f t="shared" ref="Q33:Q34" si="38">Q28/$Q$30</f>
        <v>0.49997500374943754</v>
      </c>
      <c r="R33" s="125">
        <f>R28/$R$30</f>
        <v>0.44260467921757346</v>
      </c>
      <c r="S33" s="125">
        <f>S28/$S$30</f>
        <v>0.49997500374943754</v>
      </c>
      <c r="T33" s="125">
        <f>T28/$T$30</f>
        <v>0.33333333333333331</v>
      </c>
      <c r="V33" s="400" t="s">
        <v>243</v>
      </c>
      <c r="W33" s="334" t="s">
        <v>329</v>
      </c>
      <c r="X33" s="194">
        <v>0</v>
      </c>
      <c r="Y33" s="194">
        <v>0.1</v>
      </c>
      <c r="Z33" s="194">
        <v>0.2</v>
      </c>
      <c r="AA33" s="194">
        <v>0.3</v>
      </c>
      <c r="AB33" s="194">
        <v>0.4</v>
      </c>
      <c r="AC33" s="194">
        <v>0.5</v>
      </c>
      <c r="AD33" s="194">
        <v>0.6</v>
      </c>
      <c r="AE33" s="194">
        <v>0.7</v>
      </c>
      <c r="AF33" s="194">
        <v>0.8</v>
      </c>
      <c r="AG33" s="194">
        <v>0.9</v>
      </c>
    </row>
    <row r="34" spans="1:33">
      <c r="A34" s="242" t="s">
        <v>6</v>
      </c>
      <c r="B34" s="125">
        <v>1</v>
      </c>
      <c r="C34" s="125">
        <v>0.2</v>
      </c>
      <c r="D34" s="125">
        <v>0.25</v>
      </c>
      <c r="E34" s="125">
        <v>0.17441092035331099</v>
      </c>
      <c r="F34" s="99"/>
      <c r="I34">
        <f>(I32)^0.5*(I33)^0.5</f>
        <v>0.22793120003787926</v>
      </c>
      <c r="J34">
        <f>(J32)^0.5*(J33)^0.5</f>
        <v>0.37782413502215623</v>
      </c>
      <c r="K34">
        <f t="shared" ref="K34" si="39">(K32)^0.5*(K33)^0.5</f>
        <v>0.3936843505567722</v>
      </c>
      <c r="L34">
        <f>SUM(I34:K34)</f>
        <v>0.99943968561680774</v>
      </c>
      <c r="N34" s="101" t="s">
        <v>8</v>
      </c>
      <c r="O34" s="166">
        <f>O29/$O$30</f>
        <v>0.99980005998200538</v>
      </c>
      <c r="P34" s="166">
        <f t="shared" si="37"/>
        <v>0.29685370637028885</v>
      </c>
      <c r="Q34" s="167">
        <f t="shared" si="38"/>
        <v>4.9992501124831273E-5</v>
      </c>
      <c r="R34" s="125">
        <f>R29/$R$30</f>
        <v>5.5728386400962468E-5</v>
      </c>
      <c r="S34" s="125">
        <f>S29/$S$30</f>
        <v>4.9992501124831273E-5</v>
      </c>
      <c r="T34" s="125">
        <f>T29/$T$30</f>
        <v>0.33333333333333331</v>
      </c>
      <c r="V34" s="400"/>
      <c r="W34" s="338" t="s">
        <v>6</v>
      </c>
      <c r="X34" s="195">
        <v>1E-4</v>
      </c>
      <c r="Y34" s="195">
        <v>1E-4</v>
      </c>
      <c r="Z34" s="195">
        <v>1E-4</v>
      </c>
      <c r="AA34" s="195">
        <v>1E-4</v>
      </c>
      <c r="AB34" s="195">
        <v>1E-4</v>
      </c>
      <c r="AC34" s="195">
        <v>1E-4</v>
      </c>
      <c r="AD34" s="195">
        <v>1E-4</v>
      </c>
      <c r="AE34" s="195">
        <v>1E-4</v>
      </c>
      <c r="AF34" s="195">
        <v>1E-4</v>
      </c>
      <c r="AG34" s="195">
        <v>1E-4</v>
      </c>
    </row>
    <row r="35" spans="1:33">
      <c r="A35" s="156" t="s">
        <v>7</v>
      </c>
      <c r="B35" s="125">
        <v>5</v>
      </c>
      <c r="C35" s="125">
        <v>1</v>
      </c>
      <c r="D35" s="125">
        <v>2</v>
      </c>
      <c r="E35" s="125">
        <v>0.42395112269802598</v>
      </c>
      <c r="F35" s="100">
        <v>5.7700000000000001E-2</v>
      </c>
      <c r="H35" s="282" t="s">
        <v>50</v>
      </c>
      <c r="I35" s="260">
        <f>I34/$L$34</f>
        <v>0.22805898476726058</v>
      </c>
      <c r="J35" s="260">
        <f t="shared" ref="J35:K35" si="40">J34/$L$34</f>
        <v>0.37803595400454876</v>
      </c>
      <c r="K35" s="260">
        <f t="shared" si="40"/>
        <v>0.39390506122819058</v>
      </c>
      <c r="L35">
        <f>SUM(I35:K35)</f>
        <v>0.99999999999999989</v>
      </c>
      <c r="O35" s="388" t="s">
        <v>62</v>
      </c>
      <c r="P35" s="388"/>
      <c r="Q35" s="388"/>
      <c r="R35" s="397"/>
      <c r="S35" s="397"/>
      <c r="T35" s="397"/>
      <c r="V35" s="400"/>
      <c r="W35" s="338" t="s">
        <v>7</v>
      </c>
      <c r="X35" s="195">
        <v>0.92191055088448959</v>
      </c>
      <c r="Y35" s="195">
        <v>0.90339741206833568</v>
      </c>
      <c r="Z35" s="195">
        <v>0.79179125475492085</v>
      </c>
      <c r="AA35" s="195">
        <v>0.7115524234664663</v>
      </c>
      <c r="AB35" s="195">
        <v>0.65528841884342603</v>
      </c>
      <c r="AC35" s="195">
        <v>0.61296987829221861</v>
      </c>
      <c r="AD35" s="195">
        <v>0.57958140128500868</v>
      </c>
      <c r="AE35" s="195">
        <v>0.55231314158231926</v>
      </c>
      <c r="AF35" s="195">
        <v>0.52945647598209633</v>
      </c>
      <c r="AG35" s="195">
        <v>0.50990599248838175</v>
      </c>
    </row>
    <row r="36" spans="1:33">
      <c r="A36" s="156" t="s">
        <v>8</v>
      </c>
      <c r="B36" s="125">
        <v>4</v>
      </c>
      <c r="C36" s="125">
        <v>0.5</v>
      </c>
      <c r="D36" s="125">
        <v>1</v>
      </c>
      <c r="E36" s="125">
        <v>0.401637956948662</v>
      </c>
      <c r="F36" s="100"/>
      <c r="N36" s="101" t="s">
        <v>6</v>
      </c>
      <c r="O36" s="155">
        <f>LN(O32)</f>
        <v>-9.21064032698518</v>
      </c>
      <c r="P36" s="155">
        <f t="shared" ref="P36" si="41">LN(P32)</f>
        <v>-0.35229029477687734</v>
      </c>
      <c r="Q36" s="309">
        <f>LN(Q32)</f>
        <v>-0.69319717431073691</v>
      </c>
      <c r="R36" s="125">
        <f t="shared" ref="R36:T36" si="42">LN(R32)</f>
        <v>-0.58458054369301604</v>
      </c>
      <c r="S36" s="125">
        <f t="shared" si="42"/>
        <v>-0.69319717431073691</v>
      </c>
      <c r="T36" s="125">
        <f t="shared" si="42"/>
        <v>-1.0986122886681098</v>
      </c>
      <c r="V36" s="400"/>
      <c r="W36" s="339" t="s">
        <v>8</v>
      </c>
      <c r="X36" s="195">
        <v>0.83424389157988044</v>
      </c>
      <c r="Y36" s="195">
        <v>0.98426102627780665</v>
      </c>
      <c r="Z36" s="195">
        <v>1.0001</v>
      </c>
      <c r="AA36" s="195">
        <v>1.0001</v>
      </c>
      <c r="AB36" s="195">
        <v>1.0001</v>
      </c>
      <c r="AC36" s="195">
        <v>1.0001</v>
      </c>
      <c r="AD36" s="195">
        <v>1.0001</v>
      </c>
      <c r="AE36" s="195">
        <v>1.0001</v>
      </c>
      <c r="AF36" s="195">
        <v>1.0001</v>
      </c>
      <c r="AG36" s="195">
        <v>1.0001</v>
      </c>
    </row>
    <row r="37" spans="1:33">
      <c r="F37" s="100"/>
      <c r="N37" s="101" t="s">
        <v>7</v>
      </c>
      <c r="O37" s="125">
        <f t="shared" ref="O37:T37" si="43">LN(O33)</f>
        <v>-9.21064032698518</v>
      </c>
      <c r="P37" s="125">
        <f t="shared" si="43"/>
        <v>-9.5627306617533936</v>
      </c>
      <c r="Q37" s="136">
        <f t="shared" si="43"/>
        <v>-0.69319717431073691</v>
      </c>
      <c r="R37" s="125">
        <f t="shared" si="43"/>
        <v>-0.81507827930725951</v>
      </c>
      <c r="S37" s="125">
        <f t="shared" si="43"/>
        <v>-0.69319717431073691</v>
      </c>
      <c r="T37" s="125">
        <f t="shared" si="43"/>
        <v>-1.0986122886681098</v>
      </c>
    </row>
    <row r="38" spans="1:33">
      <c r="A38" s="224" t="s">
        <v>89</v>
      </c>
      <c r="B38" s="193" t="s">
        <v>6</v>
      </c>
      <c r="C38" s="162" t="s">
        <v>7</v>
      </c>
      <c r="D38" s="193" t="s">
        <v>8</v>
      </c>
      <c r="E38" s="162" t="s">
        <v>33</v>
      </c>
      <c r="F38" s="99"/>
      <c r="N38" s="101" t="s">
        <v>8</v>
      </c>
      <c r="O38" s="166">
        <f t="shared" ref="O38:T38" si="44">LN(O34)</f>
        <v>-1.999600086646809E-4</v>
      </c>
      <c r="P38" s="166">
        <f t="shared" si="44"/>
        <v>-1.2145158326762635</v>
      </c>
      <c r="Q38" s="167">
        <f>LN(Q34)</f>
        <v>-9.903637541287253</v>
      </c>
      <c r="R38" s="125">
        <f t="shared" si="44"/>
        <v>-9.7950209106695318</v>
      </c>
      <c r="S38" s="125">
        <f t="shared" si="44"/>
        <v>-9.903637541287253</v>
      </c>
      <c r="T38" s="125">
        <f t="shared" si="44"/>
        <v>-1.0986122886681098</v>
      </c>
    </row>
    <row r="39" spans="1:33">
      <c r="A39" s="242" t="s">
        <v>6</v>
      </c>
      <c r="B39" s="125">
        <v>1</v>
      </c>
      <c r="C39" s="125">
        <v>1</v>
      </c>
      <c r="D39" s="199">
        <v>0.33</v>
      </c>
      <c r="E39" s="125">
        <v>0.28108733371891298</v>
      </c>
      <c r="F39" s="99"/>
      <c r="O39" s="388" t="s">
        <v>63</v>
      </c>
      <c r="P39" s="388"/>
      <c r="Q39" s="388"/>
      <c r="R39" s="397"/>
      <c r="S39" s="397"/>
      <c r="T39" s="397"/>
    </row>
    <row r="40" spans="1:33">
      <c r="A40" s="156" t="s">
        <v>7</v>
      </c>
      <c r="B40" s="125">
        <v>1</v>
      </c>
      <c r="C40" s="125">
        <v>1</v>
      </c>
      <c r="D40" s="199">
        <v>0.33</v>
      </c>
      <c r="E40" s="125">
        <v>0.28108733371891298</v>
      </c>
      <c r="F40" s="100">
        <v>2.86E-2</v>
      </c>
      <c r="N40" s="156" t="s">
        <v>6</v>
      </c>
      <c r="O40" s="155">
        <f>O32*O36</f>
        <v>-9.2078779635961026E-4</v>
      </c>
      <c r="P40" s="155">
        <f>P32*P36</f>
        <v>-0.24768684884581596</v>
      </c>
      <c r="Q40" s="309">
        <f>Q32*Q36</f>
        <v>-0.34658125982511018</v>
      </c>
      <c r="R40" s="125">
        <f t="shared" ref="R40:T40" si="45">R32*R36</f>
        <v>-0.3258098819445126</v>
      </c>
      <c r="S40" s="125">
        <f t="shared" si="45"/>
        <v>-0.34658125982511018</v>
      </c>
      <c r="T40" s="125">
        <f t="shared" si="45"/>
        <v>-0.36620409622270322</v>
      </c>
    </row>
    <row r="41" spans="1:33">
      <c r="A41" s="156" t="s">
        <v>8</v>
      </c>
      <c r="B41" s="125">
        <v>3</v>
      </c>
      <c r="C41" s="125">
        <v>3</v>
      </c>
      <c r="D41" s="125">
        <v>1</v>
      </c>
      <c r="E41" s="125">
        <v>0.43782533256217498</v>
      </c>
      <c r="F41" s="99"/>
      <c r="N41" s="164" t="s">
        <v>7</v>
      </c>
      <c r="O41" s="125">
        <f>O33*O37</f>
        <v>-9.2078779635961026E-4</v>
      </c>
      <c r="P41" s="125">
        <f t="shared" ref="P41:T41" si="46">P33*P37</f>
        <v>-6.7226540909729002E-4</v>
      </c>
      <c r="Q41" s="136">
        <f t="shared" si="46"/>
        <v>-0.34658125982511018</v>
      </c>
      <c r="R41" s="125">
        <f t="shared" si="46"/>
        <v>-0.36075746035000134</v>
      </c>
      <c r="S41" s="125">
        <f t="shared" si="46"/>
        <v>-0.34658125982511018</v>
      </c>
      <c r="T41" s="125">
        <f t="shared" si="46"/>
        <v>-0.36620409622270322</v>
      </c>
    </row>
    <row r="42" spans="1:33">
      <c r="N42" s="164" t="s">
        <v>8</v>
      </c>
      <c r="O42" s="125">
        <f t="shared" ref="O42:T42" si="47">O34*O38</f>
        <v>-1.9992002865695029E-4</v>
      </c>
      <c r="P42" s="125">
        <f t="shared" si="47"/>
        <v>-0.36053352637534641</v>
      </c>
      <c r="Q42" s="136">
        <f t="shared" si="47"/>
        <v>-4.9510761092272425E-4</v>
      </c>
      <c r="R42" s="125">
        <f t="shared" si="47"/>
        <v>-5.4586071011529893E-4</v>
      </c>
      <c r="S42" s="125">
        <f t="shared" si="47"/>
        <v>-4.9510761092272425E-4</v>
      </c>
      <c r="T42" s="125">
        <f t="shared" si="47"/>
        <v>-0.36620409622270322</v>
      </c>
    </row>
    <row r="43" spans="1:33">
      <c r="N43" s="156" t="s">
        <v>60</v>
      </c>
      <c r="O43" s="166">
        <f>SUM(O40:O42)</f>
        <v>-2.0414956213761709E-3</v>
      </c>
      <c r="P43" s="166">
        <f t="shared" ref="P43" si="48">SUM(P40:P42)</f>
        <v>-0.60889264063025972</v>
      </c>
      <c r="Q43" s="167">
        <f>SUM(Q40:Q42)</f>
        <v>-0.69365762726114311</v>
      </c>
      <c r="R43" s="166">
        <f t="shared" ref="R43:T43" si="49">SUM(R40:R42)</f>
        <v>-0.6871132030046293</v>
      </c>
      <c r="S43" s="166">
        <f t="shared" si="49"/>
        <v>-0.69365762726114311</v>
      </c>
      <c r="T43" s="166">
        <f t="shared" si="49"/>
        <v>-1.0986122886681096</v>
      </c>
    </row>
    <row r="44" spans="1:33">
      <c r="A44" s="356" t="s">
        <v>292</v>
      </c>
      <c r="B44" s="194" t="s">
        <v>332</v>
      </c>
      <c r="C44" s="194" t="s">
        <v>294</v>
      </c>
      <c r="D44" s="194" t="s">
        <v>333</v>
      </c>
      <c r="N44" s="283" t="s">
        <v>64</v>
      </c>
      <c r="O44" s="289">
        <f>O43*$L$30</f>
        <v>-2.2428121769060001E-3</v>
      </c>
      <c r="P44" s="319">
        <f>P43*$L$30</f>
        <v>-0.66893693747597849</v>
      </c>
      <c r="Q44" s="289">
        <f>Q43*$L$30</f>
        <v>-0.76206079343745503</v>
      </c>
      <c r="R44" s="291">
        <f>R43*$L$30</f>
        <v>-0.75487100852699129</v>
      </c>
      <c r="S44" s="291">
        <f t="shared" ref="S44:T44" si="50">S43*$L$30</f>
        <v>-0.76206079343745503</v>
      </c>
      <c r="T44" s="291">
        <f t="shared" si="50"/>
        <v>-1.2069489608125819</v>
      </c>
    </row>
    <row r="45" spans="1:33">
      <c r="A45" s="194" t="s">
        <v>6</v>
      </c>
      <c r="B45" s="195">
        <v>3</v>
      </c>
      <c r="C45" s="195" t="s">
        <v>296</v>
      </c>
      <c r="D45" s="195">
        <v>1</v>
      </c>
      <c r="N45" s="290" t="s">
        <v>65</v>
      </c>
      <c r="O45" s="291">
        <f>1-O44</f>
        <v>1.002242812176906</v>
      </c>
      <c r="P45" s="291">
        <f t="shared" ref="P45" si="51">1-P44</f>
        <v>1.6689369374759786</v>
      </c>
      <c r="Q45" s="320">
        <f>1-Q44</f>
        <v>1.762060793437455</v>
      </c>
      <c r="R45" s="289">
        <f>1-R44</f>
        <v>1.7548710085269912</v>
      </c>
      <c r="S45" s="289">
        <f t="shared" ref="S45:T45" si="52">1-S44</f>
        <v>1.762060793437455</v>
      </c>
      <c r="T45" s="289">
        <f t="shared" si="52"/>
        <v>2.2069489608125821</v>
      </c>
    </row>
    <row r="46" spans="1:33">
      <c r="A46" s="242" t="s">
        <v>7</v>
      </c>
      <c r="B46" s="195">
        <v>1</v>
      </c>
      <c r="C46" s="195">
        <v>3</v>
      </c>
      <c r="D46" s="195">
        <v>2</v>
      </c>
      <c r="N46" s="281" t="s">
        <v>51</v>
      </c>
      <c r="O46" s="311">
        <f>O45/$R$52</f>
        <v>0.11494812151832508</v>
      </c>
      <c r="P46" s="311">
        <f>P45/$R$52</f>
        <v>0.19141186503370822</v>
      </c>
      <c r="Q46" s="311">
        <f>Q45/$R$52</f>
        <v>0.20209232308365366</v>
      </c>
      <c r="R46" s="259">
        <f>I31/$R$52</f>
        <v>0.11494812151832508</v>
      </c>
      <c r="S46" s="259">
        <f>J31/$R$52</f>
        <v>0.19095492376649703</v>
      </c>
      <c r="T46" s="259">
        <f>K31/$R$52</f>
        <v>0.18564464507949088</v>
      </c>
    </row>
    <row r="47" spans="1:33">
      <c r="A47" s="156" t="s">
        <v>8</v>
      </c>
      <c r="B47" s="195">
        <v>2</v>
      </c>
      <c r="C47" s="195" t="s">
        <v>298</v>
      </c>
      <c r="D47" s="195">
        <v>3</v>
      </c>
      <c r="N47" s="308" t="s">
        <v>52</v>
      </c>
      <c r="O47" s="145">
        <v>0.40826504034051198</v>
      </c>
      <c r="P47" s="145">
        <v>0.29586747982974398</v>
      </c>
      <c r="Q47" s="321">
        <v>0.29586747982974398</v>
      </c>
      <c r="R47" s="145">
        <v>0.27613079560090897</v>
      </c>
      <c r="S47" s="145">
        <v>0.27554820770162602</v>
      </c>
      <c r="T47" s="145">
        <v>0.448320996697465</v>
      </c>
    </row>
    <row r="48" spans="1:33">
      <c r="O48">
        <f>(O46)^0.5*(O47)^0.5</f>
        <v>0.21663171390344738</v>
      </c>
      <c r="P48">
        <f>(P46)^0.5*(P47)^0.5</f>
        <v>0.2379759360041144</v>
      </c>
      <c r="Q48">
        <f>(Q46)^0.5*(Q47)^0.5</f>
        <v>0.2445251445632923</v>
      </c>
      <c r="R48">
        <f>(R46)^0.5*(R47)^0.5</f>
        <v>0.17815924407025607</v>
      </c>
      <c r="S48">
        <f t="shared" ref="S48:T48" si="53">(S46)^0.5*(S47)^0.5</f>
        <v>0.22938458316909377</v>
      </c>
      <c r="T48">
        <f t="shared" si="53"/>
        <v>0.28849331415751128</v>
      </c>
      <c r="U48">
        <f>SUM(O48:T48)</f>
        <v>1.3951699358677152</v>
      </c>
    </row>
    <row r="49" spans="1:25">
      <c r="N49" s="282" t="s">
        <v>50</v>
      </c>
      <c r="O49" s="260">
        <f>O48/$U$48</f>
        <v>0.15527263621023696</v>
      </c>
      <c r="P49" s="260">
        <f t="shared" ref="P49:T49" si="54">P48/$U$48</f>
        <v>0.17057129019634953</v>
      </c>
      <c r="Q49" s="260">
        <f t="shared" si="54"/>
        <v>0.17526549151964901</v>
      </c>
      <c r="R49" s="260">
        <f>R48/$U$48</f>
        <v>0.12769716397268216</v>
      </c>
      <c r="S49" s="260">
        <f t="shared" si="54"/>
        <v>0.16441336447407734</v>
      </c>
      <c r="T49" s="260">
        <f t="shared" si="54"/>
        <v>0.20678005362700499</v>
      </c>
    </row>
    <row r="50" spans="1:25">
      <c r="P50" s="252" t="s">
        <v>72</v>
      </c>
      <c r="Q50" s="252" t="s">
        <v>85</v>
      </c>
      <c r="R50" s="242" t="s">
        <v>73</v>
      </c>
      <c r="S50" s="156" t="s">
        <v>87</v>
      </c>
      <c r="T50" s="156" t="s">
        <v>88</v>
      </c>
      <c r="U50" s="101" t="s">
        <v>89</v>
      </c>
      <c r="V50" s="198" t="s">
        <v>96</v>
      </c>
      <c r="W50" s="203" t="s">
        <v>97</v>
      </c>
      <c r="X50" s="203" t="s">
        <v>98</v>
      </c>
    </row>
    <row r="51" spans="1:25" ht="29">
      <c r="B51" s="224" t="s">
        <v>5</v>
      </c>
      <c r="G51" s="312" t="s">
        <v>109</v>
      </c>
      <c r="H51" s="101" t="s">
        <v>11</v>
      </c>
      <c r="I51" s="101" t="s">
        <v>12</v>
      </c>
      <c r="J51" s="162" t="s">
        <v>13</v>
      </c>
      <c r="K51" s="101" t="s">
        <v>14</v>
      </c>
      <c r="L51" s="101" t="s">
        <v>15</v>
      </c>
      <c r="M51" s="101" t="s">
        <v>16</v>
      </c>
      <c r="N51" s="101" t="s">
        <v>17</v>
      </c>
    </row>
    <row r="52" spans="1:25">
      <c r="B52" s="113" t="s">
        <v>19</v>
      </c>
      <c r="C52" s="159">
        <f>1/(3-1)</f>
        <v>0.5</v>
      </c>
      <c r="G52" s="156" t="s">
        <v>6</v>
      </c>
      <c r="H52" s="166">
        <f>SUM(H57:M57)</f>
        <v>8.4873524112009019E-2</v>
      </c>
      <c r="I52" s="167">
        <f>MAX(H57:M57)</f>
        <v>8.4373524112009018E-2</v>
      </c>
      <c r="J52" s="125">
        <f>$L$54*((H52-$K$52)/($M$52-$K$52))+(1-$L$54)*((I52-$L$52)/($N$52-$L$52))+0.0001</f>
        <v>1E-4</v>
      </c>
      <c r="K52" s="141">
        <f>MIN(H52:H54)</f>
        <v>8.4873524112009019E-2</v>
      </c>
      <c r="L52" s="125">
        <f>MIN(I52:I54)</f>
        <v>8.4373524112009018E-2</v>
      </c>
      <c r="M52" s="125">
        <f>MAX(H52:H54)</f>
        <v>0.50985615789970862</v>
      </c>
      <c r="N52" s="125">
        <f>MAX(I52:I54)</f>
        <v>0.13103634043944479</v>
      </c>
      <c r="R52">
        <f>SUM(O45:Q45,I31:K31)</f>
        <v>8.7190882194375661</v>
      </c>
      <c r="S52">
        <f>SUM(O45:T45,I31:K31)</f>
        <v>14.442968982214593</v>
      </c>
    </row>
    <row r="53" spans="1:25">
      <c r="B53" s="116" t="s">
        <v>110</v>
      </c>
      <c r="C53" s="160">
        <f>J54-J52</f>
        <v>0.47052967207673069</v>
      </c>
      <c r="G53" s="156" t="s">
        <v>7</v>
      </c>
      <c r="H53" s="166">
        <f>SUM(H58:M58)</f>
        <v>0.50985615789970862</v>
      </c>
      <c r="I53" s="167">
        <f t="shared" ref="I53:I54" si="55">MAX(H58:M58)</f>
        <v>0.13103634043944479</v>
      </c>
      <c r="J53" s="125">
        <f t="shared" ref="J53" si="56">$L$54*((H53-$K$52)/($M$52-$K$52))+(1-$L$54)*((I53-$L$52)/($N$52-$L$52))+0.0001</f>
        <v>1.0001</v>
      </c>
      <c r="O53" s="340" t="s">
        <v>111</v>
      </c>
      <c r="P53" s="289">
        <f>P55*$AH$7</f>
        <v>8.1192971543442113E-2</v>
      </c>
      <c r="Q53" s="289">
        <f>Q55*$AH$7</f>
        <v>0.13429544820841782</v>
      </c>
      <c r="R53" s="289">
        <f t="shared" ref="R53" si="57">R55*$AH$7</f>
        <v>0.14997768194305508</v>
      </c>
      <c r="S53" s="289">
        <f>S55*$AH$8</f>
        <v>0.1003388452470019</v>
      </c>
      <c r="T53" s="289">
        <f>T55*$AH$8</f>
        <v>7.2715021711133532E-2</v>
      </c>
      <c r="U53" s="289">
        <f>U55*$AH$8</f>
        <v>7.2715021711133532E-2</v>
      </c>
      <c r="V53" s="289">
        <f>V55*$AH$9</f>
        <v>0.10734999141253292</v>
      </c>
      <c r="W53" s="289">
        <f t="shared" ref="W53:X53" si="58">W55*$AH$9</f>
        <v>0.10712350162225447</v>
      </c>
      <c r="X53" s="289">
        <f t="shared" si="58"/>
        <v>0.17429151660102862</v>
      </c>
      <c r="Y53">
        <f>SUM(P53:X53)</f>
        <v>0.99999999999999989</v>
      </c>
    </row>
    <row r="54" spans="1:25">
      <c r="B54" s="116" t="s">
        <v>112</v>
      </c>
      <c r="C54" s="160" t="s">
        <v>113</v>
      </c>
      <c r="G54" s="156" t="s">
        <v>8</v>
      </c>
      <c r="H54" s="136">
        <f t="shared" ref="H54" si="59">SUM(H59:M59)</f>
        <v>0.38598138658863118</v>
      </c>
      <c r="I54" s="136">
        <f t="shared" si="55"/>
        <v>9.5224556303568894E-2</v>
      </c>
      <c r="J54" s="125">
        <f>$L$54*((H54-$K$52)/($M$52-$K$52))+(1-$L$54)*((I54-$L$52)/($N$52-$L$52))+0.0001</f>
        <v>0.47062967207673068</v>
      </c>
      <c r="L54">
        <v>0.5</v>
      </c>
      <c r="N54" t="s">
        <v>80</v>
      </c>
      <c r="O54" s="345" t="s">
        <v>51</v>
      </c>
      <c r="P54" s="346">
        <f>I31/$S$52</f>
        <v>6.939312916970819E-2</v>
      </c>
      <c r="Q54" s="346">
        <f t="shared" ref="Q54:R54" si="60">J31/$S$52</f>
        <v>0.11527774021437866</v>
      </c>
      <c r="R54" s="346">
        <f t="shared" si="60"/>
        <v>0.11207197356080337</v>
      </c>
      <c r="S54" s="347">
        <f t="shared" ref="S54:X54" si="61">O45/$S$52</f>
        <v>6.939312916970819E-2</v>
      </c>
      <c r="T54" s="348">
        <f t="shared" si="61"/>
        <v>0.11555359147631947</v>
      </c>
      <c r="U54" s="348">
        <f t="shared" si="61"/>
        <v>0.12200128627343157</v>
      </c>
      <c r="V54" s="348">
        <f t="shared" si="61"/>
        <v>0.12150348108397796</v>
      </c>
      <c r="W54" s="348">
        <f t="shared" si="61"/>
        <v>0.12200128627343157</v>
      </c>
      <c r="X54" s="348">
        <f t="shared" si="61"/>
        <v>0.1528043827782411</v>
      </c>
      <c r="Y54">
        <f>SUM(P54:X54)</f>
        <v>1</v>
      </c>
    </row>
    <row r="55" spans="1:25" ht="15" thickBot="1">
      <c r="B55" s="313" t="s">
        <v>30</v>
      </c>
      <c r="C55" s="161" t="s">
        <v>27</v>
      </c>
      <c r="O55" s="308" t="s">
        <v>52</v>
      </c>
      <c r="P55" s="145">
        <v>0.22216279749857801</v>
      </c>
      <c r="Q55" s="145">
        <v>0.36746348727172901</v>
      </c>
      <c r="R55" s="145">
        <v>0.41037371522969301</v>
      </c>
      <c r="S55" s="310">
        <v>0.40826504034051198</v>
      </c>
      <c r="T55" s="145">
        <v>0.29586747982974398</v>
      </c>
      <c r="U55" s="145">
        <v>0.29586747982974398</v>
      </c>
      <c r="V55" s="145">
        <v>0.27613079560090897</v>
      </c>
      <c r="W55" s="145">
        <v>0.27554820770162602</v>
      </c>
      <c r="X55" s="145">
        <v>0.448320996697465</v>
      </c>
      <c r="Y55">
        <f>SUM(P55:X55)</f>
        <v>3</v>
      </c>
    </row>
    <row r="56" spans="1:25">
      <c r="B56" s="99" t="s">
        <v>32</v>
      </c>
      <c r="C56">
        <f>J53-J52</f>
        <v>1</v>
      </c>
      <c r="G56" s="224" t="s">
        <v>79</v>
      </c>
      <c r="H56" s="162" t="s">
        <v>72</v>
      </c>
      <c r="I56" s="162" t="s">
        <v>85</v>
      </c>
      <c r="J56" s="162" t="s">
        <v>73</v>
      </c>
      <c r="K56" s="162" t="s">
        <v>87</v>
      </c>
      <c r="L56" s="162" t="s">
        <v>88</v>
      </c>
      <c r="M56" s="162" t="s">
        <v>89</v>
      </c>
      <c r="P56">
        <f>(P54)^0.5*(P53)^0.5</f>
        <v>7.5061537167756695E-2</v>
      </c>
      <c r="Q56">
        <f t="shared" ref="Q56:X56" si="62">(Q54)^0.5*(Q53)^0.5</f>
        <v>0.12442377502126968</v>
      </c>
      <c r="R56">
        <f t="shared" si="62"/>
        <v>0.12964680792612152</v>
      </c>
      <c r="S56">
        <f t="shared" si="62"/>
        <v>8.344355247090432E-2</v>
      </c>
      <c r="T56">
        <f t="shared" si="62"/>
        <v>9.1665052844582082E-2</v>
      </c>
      <c r="U56">
        <f t="shared" si="62"/>
        <v>9.4187717777631672E-2</v>
      </c>
      <c r="V56">
        <f t="shared" si="62"/>
        <v>0.11420769523529442</v>
      </c>
      <c r="W56">
        <f t="shared" si="62"/>
        <v>0.11432062363383555</v>
      </c>
      <c r="X56">
        <f t="shared" si="62"/>
        <v>0.16319469236989217</v>
      </c>
      <c r="Y56">
        <f>SUM(P56:X56)</f>
        <v>0.99015145444728803</v>
      </c>
    </row>
    <row r="57" spans="1:25">
      <c r="G57" s="156" t="s">
        <v>6</v>
      </c>
      <c r="H57" s="125">
        <f>$P$57*(($H$5-H2)/($H$5-$H$6))+0.0001</f>
        <v>1E-4</v>
      </c>
      <c r="I57" s="125">
        <f>$Q$57*(($I$5-I2)/($I$5-$I$6))+0.0001</f>
        <v>1E-4</v>
      </c>
      <c r="J57" s="136">
        <f>$R$57*(($J$5-J2)/($J$5-$J$6))+0.0001</f>
        <v>1E-4</v>
      </c>
      <c r="K57" s="136">
        <f>$S$57*(($T$5-T2)/($T$5-$T$6))+0.0001</f>
        <v>8.4373524112009018E-2</v>
      </c>
      <c r="L57" s="136">
        <f>$T$57*(($U$5-U2)/($U$5-$U$6))+0.0001</f>
        <v>1E-4</v>
      </c>
      <c r="M57" s="125">
        <f>$U$57*(($V$5-V2)/($V$5-$V$6))+0.0001</f>
        <v>1E-4</v>
      </c>
      <c r="O57" s="282" t="s">
        <v>50</v>
      </c>
      <c r="P57" s="260">
        <f>P56/$Y$56</f>
        <v>7.5808137058846981E-2</v>
      </c>
      <c r="Q57" s="260">
        <f t="shared" ref="Q57:W57" si="63">Q56/$Y$56</f>
        <v>0.1256613566161191</v>
      </c>
      <c r="R57" s="260">
        <f>R56/$Y$56</f>
        <v>0.1309363404394448</v>
      </c>
      <c r="S57" s="260">
        <f>S56/$Y$56</f>
        <v>8.4273524112009016E-2</v>
      </c>
      <c r="T57" s="260">
        <f t="shared" si="63"/>
        <v>9.2576799673288759E-2</v>
      </c>
      <c r="U57" s="260">
        <f t="shared" si="63"/>
        <v>9.5124556303568891E-2</v>
      </c>
      <c r="V57" s="260">
        <f t="shared" si="63"/>
        <v>0.11534366255013608</v>
      </c>
      <c r="W57" s="260">
        <f t="shared" si="63"/>
        <v>0.11545771419146217</v>
      </c>
      <c r="X57" s="260">
        <f>X56/$Y$56</f>
        <v>0.16481790905512431</v>
      </c>
      <c r="Y57">
        <f>SUM(P57:X57)</f>
        <v>1</v>
      </c>
    </row>
    <row r="58" spans="1:25">
      <c r="G58" s="156" t="s">
        <v>7</v>
      </c>
      <c r="H58" s="125">
        <f>$P$57*(($H$5-H3)/($H$5-$H$6))+0.0001</f>
        <v>7.5908137058846983E-2</v>
      </c>
      <c r="I58" s="125">
        <f t="shared" ref="I58:I59" si="64">$Q$57*(($I$5-I3)/($I$5-$I$6))+0.0001</f>
        <v>0.12576135661611909</v>
      </c>
      <c r="J58" s="136">
        <f t="shared" ref="J58:J59" si="65">$R$57*(($J$5-J3)/($J$5-$J$6))+0.0001</f>
        <v>0.13103634043944479</v>
      </c>
      <c r="K58" s="136">
        <f t="shared" ref="K58:K59" si="66">$S$57*(($T$5-T3)/($T$5-$T$6))+0.0001</f>
        <v>8.4373524112009018E-2</v>
      </c>
      <c r="L58" s="136">
        <f t="shared" ref="L58:L59" si="67">$T$57*(($U$5-U3)/($U$5-$U$6))+0.0001</f>
        <v>9.2676799673288762E-2</v>
      </c>
      <c r="M58" s="125">
        <f t="shared" ref="M58:M59" si="68">$U$57*(($V$5-V3)/($V$5-$V$6))+0.0001</f>
        <v>1E-4</v>
      </c>
    </row>
    <row r="59" spans="1:25">
      <c r="G59" s="156" t="s">
        <v>8</v>
      </c>
      <c r="H59" s="125">
        <f t="shared" ref="H59" si="69">$P$57*(($H$5-H4)/($H$5-$H$6))+0.0001</f>
        <v>7.5908137058846983E-2</v>
      </c>
      <c r="I59" s="125">
        <f t="shared" si="64"/>
        <v>7.3763553878414628E-2</v>
      </c>
      <c r="J59" s="136">
        <f t="shared" si="65"/>
        <v>8.7390893626296026E-2</v>
      </c>
      <c r="K59" s="136">
        <f t="shared" si="66"/>
        <v>1E-4</v>
      </c>
      <c r="L59" s="136">
        <f t="shared" si="67"/>
        <v>5.3594245721504591E-2</v>
      </c>
      <c r="M59" s="125">
        <f t="shared" si="68"/>
        <v>9.5224556303568894E-2</v>
      </c>
    </row>
    <row r="60" spans="1:25" ht="29">
      <c r="P60" s="162" t="s">
        <v>90</v>
      </c>
      <c r="Q60" s="299" t="s">
        <v>91</v>
      </c>
      <c r="R60" s="299" t="s">
        <v>92</v>
      </c>
    </row>
    <row r="61" spans="1:25">
      <c r="A61" s="224" t="s">
        <v>96</v>
      </c>
      <c r="B61" s="101" t="s">
        <v>6</v>
      </c>
      <c r="C61" s="101" t="s">
        <v>7</v>
      </c>
      <c r="D61" s="101" t="s">
        <v>8</v>
      </c>
      <c r="E61" s="101" t="s">
        <v>33</v>
      </c>
      <c r="F61" s="100" t="s">
        <v>42</v>
      </c>
      <c r="G61" s="312" t="s">
        <v>114</v>
      </c>
      <c r="H61" s="101" t="s">
        <v>11</v>
      </c>
      <c r="I61" s="101" t="s">
        <v>12</v>
      </c>
      <c r="J61" s="162" t="s">
        <v>13</v>
      </c>
      <c r="K61" s="101" t="s">
        <v>14</v>
      </c>
      <c r="L61" s="101" t="s">
        <v>15</v>
      </c>
      <c r="M61" s="101" t="s">
        <v>16</v>
      </c>
      <c r="N61" s="101" t="s">
        <v>17</v>
      </c>
      <c r="P61" s="125">
        <f>$V$57*(($AA$5-AA2)/($AA$5-$AA$6))+0.0001</f>
        <v>1E-4</v>
      </c>
      <c r="Q61" s="125">
        <f>$W$57*(($AB$5-AB2)/($AB$5-$AB$6))+0.0001</f>
        <v>1E-4</v>
      </c>
      <c r="R61" s="125">
        <f>$X$57*(($AC$5-AC2)/($AC$5-$AC$6+0.0001))+0.0001</f>
        <v>1E-4</v>
      </c>
    </row>
    <row r="62" spans="1:25">
      <c r="A62" s="101" t="s">
        <v>6</v>
      </c>
      <c r="B62" s="125">
        <v>1</v>
      </c>
      <c r="C62" s="125">
        <v>2</v>
      </c>
      <c r="D62" s="125">
        <v>5</v>
      </c>
      <c r="E62" s="125">
        <v>0.43369073898875199</v>
      </c>
      <c r="G62" s="156" t="s">
        <v>6</v>
      </c>
      <c r="H62" s="166">
        <f>SUM(H57:M57,P61:R61)</f>
        <v>8.5173524112009028E-2</v>
      </c>
      <c r="I62" s="167">
        <f>MAX(H57:M57,P61:R61)</f>
        <v>8.4373524112009018E-2</v>
      </c>
      <c r="J62" s="125">
        <f>$L$64*((H62-$K$62)/($M$62-$K$62))+(1-$L$64)*((I62-$L$62)/($N$62-$L$62))+0.0001</f>
        <v>1E-4</v>
      </c>
      <c r="K62" s="141">
        <f>MIN(H62:H64)</f>
        <v>8.5173524112009028E-2</v>
      </c>
      <c r="L62" s="125">
        <f>MIN(I62:I64)</f>
        <v>8.4373524112009018E-2</v>
      </c>
      <c r="M62" s="125">
        <f>MAX(H62:H64)</f>
        <v>0.61708276333022949</v>
      </c>
      <c r="N62" s="125">
        <f>MAX(I62:I64)</f>
        <v>0.13103634043944479</v>
      </c>
      <c r="P62" s="125">
        <f>$V$57*(($AA$5-AA3)/($AA$5-$AA$6))+0.0001</f>
        <v>2.3847224642675073E-2</v>
      </c>
      <c r="Q62" s="125">
        <f t="shared" ref="Q62:Q63" si="70">$W$57*(($AB$5-AB3)/($AB$5-$AB$6))+0.0001</f>
        <v>1E-4</v>
      </c>
      <c r="R62" s="125">
        <f t="shared" ref="R62:R63" si="71">$X$57*(($AC$5-AC3)/($AC$5-$AC$6+0.0001))+0.0001</f>
        <v>1E-4</v>
      </c>
    </row>
    <row r="63" spans="1:25">
      <c r="A63" s="101" t="s">
        <v>7</v>
      </c>
      <c r="B63" s="125">
        <v>0.5</v>
      </c>
      <c r="C63" s="125">
        <v>1</v>
      </c>
      <c r="D63" s="245">
        <v>3</v>
      </c>
      <c r="E63" s="125">
        <v>0.36676828200007</v>
      </c>
      <c r="F63" s="100">
        <v>9.0899999999999995E-2</v>
      </c>
      <c r="G63" s="156" t="s">
        <v>7</v>
      </c>
      <c r="H63" s="166">
        <f t="shared" ref="H63:H64" si="72">SUM(H58:M58,P62:R62)</f>
        <v>0.53390338254238368</v>
      </c>
      <c r="I63" s="167">
        <f>MAX(H58:M58,P62:R62)</f>
        <v>0.13103634043944479</v>
      </c>
      <c r="J63" s="125">
        <f t="shared" ref="J63:J64" si="73">$L$64*((H63-$K$62)/($M$62-$K$62))+(1-$L$64)*((I63-$L$62)/($N$62-$L$62))+0.0001</f>
        <v>0.92191055088448959</v>
      </c>
      <c r="P63" s="125">
        <f t="shared" ref="P63" si="74">$V$57*(($AA$5-AA4)/($AA$5-$AA$6))+0.0001</f>
        <v>0.11544366255013608</v>
      </c>
      <c r="Q63" s="125">
        <f t="shared" si="70"/>
        <v>0.11555771419146217</v>
      </c>
      <c r="R63" s="125">
        <f t="shared" si="71"/>
        <v>1E-4</v>
      </c>
    </row>
    <row r="64" spans="1:25">
      <c r="A64" s="101" t="s">
        <v>8</v>
      </c>
      <c r="B64" s="125">
        <v>0.2</v>
      </c>
      <c r="C64" s="244">
        <v>0.33333333333333331</v>
      </c>
      <c r="D64" s="125">
        <v>1</v>
      </c>
      <c r="E64" s="125">
        <v>0.19954097901117801</v>
      </c>
      <c r="G64" s="156" t="s">
        <v>8</v>
      </c>
      <c r="H64" s="136">
        <f t="shared" si="72"/>
        <v>0.61708276333022949</v>
      </c>
      <c r="I64" s="125">
        <f t="shared" ref="I64" si="75">MAX(H59:M59,P63:R63)</f>
        <v>0.11555771419146217</v>
      </c>
      <c r="J64" s="125">
        <f t="shared" si="73"/>
        <v>0.83424389157988044</v>
      </c>
      <c r="L64">
        <v>0.5</v>
      </c>
      <c r="M64" t="s">
        <v>80</v>
      </c>
    </row>
    <row r="65" spans="1:20">
      <c r="N65" s="224" t="s">
        <v>5</v>
      </c>
    </row>
    <row r="66" spans="1:20" ht="29">
      <c r="A66" s="224" t="s">
        <v>97</v>
      </c>
      <c r="B66" s="101" t="s">
        <v>6</v>
      </c>
      <c r="C66" s="101" t="s">
        <v>7</v>
      </c>
      <c r="D66" s="101" t="s">
        <v>8</v>
      </c>
      <c r="E66" s="101" t="s">
        <v>33</v>
      </c>
      <c r="H66" s="162" t="s">
        <v>90</v>
      </c>
      <c r="I66" s="299" t="s">
        <v>91</v>
      </c>
      <c r="J66" s="299" t="s">
        <v>92</v>
      </c>
      <c r="N66" s="113" t="s">
        <v>19</v>
      </c>
      <c r="O66" s="159">
        <f>1/(3-1)</f>
        <v>0.5</v>
      </c>
    </row>
    <row r="67" spans="1:20">
      <c r="A67" s="101" t="s">
        <v>6</v>
      </c>
      <c r="B67" s="125">
        <v>1</v>
      </c>
      <c r="C67" s="125">
        <v>1</v>
      </c>
      <c r="D67" s="125">
        <v>4</v>
      </c>
      <c r="E67" s="125">
        <v>0.39845202753400999</v>
      </c>
      <c r="G67" s="156" t="s">
        <v>6</v>
      </c>
      <c r="H67" s="125">
        <v>8.75</v>
      </c>
      <c r="I67" s="125">
        <v>8.75</v>
      </c>
      <c r="J67" s="125">
        <v>9.75</v>
      </c>
      <c r="N67" s="116" t="s">
        <v>24</v>
      </c>
      <c r="O67" s="160">
        <f>J64-J62</f>
        <v>0.83414389157988045</v>
      </c>
      <c r="T67" s="302" t="s">
        <v>75</v>
      </c>
    </row>
    <row r="68" spans="1:20">
      <c r="A68" s="101" t="s">
        <v>7</v>
      </c>
      <c r="B68" s="125">
        <v>1</v>
      </c>
      <c r="C68" s="125">
        <v>1</v>
      </c>
      <c r="D68" s="245">
        <v>4</v>
      </c>
      <c r="E68" s="125">
        <v>0.39845202753400999</v>
      </c>
      <c r="F68" s="100">
        <v>1.4200000000000001E-2</v>
      </c>
      <c r="G68" s="156" t="s">
        <v>7</v>
      </c>
      <c r="H68" s="125">
        <v>7</v>
      </c>
      <c r="I68" s="125">
        <v>8.75</v>
      </c>
      <c r="J68" s="125">
        <v>9.75</v>
      </c>
      <c r="N68" s="116" t="s">
        <v>112</v>
      </c>
      <c r="O68" s="160" t="s">
        <v>27</v>
      </c>
      <c r="T68" s="303">
        <v>0.22216279749857801</v>
      </c>
    </row>
    <row r="69" spans="1:20">
      <c r="A69" s="101" t="s">
        <v>8</v>
      </c>
      <c r="B69" s="125">
        <v>0.25</v>
      </c>
      <c r="C69" s="125">
        <v>0.25</v>
      </c>
      <c r="D69" s="125">
        <v>1</v>
      </c>
      <c r="E69" s="125">
        <v>0.20309594493198099</v>
      </c>
      <c r="G69" s="156" t="s">
        <v>8</v>
      </c>
      <c r="H69" s="125">
        <v>0.25</v>
      </c>
      <c r="I69" s="125">
        <v>1.25</v>
      </c>
      <c r="J69" s="125">
        <v>9.75</v>
      </c>
      <c r="N69" s="313" t="s">
        <v>30</v>
      </c>
      <c r="O69" s="161" t="s">
        <v>27</v>
      </c>
      <c r="T69" s="303">
        <v>0.36746348727172901</v>
      </c>
    </row>
    <row r="70" spans="1:20">
      <c r="T70" s="303">
        <v>0.41037371522969301</v>
      </c>
    </row>
    <row r="71" spans="1:20" ht="29">
      <c r="A71" s="224" t="s">
        <v>98</v>
      </c>
      <c r="B71" s="101" t="s">
        <v>6</v>
      </c>
      <c r="C71" s="101" t="s">
        <v>7</v>
      </c>
      <c r="D71" s="101" t="s">
        <v>8</v>
      </c>
      <c r="E71" s="101" t="s">
        <v>33</v>
      </c>
      <c r="H71" s="164" t="s">
        <v>72</v>
      </c>
      <c r="I71" s="164" t="s">
        <v>73</v>
      </c>
      <c r="J71" s="101" t="s">
        <v>81</v>
      </c>
      <c r="K71" s="162" t="s">
        <v>87</v>
      </c>
      <c r="L71" s="162" t="s">
        <v>88</v>
      </c>
      <c r="M71" s="162" t="s">
        <v>89</v>
      </c>
      <c r="N71" s="162" t="s">
        <v>90</v>
      </c>
      <c r="O71" s="299" t="s">
        <v>91</v>
      </c>
      <c r="P71" s="314" t="s">
        <v>92</v>
      </c>
      <c r="Q71" s="101" t="s">
        <v>48</v>
      </c>
      <c r="R71" s="243" t="s">
        <v>49</v>
      </c>
      <c r="T71" s="306" t="s">
        <v>93</v>
      </c>
    </row>
    <row r="72" spans="1:20">
      <c r="A72" s="101" t="s">
        <v>6</v>
      </c>
      <c r="B72" s="125">
        <v>1</v>
      </c>
      <c r="C72" s="125">
        <v>1</v>
      </c>
      <c r="D72" s="125">
        <v>1</v>
      </c>
      <c r="E72" s="125">
        <v>0.33333333333333298</v>
      </c>
      <c r="G72" s="156" t="s">
        <v>6</v>
      </c>
      <c r="H72" s="125">
        <f>E9*T68</f>
        <v>4.9957624391631726E-2</v>
      </c>
      <c r="I72" s="125">
        <f>E19*$T$69</f>
        <v>8.0119573164920757E-2</v>
      </c>
      <c r="J72" s="136">
        <f>E14*$T$70</f>
        <v>7.8556295288316091E-2</v>
      </c>
      <c r="K72" s="125">
        <f>E29*$T$72</f>
        <v>9.9895275138287276E-2</v>
      </c>
      <c r="L72" s="125">
        <f>E34*$T$73</f>
        <v>5.1602519459720324E-2</v>
      </c>
      <c r="M72" s="125">
        <f>E39*$T$74</f>
        <v>8.3164601039476996E-2</v>
      </c>
      <c r="N72" s="141">
        <f>E62*$T$76</f>
        <v>0.11975536880171024</v>
      </c>
      <c r="O72" s="141">
        <f>E67*$T$77</f>
        <v>0.1097927420420754</v>
      </c>
      <c r="P72" s="176">
        <f>E72*$T$78</f>
        <v>0.14944033223248818</v>
      </c>
      <c r="Q72" s="10">
        <f>SUM(H72:P72)</f>
        <v>0.82228433155862701</v>
      </c>
      <c r="R72" s="243">
        <v>3</v>
      </c>
      <c r="T72" s="305">
        <v>0.40826504034051198</v>
      </c>
    </row>
    <row r="73" spans="1:20">
      <c r="A73" s="101" t="s">
        <v>7</v>
      </c>
      <c r="B73" s="125">
        <v>1</v>
      </c>
      <c r="C73" s="125">
        <v>1</v>
      </c>
      <c r="D73" s="245">
        <v>1</v>
      </c>
      <c r="E73" s="125">
        <v>0.33333333333333298</v>
      </c>
      <c r="F73" s="100">
        <v>0</v>
      </c>
      <c r="G73" s="156" t="s">
        <v>7</v>
      </c>
      <c r="H73" s="125">
        <f>E10*T68</f>
        <v>0.10266114933483717</v>
      </c>
      <c r="I73" s="125">
        <f>E20*$T$69</f>
        <v>0.14793049094438099</v>
      </c>
      <c r="J73" s="136">
        <f>E15*$T$70</f>
        <v>0.17569782778633378</v>
      </c>
      <c r="K73" s="125">
        <f>E30*$T$72</f>
        <v>9.9895275138287276E-2</v>
      </c>
      <c r="L73" s="125">
        <f>E35*$T$73</f>
        <v>0.12543335024365551</v>
      </c>
      <c r="M73" s="125">
        <f>E40*$T$74</f>
        <v>8.3164601039476996E-2</v>
      </c>
      <c r="N73" s="141">
        <f>E63*$T$76</f>
        <v>0.10127601750985787</v>
      </c>
      <c r="O73" s="141">
        <f>E68*$T$77</f>
        <v>0.1097927420420754</v>
      </c>
      <c r="P73" s="176">
        <f>E73*$T$78</f>
        <v>0.14944033223248818</v>
      </c>
      <c r="Q73" s="10">
        <f t="shared" ref="Q73:Q74" si="76">SUM(H73:P73)</f>
        <v>1.0952917862713931</v>
      </c>
      <c r="R73" s="243">
        <v>1</v>
      </c>
      <c r="T73" s="285">
        <v>0.29586747982974398</v>
      </c>
    </row>
    <row r="74" spans="1:20">
      <c r="A74" s="101" t="s">
        <v>8</v>
      </c>
      <c r="B74" s="245">
        <v>1</v>
      </c>
      <c r="C74" s="125">
        <v>1</v>
      </c>
      <c r="D74" s="125">
        <v>1</v>
      </c>
      <c r="E74" s="125">
        <v>0.33333333333333298</v>
      </c>
      <c r="G74" s="156" t="s">
        <v>8</v>
      </c>
      <c r="H74" s="125">
        <f>E11*T68</f>
        <v>6.9544023772109123E-2</v>
      </c>
      <c r="I74" s="125">
        <f>E21*$T$69</f>
        <v>0.13941342316242691</v>
      </c>
      <c r="J74" s="136">
        <f>E16*$T$70</f>
        <v>0.15611959215504315</v>
      </c>
      <c r="K74" s="125">
        <f>E31*$T$72</f>
        <v>0.20847449006393703</v>
      </c>
      <c r="L74" s="125">
        <f>E36*$T$73</f>
        <v>0.11883161012636784</v>
      </c>
      <c r="M74" s="125">
        <f>E41*$T$74</f>
        <v>0.12953827775079027</v>
      </c>
      <c r="N74" s="141">
        <f>E64*$T$76</f>
        <v>5.5099409289340866E-2</v>
      </c>
      <c r="O74" s="141">
        <f>E69*$T$77</f>
        <v>5.59627236174755E-2</v>
      </c>
      <c r="P74" s="176">
        <f>E74*$T$78</f>
        <v>0.14944033223248818</v>
      </c>
      <c r="Q74" s="10">
        <f t="shared" si="76"/>
        <v>1.0824238821699788</v>
      </c>
      <c r="R74" s="243">
        <v>2</v>
      </c>
      <c r="T74" s="286">
        <v>0.29586747982974398</v>
      </c>
    </row>
    <row r="75" spans="1:20">
      <c r="R75" t="s">
        <v>29</v>
      </c>
      <c r="T75" s="323" t="s">
        <v>99</v>
      </c>
    </row>
    <row r="76" spans="1:20">
      <c r="G76" s="312" t="s">
        <v>320</v>
      </c>
      <c r="H76" s="162" t="s">
        <v>72</v>
      </c>
      <c r="I76" s="162" t="s">
        <v>85</v>
      </c>
      <c r="J76" s="162" t="s">
        <v>73</v>
      </c>
      <c r="K76" s="162" t="s">
        <v>87</v>
      </c>
      <c r="L76" s="162" t="s">
        <v>88</v>
      </c>
      <c r="M76" s="162" t="s">
        <v>89</v>
      </c>
      <c r="N76" s="162" t="s">
        <v>96</v>
      </c>
      <c r="O76" s="314" t="s">
        <v>97</v>
      </c>
      <c r="P76" s="335" t="s">
        <v>98</v>
      </c>
      <c r="T76" s="316">
        <v>0.27613079560090897</v>
      </c>
    </row>
    <row r="77" spans="1:20">
      <c r="G77" s="156" t="s">
        <v>6</v>
      </c>
      <c r="H77" s="125">
        <f>$P$54*(($H$5-H2)/($H$5-$H$6))+0.0001</f>
        <v>1E-4</v>
      </c>
      <c r="I77" s="125">
        <f>$Q$54*(($I$5-I2)/($I$5-$I$6))+0.0001</f>
        <v>1E-4</v>
      </c>
      <c r="J77" s="125">
        <f>$R$54*(($J$5-J2)/($J$5-$J$6))+0.0001</f>
        <v>1E-4</v>
      </c>
      <c r="K77" s="136">
        <f>$S$54*(($T$5-T2)/($T$5-$T$6))+0.0001</f>
        <v>6.9493129169708193E-2</v>
      </c>
      <c r="L77" s="136">
        <f>$S$54*(($U$5-U2)/($U$5-$U$6))+0.0001</f>
        <v>1E-4</v>
      </c>
      <c r="M77" s="136">
        <f>$S$54*(($V$5-V2)/($V$5-$V$6))+0.0001</f>
        <v>1E-4</v>
      </c>
      <c r="N77" s="125">
        <f>$V$54*(($AA$5-AA2)/($AA$5-$AA$6))+0.0001</f>
        <v>1E-4</v>
      </c>
      <c r="O77" s="125">
        <f>$V$54*(($AB$5-AB2)/($AB$5-$AB$6))+0.0001</f>
        <v>1E-4</v>
      </c>
      <c r="P77" s="125">
        <f>$V$54*(($AC$5-AC2)/($AC$5-$AC$6+0.0001))+0.0001</f>
        <v>1E-4</v>
      </c>
      <c r="T77" s="317">
        <v>0.27554820770162602</v>
      </c>
    </row>
    <row r="78" spans="1:20">
      <c r="G78" s="156" t="s">
        <v>7</v>
      </c>
      <c r="H78" s="125">
        <f>$P$54*(($H$5-H3)/($H$5-$H$6))+0.0001</f>
        <v>6.9493129169708193E-2</v>
      </c>
      <c r="I78" s="125">
        <f t="shared" ref="I78:I79" si="77">$Q$54*(($I$5-I3)/($I$5-$I$6))+0.0001</f>
        <v>0.11537774021437866</v>
      </c>
      <c r="J78" s="125">
        <f t="shared" ref="J78:J79" si="78">$R$54*(($J$5-J3)/($J$5-$J$6))+0.0001</f>
        <v>0.11217197356080337</v>
      </c>
      <c r="K78" s="136">
        <f t="shared" ref="K78:K79" si="79">$S$54*(($T$5-T3)/($T$5-$T$6))+0.0001</f>
        <v>6.9493129169708193E-2</v>
      </c>
      <c r="L78" s="136">
        <f t="shared" ref="L78:L79" si="80">$S$54*(($U$5-U3)/($U$5-$U$6))+0.0001</f>
        <v>6.9493129169708193E-2</v>
      </c>
      <c r="M78" s="136">
        <f t="shared" ref="M78:M79" si="81">$S$54*(($V$5-V3)/($V$5-$V$6))+0.0001</f>
        <v>1E-4</v>
      </c>
      <c r="N78" s="125">
        <f t="shared" ref="N78:N79" si="82">$V$54*(($AA$5-AA3)/($AA$5-$AA$6))+0.0001</f>
        <v>2.5115422576113107E-2</v>
      </c>
      <c r="O78" s="125">
        <f t="shared" ref="O78:O79" si="83">$V$54*(($AB$5-AB3)/($AB$5-$AB$6))+0.0001</f>
        <v>1E-4</v>
      </c>
      <c r="P78" s="125">
        <f t="shared" ref="P78:P79" si="84">$V$54*(($AC$5-AC3)/($AC$5-$AC$6+0.0001))+0.0001</f>
        <v>1E-4</v>
      </c>
      <c r="T78" s="318">
        <v>0.448320996697465</v>
      </c>
    </row>
    <row r="79" spans="1:20">
      <c r="G79" s="156" t="s">
        <v>8</v>
      </c>
      <c r="H79" s="125">
        <f t="shared" ref="H79" si="85">$P$54*(($H$5-H4)/($H$5-$H$6))+0.0001</f>
        <v>6.9493129169708193E-2</v>
      </c>
      <c r="I79" s="125">
        <f t="shared" si="77"/>
        <v>6.767660633256678E-2</v>
      </c>
      <c r="J79" s="125">
        <f t="shared" si="78"/>
        <v>7.4814649040535142E-2</v>
      </c>
      <c r="K79" s="136">
        <f t="shared" si="79"/>
        <v>1E-4</v>
      </c>
      <c r="L79" s="136">
        <f t="shared" si="80"/>
        <v>4.0197876749778615E-2</v>
      </c>
      <c r="M79" s="136">
        <f t="shared" si="81"/>
        <v>6.9493129169708193E-2</v>
      </c>
      <c r="N79" s="125">
        <f t="shared" si="82"/>
        <v>0.12160348108397796</v>
      </c>
      <c r="O79" s="125">
        <f t="shared" si="83"/>
        <v>0.12160348108397796</v>
      </c>
      <c r="P79" s="125">
        <f t="shared" si="84"/>
        <v>1E-4</v>
      </c>
    </row>
    <row r="81" spans="7:28">
      <c r="G81" s="312" t="s">
        <v>321</v>
      </c>
      <c r="H81" s="162" t="s">
        <v>72</v>
      </c>
      <c r="I81" s="162" t="s">
        <v>85</v>
      </c>
      <c r="J81" s="162" t="s">
        <v>73</v>
      </c>
      <c r="K81" s="162" t="s">
        <v>87</v>
      </c>
      <c r="L81" s="162" t="s">
        <v>88</v>
      </c>
      <c r="M81" s="162" t="s">
        <v>89</v>
      </c>
      <c r="N81" s="162" t="s">
        <v>96</v>
      </c>
      <c r="O81" s="314" t="s">
        <v>97</v>
      </c>
      <c r="P81" s="335" t="s">
        <v>98</v>
      </c>
      <c r="S81" s="387"/>
      <c r="T81" s="349" t="s">
        <v>72</v>
      </c>
      <c r="U81" s="349" t="s">
        <v>85</v>
      </c>
      <c r="V81" s="349" t="s">
        <v>73</v>
      </c>
      <c r="W81" s="349" t="s">
        <v>87</v>
      </c>
      <c r="X81" s="349" t="s">
        <v>88</v>
      </c>
      <c r="Y81" s="349" t="s">
        <v>89</v>
      </c>
      <c r="Z81" s="349" t="s">
        <v>96</v>
      </c>
      <c r="AA81" s="350" t="s">
        <v>97</v>
      </c>
      <c r="AB81" s="350" t="s">
        <v>98</v>
      </c>
    </row>
    <row r="82" spans="7:28" ht="16.5">
      <c r="G82" s="156" t="s">
        <v>6</v>
      </c>
      <c r="H82" s="125">
        <f>$P$53*(($H$5-H2)/($H$5-$H$6))+0.0001</f>
        <v>1E-4</v>
      </c>
      <c r="I82" s="125">
        <f>$Q$53*(($I$5-I2)/($I$5-$I$6))+0.0001</f>
        <v>1E-4</v>
      </c>
      <c r="J82" s="125">
        <f>$R$53*(($J$5-J2)/($J$5-$J$6))+0.0001</f>
        <v>1E-4</v>
      </c>
      <c r="K82" s="136">
        <f>$S$53*(($T$5-T2)/($T$5-$T$6))+0.0001</f>
        <v>0.1004388452470019</v>
      </c>
      <c r="L82" s="136">
        <f>$T$53*(($U$5-U2)/($U$5-$U$6))+0.0001</f>
        <v>1E-4</v>
      </c>
      <c r="M82" s="136">
        <f>$U$53*(($V$5-V2)/($V$5-$V$6))+0.0001</f>
        <v>1E-4</v>
      </c>
      <c r="N82" s="125">
        <f>$V$53*(($AA$5-AA2)/($AA$5-$AA$6))+0.0001</f>
        <v>1E-4</v>
      </c>
      <c r="O82" s="125">
        <f>$V$53*(($AB$5-AB2)/($AB$5-$AB$6))+0.0001</f>
        <v>1E-4</v>
      </c>
      <c r="P82" s="125">
        <f>$V$53*(($AC$5-AC2)/($AC$5-$AC$6+0.0001))+0.0001</f>
        <v>1E-4</v>
      </c>
      <c r="S82" s="383" t="s">
        <v>334</v>
      </c>
      <c r="T82" s="376">
        <v>8.1192971543442113E-2</v>
      </c>
      <c r="U82" s="382">
        <v>0.13429544820841782</v>
      </c>
      <c r="V82" s="382">
        <v>0.14997768194305508</v>
      </c>
      <c r="W82" s="382">
        <v>0.1003388452470019</v>
      </c>
      <c r="X82" s="376">
        <v>7.2715021711133532E-2</v>
      </c>
      <c r="Y82" s="376">
        <v>7.2715021711133532E-2</v>
      </c>
      <c r="Z82" s="382">
        <v>0.10734999141253292</v>
      </c>
      <c r="AA82" s="382">
        <v>0.10712350162225447</v>
      </c>
      <c r="AB82" s="382">
        <v>0.17429151660102862</v>
      </c>
    </row>
    <row r="83" spans="7:28" ht="16.5">
      <c r="G83" s="156" t="s">
        <v>7</v>
      </c>
      <c r="H83" s="125">
        <f t="shared" ref="H83:H84" si="86">$P$53*(($H$5-H3)/($H$5-$H$6))+0.0001</f>
        <v>8.1292971543442116E-2</v>
      </c>
      <c r="I83" s="125">
        <f t="shared" ref="I83:I84" si="87">$Q$53*(($I$5-I3)/($I$5-$I$6))+0.0001</f>
        <v>0.13439544820841781</v>
      </c>
      <c r="J83" s="125">
        <f t="shared" ref="J83:J84" si="88">$R$53*(($J$5-J3)/($J$5-$J$6))+0.0001</f>
        <v>0.15007768194305507</v>
      </c>
      <c r="K83" s="136">
        <f t="shared" ref="K83:K84" si="89">$S$53*(($T$5-T3)/($T$5-$T$6))+0.0001</f>
        <v>0.1004388452470019</v>
      </c>
      <c r="L83" s="136">
        <f t="shared" ref="L83:L84" si="90">$T$53*(($U$5-U3)/($U$5-$U$6))+0.0001</f>
        <v>7.2815021711133535E-2</v>
      </c>
      <c r="M83" s="136">
        <f t="shared" ref="M83:M84" si="91">$U$53*(($V$5-V3)/($V$5-$V$6))+0.0001</f>
        <v>1E-4</v>
      </c>
      <c r="N83" s="125">
        <f t="shared" ref="N83:N84" si="92">$V$53*(($AA$5-AA3)/($AA$5-$AA$6))+0.0001</f>
        <v>2.2201468820227364E-2</v>
      </c>
      <c r="O83" s="125">
        <f t="shared" ref="O83:O84" si="93">$V$53*(($AB$5-AB3)/($AB$5-$AB$6))+0.0001</f>
        <v>1E-4</v>
      </c>
      <c r="P83" s="125">
        <f t="shared" ref="P83:P84" si="94">$V$53*(($AC$5-AC3)/($AC$5-$AC$6+0.0001))+0.0001</f>
        <v>1E-4</v>
      </c>
      <c r="S83" s="384" t="s">
        <v>335</v>
      </c>
      <c r="T83" s="377">
        <v>6.939312916970819E-2</v>
      </c>
      <c r="U83" s="381">
        <v>0.11527774021437866</v>
      </c>
      <c r="V83" s="381">
        <v>0.11207197356080337</v>
      </c>
      <c r="W83" s="377">
        <v>6.939312916970819E-2</v>
      </c>
      <c r="X83" s="381">
        <v>0.11555359147631947</v>
      </c>
      <c r="Y83" s="381">
        <v>0.12200128627343157</v>
      </c>
      <c r="Z83" s="381">
        <v>0.12150348108397796</v>
      </c>
      <c r="AA83" s="381">
        <v>0.12200128627343157</v>
      </c>
      <c r="AB83" s="381">
        <v>0.1528043827782411</v>
      </c>
    </row>
    <row r="84" spans="7:28" ht="16.5">
      <c r="G84" s="156" t="s">
        <v>8</v>
      </c>
      <c r="H84" s="125">
        <f t="shared" si="86"/>
        <v>8.1292971543442116E-2</v>
      </c>
      <c r="I84" s="125">
        <f t="shared" si="87"/>
        <v>7.8824917915279388E-2</v>
      </c>
      <c r="J84" s="125">
        <f t="shared" si="88"/>
        <v>0.10008512129536946</v>
      </c>
      <c r="K84" s="136">
        <f t="shared" si="89"/>
        <v>1E-4</v>
      </c>
      <c r="L84" s="136">
        <f t="shared" si="90"/>
        <v>4.2117387215668198E-2</v>
      </c>
      <c r="M84" s="136">
        <f t="shared" si="91"/>
        <v>7.2815021711133535E-2</v>
      </c>
      <c r="N84" s="125">
        <f t="shared" si="92"/>
        <v>0.10744999141253292</v>
      </c>
      <c r="O84" s="125">
        <f t="shared" si="93"/>
        <v>0.10744999141253292</v>
      </c>
      <c r="P84" s="125">
        <f t="shared" si="94"/>
        <v>1E-4</v>
      </c>
      <c r="S84" s="385" t="s">
        <v>336</v>
      </c>
      <c r="T84" s="379">
        <v>0.22216279749857801</v>
      </c>
      <c r="U84" s="379">
        <v>0.36746348727172901</v>
      </c>
      <c r="V84" s="379">
        <v>0.41037371522969301</v>
      </c>
      <c r="W84" s="379">
        <v>0.40826504034051198</v>
      </c>
      <c r="X84" s="379">
        <v>0.29586747982974398</v>
      </c>
      <c r="Y84" s="379">
        <v>0.29586747982974398</v>
      </c>
      <c r="Z84" s="379">
        <v>0.27613079560090897</v>
      </c>
      <c r="AA84" s="379">
        <v>0.27554820770162602</v>
      </c>
      <c r="AB84" s="379">
        <v>0.448320996697465</v>
      </c>
    </row>
    <row r="85" spans="7:28" ht="16.5">
      <c r="S85" s="386" t="s">
        <v>337</v>
      </c>
      <c r="T85" s="378">
        <v>7.5808137058846981E-2</v>
      </c>
      <c r="U85" s="380">
        <v>0.1256613566161191</v>
      </c>
      <c r="V85" s="380">
        <v>0.1309363404394448</v>
      </c>
      <c r="W85" s="378">
        <v>8.4273524112009016E-2</v>
      </c>
      <c r="X85" s="378">
        <v>9.2576799673288759E-2</v>
      </c>
      <c r="Y85" s="378">
        <v>9.5124556303568891E-2</v>
      </c>
      <c r="Z85" s="380">
        <v>0.11534366255013608</v>
      </c>
      <c r="AA85" s="380">
        <v>0.11545771419146217</v>
      </c>
      <c r="AB85" s="380">
        <v>0.16481790905512431</v>
      </c>
    </row>
    <row r="86" spans="7:28" ht="15" thickBot="1">
      <c r="G86" s="312" t="s">
        <v>319</v>
      </c>
      <c r="H86" s="162" t="s">
        <v>11</v>
      </c>
      <c r="I86" s="162" t="s">
        <v>12</v>
      </c>
      <c r="J86" s="162" t="s">
        <v>13</v>
      </c>
      <c r="K86" s="101" t="s">
        <v>14</v>
      </c>
      <c r="L86" s="101" t="s">
        <v>15</v>
      </c>
      <c r="M86" s="101" t="s">
        <v>16</v>
      </c>
      <c r="N86" s="101" t="s">
        <v>17</v>
      </c>
      <c r="P86" s="331" t="s">
        <v>129</v>
      </c>
    </row>
    <row r="87" spans="7:28">
      <c r="G87" s="156" t="s">
        <v>6</v>
      </c>
      <c r="H87" s="195">
        <f>SUM(H77:P77)</f>
        <v>7.0293129169708202E-2</v>
      </c>
      <c r="I87" s="195">
        <f>MAX(H77:P77)</f>
        <v>6.9493129169708193E-2</v>
      </c>
      <c r="J87" s="141">
        <f>$L$64*((H87-$K$87)/($M$87-$K$87))+(1-$L$64)*((I87-$L$87)/($N$87-$L$87))+0.0001</f>
        <v>1E-4</v>
      </c>
      <c r="K87" s="141">
        <f>MIN(H87:H89)</f>
        <v>7.0293129169708202E-2</v>
      </c>
      <c r="L87" s="125">
        <f>MIN(I87:I89)</f>
        <v>6.9493129169708193E-2</v>
      </c>
      <c r="M87" s="125">
        <f>MAX(H87:H89)</f>
        <v>0.56508235263025275</v>
      </c>
      <c r="N87" s="125">
        <f>MAX(I87:I89)</f>
        <v>0.12160348108397796</v>
      </c>
      <c r="P87" s="113" t="s">
        <v>19</v>
      </c>
      <c r="Q87" s="159">
        <f>1/(3-1)</f>
        <v>0.5</v>
      </c>
    </row>
    <row r="88" spans="7:28">
      <c r="G88" s="156" t="s">
        <v>7</v>
      </c>
      <c r="H88" s="195">
        <f t="shared" ref="H88:H89" si="95">SUM(H78:P78)</f>
        <v>0.46144452386041968</v>
      </c>
      <c r="I88" s="195">
        <f t="shared" ref="I88:I89" si="96">MAX(H78:P78)</f>
        <v>0.11537774021437866</v>
      </c>
      <c r="J88" s="141">
        <f>$L$64*((H88-$K$87)/($M$87-$K$87))+(1-$L$64)*((I88-$L$87)/($N$87-$L$87))+0.0001</f>
        <v>0.83563460574910509</v>
      </c>
      <c r="P88" s="116" t="s">
        <v>24</v>
      </c>
      <c r="Q88" s="160">
        <f>J88-J87</f>
        <v>0.8355346057491051</v>
      </c>
    </row>
    <row r="89" spans="7:28">
      <c r="G89" s="156" t="s">
        <v>8</v>
      </c>
      <c r="H89" s="195">
        <f t="shared" si="95"/>
        <v>0.56508235263025275</v>
      </c>
      <c r="I89" s="195">
        <f t="shared" si="96"/>
        <v>0.12160348108397796</v>
      </c>
      <c r="J89" s="141">
        <f t="shared" ref="J89" si="97">$L$64*((H89-$K$87)/($M$87-$K$87))+(1-$L$64)*((I89-$L$87)/($N$87-$L$87))+0.0001</f>
        <v>1.0001</v>
      </c>
      <c r="L89" t="s">
        <v>322</v>
      </c>
      <c r="P89" s="116" t="s">
        <v>112</v>
      </c>
      <c r="Q89" s="160" t="s">
        <v>27</v>
      </c>
    </row>
    <row r="90" spans="7:28" ht="15" thickBot="1">
      <c r="P90" s="313" t="s">
        <v>30</v>
      </c>
      <c r="Q90" s="161" t="s">
        <v>27</v>
      </c>
    </row>
    <row r="91" spans="7:28">
      <c r="G91" s="312" t="s">
        <v>323</v>
      </c>
      <c r="H91" s="162" t="s">
        <v>11</v>
      </c>
      <c r="I91" s="162" t="s">
        <v>12</v>
      </c>
      <c r="J91" s="162" t="s">
        <v>13</v>
      </c>
      <c r="K91" s="101" t="s">
        <v>14</v>
      </c>
      <c r="L91" s="101" t="s">
        <v>15</v>
      </c>
      <c r="M91" s="101" t="s">
        <v>16</v>
      </c>
      <c r="N91" s="101" t="s">
        <v>17</v>
      </c>
    </row>
    <row r="92" spans="7:28" ht="15" thickBot="1">
      <c r="G92" s="156" t="s">
        <v>6</v>
      </c>
      <c r="H92" s="195">
        <f>SUM(H82:P82)</f>
        <v>0.10123884524700191</v>
      </c>
      <c r="I92" s="195">
        <f>MAX(H82:P82)</f>
        <v>0.1004388452470019</v>
      </c>
      <c r="J92" s="141">
        <f>$L$64*((H92-$K$92)/($M$92-$K$92))+(1-$L$64)*((I92-$L$92)/($N$92-$L$92))+0.0001</f>
        <v>1E-4</v>
      </c>
      <c r="K92" s="141">
        <f>MIN(H92:H94)</f>
        <v>0.10123884524700191</v>
      </c>
      <c r="L92" s="125">
        <f>MIN(I92:I94)</f>
        <v>0.1004388452470019</v>
      </c>
      <c r="M92" s="125">
        <f>MAX(H92:H94)</f>
        <v>0.59023540250595852</v>
      </c>
      <c r="N92" s="125">
        <f>MAX(I92:I94)</f>
        <v>0.15007768194305507</v>
      </c>
      <c r="P92" s="331" t="s">
        <v>283</v>
      </c>
    </row>
    <row r="93" spans="7:28">
      <c r="G93" s="156" t="s">
        <v>7</v>
      </c>
      <c r="H93" s="195">
        <f t="shared" ref="H93:H94" si="98">SUM(H83:P83)</f>
        <v>0.56152143747327776</v>
      </c>
      <c r="I93" s="195">
        <f t="shared" ref="I93:I94" si="99">MAX(H83:P83)</f>
        <v>0.15007768194305507</v>
      </c>
      <c r="J93" s="141">
        <f>$L$64*((H93-$K$92)/($M$92-$K$92))+(1-$L$64)*((I93-$L$92)/($N$92-$L$92))+0.0001</f>
        <v>0.97073991084759848</v>
      </c>
      <c r="P93" s="113" t="s">
        <v>19</v>
      </c>
      <c r="Q93" s="159">
        <f>1/(3-1)</f>
        <v>0.5</v>
      </c>
    </row>
    <row r="94" spans="7:28">
      <c r="G94" s="156" t="s">
        <v>8</v>
      </c>
      <c r="H94" s="195">
        <f t="shared" si="98"/>
        <v>0.59023540250595852</v>
      </c>
      <c r="I94" s="195">
        <f t="shared" si="99"/>
        <v>0.10744999141253292</v>
      </c>
      <c r="J94" s="141">
        <f t="shared" ref="J94" si="100">$L$64*((H94-$K$92)/($M$92-$K$92))+(1-$L$64)*((I94-$L$92)/($N$92-$L$92))+0.0001</f>
        <v>0.57072158011942775</v>
      </c>
      <c r="L94" t="s">
        <v>80</v>
      </c>
      <c r="P94" s="116" t="s">
        <v>24</v>
      </c>
      <c r="Q94" s="160">
        <f>J94-J92</f>
        <v>0.57062158011942776</v>
      </c>
    </row>
    <row r="95" spans="7:28">
      <c r="P95" s="116" t="s">
        <v>112</v>
      </c>
      <c r="Q95" s="160" t="s">
        <v>27</v>
      </c>
    </row>
    <row r="96" spans="7:28" ht="15" thickBot="1">
      <c r="P96" s="313" t="s">
        <v>30</v>
      </c>
      <c r="Q96" s="161" t="s">
        <v>27</v>
      </c>
    </row>
  </sheetData>
  <mergeCells count="11">
    <mergeCell ref="V23:V26"/>
    <mergeCell ref="V28:V31"/>
    <mergeCell ref="V33:V36"/>
    <mergeCell ref="O31:T31"/>
    <mergeCell ref="O35:T35"/>
    <mergeCell ref="O39:T39"/>
    <mergeCell ref="I12:K12"/>
    <mergeCell ref="I17:K17"/>
    <mergeCell ref="I21:K21"/>
    <mergeCell ref="I25:K25"/>
    <mergeCell ref="O26:T26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722BB-FCDF-4714-82A9-44A80C9E1486}">
  <dimension ref="A1:R72"/>
  <sheetViews>
    <sheetView topLeftCell="A56" workbookViewId="0">
      <selection activeCell="A74" sqref="A74"/>
    </sheetView>
  </sheetViews>
  <sheetFormatPr defaultRowHeight="14.5"/>
  <cols>
    <col min="1" max="1" width="16.1796875" customWidth="1"/>
    <col min="2" max="2" width="15.26953125" customWidth="1"/>
    <col min="3" max="3" width="16.26953125" customWidth="1"/>
    <col min="4" max="4" width="15" customWidth="1"/>
    <col min="5" max="5" width="12.7265625" customWidth="1"/>
    <col min="6" max="6" width="15.26953125" customWidth="1"/>
    <col min="7" max="7" width="13.26953125" customWidth="1"/>
    <col min="8" max="8" width="12.81640625" customWidth="1"/>
    <col min="9" max="9" width="15.26953125" customWidth="1"/>
    <col min="10" max="10" width="15.54296875" customWidth="1"/>
    <col min="11" max="11" width="11.453125" customWidth="1"/>
    <col min="12" max="12" width="13.81640625" customWidth="1"/>
    <col min="13" max="14" width="15.26953125" customWidth="1"/>
  </cols>
  <sheetData>
    <row r="1" spans="1:18">
      <c r="B1" s="101" t="s">
        <v>0</v>
      </c>
      <c r="C1" s="101" t="s">
        <v>1</v>
      </c>
      <c r="D1" s="101" t="s">
        <v>2</v>
      </c>
      <c r="E1" s="156" t="s">
        <v>3</v>
      </c>
      <c r="F1" s="101" t="s">
        <v>4</v>
      </c>
      <c r="H1" s="224" t="s">
        <v>5</v>
      </c>
      <c r="I1" s="198" t="s">
        <v>0</v>
      </c>
      <c r="J1" s="163" t="s">
        <v>1</v>
      </c>
      <c r="K1" s="162" t="s">
        <v>2</v>
      </c>
      <c r="L1" s="164" t="s">
        <v>3</v>
      </c>
      <c r="M1" s="162" t="s">
        <v>4</v>
      </c>
    </row>
    <row r="2" spans="1:18">
      <c r="A2" s="101" t="s">
        <v>6</v>
      </c>
      <c r="B2" s="141">
        <v>0.3</v>
      </c>
      <c r="C2" s="125">
        <v>5</v>
      </c>
      <c r="D2" s="125">
        <v>60</v>
      </c>
      <c r="E2" s="136">
        <v>90</v>
      </c>
      <c r="F2" s="125">
        <v>3</v>
      </c>
      <c r="H2" s="242" t="s">
        <v>6</v>
      </c>
      <c r="I2" s="155">
        <f>$B$72*((B5-B2)/(B5-B6))+0.0001</f>
        <v>0.17647257744779174</v>
      </c>
      <c r="J2" s="125">
        <f>C72*((C5-C2)/(C5-C6))+0.0001</f>
        <v>0.17174382680905584</v>
      </c>
      <c r="K2" s="125">
        <f>D72*((D5-D2)/(D5-D6))+0.0001</f>
        <v>7.9287362281609791E-2</v>
      </c>
      <c r="L2" s="125">
        <f>E72*((E5-E2)/(E5-E6))+0.0001</f>
        <v>0.21721649905873913</v>
      </c>
      <c r="M2" s="125">
        <f>F72*((F5-F2)/(F5-F6))+0.0001</f>
        <v>1E-4</v>
      </c>
    </row>
    <row r="3" spans="1:18">
      <c r="A3" s="101" t="s">
        <v>7</v>
      </c>
      <c r="B3" s="196">
        <v>2</v>
      </c>
      <c r="C3" s="166">
        <v>16</v>
      </c>
      <c r="D3" s="166">
        <v>68</v>
      </c>
      <c r="E3" s="167">
        <v>450</v>
      </c>
      <c r="F3" s="125">
        <v>3</v>
      </c>
      <c r="H3" s="164" t="s">
        <v>7</v>
      </c>
      <c r="I3" s="155">
        <f>B72*((B5-B3)/(B5-B6))+0.0001</f>
        <v>1E-4</v>
      </c>
      <c r="J3" s="155">
        <f>C72*((C5-C3)/(C5-C6))+0.0001</f>
        <v>1E-4</v>
      </c>
      <c r="K3" s="155">
        <f t="shared" ref="K3:M3" si="0">D72*((D5-D3)/(D5-D6))+0.0001</f>
        <v>1E-4</v>
      </c>
      <c r="L3" s="155">
        <f t="shared" si="0"/>
        <v>1E-4</v>
      </c>
      <c r="M3" s="155">
        <f t="shared" si="0"/>
        <v>1E-4</v>
      </c>
    </row>
    <row r="4" spans="1:18">
      <c r="A4" s="164" t="s">
        <v>8</v>
      </c>
      <c r="B4" s="249">
        <v>1.1499999999999999</v>
      </c>
      <c r="C4" s="249">
        <v>10.5</v>
      </c>
      <c r="D4" s="249">
        <v>46</v>
      </c>
      <c r="E4" s="250">
        <v>434</v>
      </c>
      <c r="F4" s="166">
        <v>8</v>
      </c>
      <c r="H4" s="101" t="s">
        <v>8</v>
      </c>
      <c r="I4" s="155">
        <f>B72*((B5-B4)/(B5-B6))+0.0001</f>
        <v>8.8286288723895892E-2</v>
      </c>
      <c r="J4" s="155">
        <f>C72*((C5-C4)/(C5-C6))+0.0001</f>
        <v>8.5921913404527928E-2</v>
      </c>
      <c r="K4" s="155">
        <f t="shared" ref="K4:M4" si="1">D72*((D5-D4)/(D5-D6))+0.0001</f>
        <v>0.21786524627442688</v>
      </c>
      <c r="L4" s="155">
        <f t="shared" si="1"/>
        <v>9.7496221803884068E-3</v>
      </c>
      <c r="M4" s="155">
        <f t="shared" si="1"/>
        <v>0.21720185040998635</v>
      </c>
    </row>
    <row r="5" spans="1:18">
      <c r="A5" s="156" t="s">
        <v>9</v>
      </c>
      <c r="B5" s="125">
        <f>MAX(B2:B4)</f>
        <v>2</v>
      </c>
      <c r="C5" s="125">
        <f t="shared" ref="C5:E5" si="2">MAX(C2:C4)</f>
        <v>16</v>
      </c>
      <c r="D5" s="125">
        <f t="shared" si="2"/>
        <v>68</v>
      </c>
      <c r="E5" s="125">
        <f t="shared" si="2"/>
        <v>450</v>
      </c>
      <c r="F5" s="125">
        <f>MIN(F2:F4)</f>
        <v>3</v>
      </c>
    </row>
    <row r="6" spans="1:18">
      <c r="A6" s="156" t="s">
        <v>10</v>
      </c>
      <c r="B6" s="125">
        <f>MIN(B2:B4)</f>
        <v>0.3</v>
      </c>
      <c r="C6" s="125">
        <f t="shared" ref="C6:E6" si="3">MIN(C2:C4)</f>
        <v>5</v>
      </c>
      <c r="D6" s="125">
        <f t="shared" si="3"/>
        <v>46</v>
      </c>
      <c r="E6" s="125">
        <f t="shared" si="3"/>
        <v>90</v>
      </c>
      <c r="F6" s="125">
        <f>MAX(F2:F4)</f>
        <v>8</v>
      </c>
      <c r="H6" s="84" t="s">
        <v>5</v>
      </c>
      <c r="I6" s="9" t="s">
        <v>11</v>
      </c>
      <c r="J6" s="12" t="s">
        <v>12</v>
      </c>
      <c r="K6" s="9" t="s">
        <v>13</v>
      </c>
      <c r="L6" s="9" t="s">
        <v>14</v>
      </c>
      <c r="M6" s="9" t="s">
        <v>15</v>
      </c>
      <c r="N6" s="57" t="s">
        <v>16</v>
      </c>
      <c r="O6" s="9" t="s">
        <v>17</v>
      </c>
    </row>
    <row r="7" spans="1:18">
      <c r="H7" s="43" t="s">
        <v>6</v>
      </c>
      <c r="I7" s="125">
        <f>SUM(I2:M2)</f>
        <v>0.64482026559719641</v>
      </c>
      <c r="J7" s="125">
        <f>MAX(I2:M2)</f>
        <v>0.21721649905873913</v>
      </c>
      <c r="K7" s="167">
        <f>$M$10*((I7-$L$7)/($N$7-$L$7))+(1-$M$10)*((J7-$M$7)/($O$7-$M$7))+0.0001</f>
        <v>0.9986104436387655</v>
      </c>
      <c r="L7" s="125">
        <f>MIN(I7:I9)</f>
        <v>5.0000000000000001E-4</v>
      </c>
      <c r="M7" s="125">
        <f>MIN(J7:J9)</f>
        <v>1E-4</v>
      </c>
      <c r="N7" s="125">
        <f>MAX(I7:I9)</f>
        <v>0.64482026559719641</v>
      </c>
      <c r="O7" s="125">
        <f>MAX(J7:J9)</f>
        <v>0.21786524627442688</v>
      </c>
      <c r="Q7" s="84" t="s">
        <v>5</v>
      </c>
    </row>
    <row r="8" spans="1:18">
      <c r="A8" s="142" t="s">
        <v>18</v>
      </c>
      <c r="B8" s="227" t="s">
        <v>0</v>
      </c>
      <c r="C8" s="237" t="s">
        <v>1</v>
      </c>
      <c r="D8" s="237" t="s">
        <v>2</v>
      </c>
      <c r="E8" s="237" t="s">
        <v>3</v>
      </c>
      <c r="F8" s="238" t="s">
        <v>4</v>
      </c>
      <c r="H8" s="12" t="s">
        <v>7</v>
      </c>
      <c r="I8" s="125">
        <f>SUM(I3:M3)</f>
        <v>5.0000000000000001E-4</v>
      </c>
      <c r="J8" s="136">
        <f>MAX(I3:M3)</f>
        <v>1E-4</v>
      </c>
      <c r="K8" s="125">
        <f t="shared" ref="K8:K9" si="4">$M$10*((I8-$L$7)/($N$7-$L$7))+(1-$M$10)*((J8-$M$7)/($O$7-$M$7))+0.0001</f>
        <v>1E-4</v>
      </c>
      <c r="L8" s="99"/>
      <c r="M8" s="99"/>
      <c r="N8" s="99"/>
      <c r="O8" s="99"/>
      <c r="Q8" s="157" t="s">
        <v>19</v>
      </c>
      <c r="R8" s="159">
        <f>1/(3-1)</f>
        <v>0.5</v>
      </c>
    </row>
    <row r="9" spans="1:18">
      <c r="A9" s="239" t="s">
        <v>0</v>
      </c>
      <c r="B9" s="99" t="s">
        <v>20</v>
      </c>
      <c r="C9" s="99" t="s">
        <v>21</v>
      </c>
      <c r="D9" s="99" t="s">
        <v>22</v>
      </c>
      <c r="E9" s="99" t="s">
        <v>23</v>
      </c>
      <c r="F9" s="117" t="s">
        <v>23</v>
      </c>
      <c r="H9" s="43" t="s">
        <v>8</v>
      </c>
      <c r="I9" s="125">
        <f t="shared" ref="I9" si="5">SUM(I4:M4)</f>
        <v>0.61902492099322548</v>
      </c>
      <c r="J9" s="136">
        <f t="shared" ref="J9" si="6">MAX(I4:M4)</f>
        <v>0.21786524627442688</v>
      </c>
      <c r="K9" s="125">
        <f t="shared" si="4"/>
        <v>0.98008251337006902</v>
      </c>
      <c r="L9" s="99"/>
      <c r="M9" s="99"/>
      <c r="N9" s="99"/>
      <c r="O9" s="99"/>
      <c r="Q9" s="144" t="s">
        <v>24</v>
      </c>
      <c r="R9" s="160">
        <f>K9-K8</f>
        <v>0.97998251337006903</v>
      </c>
    </row>
    <row r="10" spans="1:18">
      <c r="A10" s="240" t="s">
        <v>1</v>
      </c>
      <c r="B10" s="99" t="s">
        <v>25</v>
      </c>
      <c r="C10" s="99" t="s">
        <v>20</v>
      </c>
      <c r="D10" s="99" t="s">
        <v>22</v>
      </c>
      <c r="E10" s="99" t="s">
        <v>23</v>
      </c>
      <c r="F10" s="117" t="s">
        <v>23</v>
      </c>
      <c r="H10" s="1"/>
      <c r="M10">
        <v>0.5</v>
      </c>
      <c r="Q10" s="144" t="s">
        <v>26</v>
      </c>
      <c r="R10" s="160" t="s">
        <v>27</v>
      </c>
    </row>
    <row r="11" spans="1:18">
      <c r="A11" s="240" t="s">
        <v>2</v>
      </c>
      <c r="B11" s="99" t="s">
        <v>28</v>
      </c>
      <c r="C11" s="99" t="s">
        <v>28</v>
      </c>
      <c r="D11" s="99" t="s">
        <v>20</v>
      </c>
      <c r="E11" s="99" t="s">
        <v>25</v>
      </c>
      <c r="F11" s="117" t="s">
        <v>25</v>
      </c>
      <c r="H11" s="1"/>
      <c r="J11" t="s">
        <v>29</v>
      </c>
      <c r="Q11" s="144" t="s">
        <v>30</v>
      </c>
      <c r="R11" s="160" t="s">
        <v>27</v>
      </c>
    </row>
    <row r="12" spans="1:18">
      <c r="A12" s="240" t="s">
        <v>3</v>
      </c>
      <c r="B12" s="99" t="s">
        <v>31</v>
      </c>
      <c r="C12" s="99" t="s">
        <v>31</v>
      </c>
      <c r="D12" s="99" t="s">
        <v>21</v>
      </c>
      <c r="E12" s="99" t="s">
        <v>20</v>
      </c>
      <c r="F12" s="117" t="s">
        <v>20</v>
      </c>
      <c r="H12" s="1"/>
      <c r="Q12" s="158" t="s">
        <v>32</v>
      </c>
      <c r="R12" s="161">
        <f>K7-K8</f>
        <v>0.99851044363876551</v>
      </c>
    </row>
    <row r="13" spans="1:18">
      <c r="A13" s="241" t="s">
        <v>4</v>
      </c>
      <c r="B13" s="119" t="s">
        <v>31</v>
      </c>
      <c r="C13" s="119" t="s">
        <v>31</v>
      </c>
      <c r="D13" s="119" t="s">
        <v>21</v>
      </c>
      <c r="E13" s="119" t="s">
        <v>20</v>
      </c>
      <c r="F13" s="120" t="s">
        <v>20</v>
      </c>
      <c r="H13" s="1"/>
    </row>
    <row r="15" spans="1:18">
      <c r="A15" s="99">
        <v>1</v>
      </c>
      <c r="B15" s="99">
        <v>1</v>
      </c>
      <c r="C15" s="99">
        <v>1</v>
      </c>
      <c r="D15" s="236">
        <v>0.66666666666666663</v>
      </c>
      <c r="E15" s="99">
        <v>1</v>
      </c>
      <c r="F15" s="99">
        <v>2</v>
      </c>
      <c r="G15" s="236">
        <v>0.5</v>
      </c>
      <c r="H15" s="236">
        <v>0.66666666666666663</v>
      </c>
      <c r="I15" s="99">
        <v>1</v>
      </c>
      <c r="J15" s="236">
        <v>0.4</v>
      </c>
      <c r="K15" s="236">
        <v>0.5</v>
      </c>
      <c r="L15" s="236">
        <v>0.66666666666666663</v>
      </c>
      <c r="M15" s="236">
        <v>0.4</v>
      </c>
      <c r="N15" s="236">
        <v>0.5</v>
      </c>
      <c r="O15" s="236">
        <v>0.66666666666666663</v>
      </c>
    </row>
    <row r="16" spans="1:18">
      <c r="A16" s="99">
        <v>0.5</v>
      </c>
      <c r="B16" s="99">
        <v>1</v>
      </c>
      <c r="C16" s="99">
        <v>1.5</v>
      </c>
      <c r="D16" s="99">
        <v>1</v>
      </c>
      <c r="E16" s="99">
        <v>1</v>
      </c>
      <c r="F16" s="99">
        <v>1</v>
      </c>
      <c r="G16" s="236">
        <v>0.5</v>
      </c>
      <c r="H16" s="236">
        <v>0.66666666666666663</v>
      </c>
      <c r="I16" s="99">
        <v>1</v>
      </c>
      <c r="J16" s="236">
        <v>0.4</v>
      </c>
      <c r="K16" s="236">
        <v>0.5</v>
      </c>
      <c r="L16" s="236">
        <v>0.66666666666666663</v>
      </c>
      <c r="M16" s="236">
        <v>0.4</v>
      </c>
      <c r="N16" s="236">
        <v>0.5</v>
      </c>
      <c r="O16" s="236">
        <v>0.66666666666666663</v>
      </c>
    </row>
    <row r="17" spans="1:17">
      <c r="A17" s="99">
        <v>1</v>
      </c>
      <c r="B17" s="99">
        <v>1.5</v>
      </c>
      <c r="C17" s="99">
        <v>2</v>
      </c>
      <c r="D17" s="99">
        <v>1</v>
      </c>
      <c r="E17" s="99">
        <v>1.5</v>
      </c>
      <c r="F17" s="99">
        <v>2</v>
      </c>
      <c r="G17" s="99">
        <v>1</v>
      </c>
      <c r="H17" s="99">
        <v>1</v>
      </c>
      <c r="I17" s="99">
        <v>1</v>
      </c>
      <c r="J17" s="99">
        <v>0.5</v>
      </c>
      <c r="K17" s="99">
        <v>1</v>
      </c>
      <c r="L17" s="99">
        <v>1.5</v>
      </c>
      <c r="M17" s="99">
        <v>0.5</v>
      </c>
      <c r="N17" s="99">
        <v>1</v>
      </c>
      <c r="O17" s="99">
        <v>1.5</v>
      </c>
    </row>
    <row r="18" spans="1:17">
      <c r="A18" s="99">
        <v>1.5</v>
      </c>
      <c r="B18" s="99">
        <v>2</v>
      </c>
      <c r="C18" s="99">
        <v>2.5</v>
      </c>
      <c r="D18" s="99">
        <v>1.5</v>
      </c>
      <c r="E18" s="99">
        <v>2</v>
      </c>
      <c r="F18" s="99">
        <v>2.5</v>
      </c>
      <c r="G18" s="236">
        <v>0.66666666666666663</v>
      </c>
      <c r="H18" s="99">
        <v>1</v>
      </c>
      <c r="I18" s="99">
        <v>2</v>
      </c>
      <c r="J18" s="99">
        <v>1</v>
      </c>
      <c r="K18" s="99">
        <v>1</v>
      </c>
      <c r="L18" s="99">
        <v>1</v>
      </c>
      <c r="M18" s="99">
        <v>1</v>
      </c>
      <c r="N18" s="99">
        <v>1</v>
      </c>
      <c r="O18" s="99">
        <v>1</v>
      </c>
    </row>
    <row r="19" spans="1:17">
      <c r="A19" s="99">
        <v>1.5</v>
      </c>
      <c r="B19" s="99">
        <v>2</v>
      </c>
      <c r="C19" s="99">
        <v>2.5</v>
      </c>
      <c r="D19" s="99">
        <v>1.5</v>
      </c>
      <c r="E19" s="99">
        <v>2</v>
      </c>
      <c r="F19" s="99">
        <v>2.5</v>
      </c>
      <c r="G19" s="236">
        <v>0.66666666666666663</v>
      </c>
      <c r="H19" s="99">
        <v>1</v>
      </c>
      <c r="I19" s="99">
        <v>2</v>
      </c>
      <c r="J19" s="99">
        <v>1</v>
      </c>
      <c r="K19" s="99">
        <v>1</v>
      </c>
      <c r="L19" s="99">
        <v>1</v>
      </c>
      <c r="M19" s="99">
        <v>1</v>
      </c>
      <c r="N19" s="99">
        <v>1</v>
      </c>
      <c r="O19" s="99">
        <v>1</v>
      </c>
    </row>
    <row r="21" spans="1:17">
      <c r="A21" s="224" t="s">
        <v>0</v>
      </c>
      <c r="B21" s="164" t="s">
        <v>6</v>
      </c>
      <c r="C21" s="162" t="s">
        <v>7</v>
      </c>
      <c r="D21" s="193" t="s">
        <v>8</v>
      </c>
      <c r="E21" s="162" t="s">
        <v>33</v>
      </c>
      <c r="H21" s="224" t="s">
        <v>2</v>
      </c>
      <c r="I21" s="193" t="s">
        <v>6</v>
      </c>
      <c r="J21" s="162" t="s">
        <v>7</v>
      </c>
      <c r="K21" s="163" t="s">
        <v>8</v>
      </c>
      <c r="L21" s="162" t="s">
        <v>33</v>
      </c>
    </row>
    <row r="22" spans="1:17">
      <c r="A22" s="156" t="s">
        <v>6</v>
      </c>
      <c r="B22" s="125">
        <v>1</v>
      </c>
      <c r="C22" s="125">
        <v>0.25</v>
      </c>
      <c r="D22" s="246">
        <v>0.33300000000000002</v>
      </c>
      <c r="E22" s="125">
        <v>0.220842251074368</v>
      </c>
      <c r="H22" s="242" t="s">
        <v>6</v>
      </c>
      <c r="I22" s="125">
        <v>1</v>
      </c>
      <c r="J22" s="125">
        <v>2</v>
      </c>
      <c r="K22" s="125">
        <v>3</v>
      </c>
      <c r="L22" s="125">
        <v>0.34507516030694801</v>
      </c>
      <c r="N22" s="143" t="s">
        <v>34</v>
      </c>
      <c r="O22" s="228" t="s">
        <v>35</v>
      </c>
      <c r="Q22" t="s">
        <v>36</v>
      </c>
    </row>
    <row r="23" spans="1:17">
      <c r="A23" s="164" t="s">
        <v>7</v>
      </c>
      <c r="B23" s="125">
        <v>4</v>
      </c>
      <c r="C23" s="125">
        <v>1</v>
      </c>
      <c r="D23" s="247">
        <v>3</v>
      </c>
      <c r="E23" s="125">
        <v>0.45391825861499302</v>
      </c>
      <c r="H23" s="164" t="s">
        <v>7</v>
      </c>
      <c r="I23" s="125">
        <v>0.5</v>
      </c>
      <c r="J23" s="125">
        <v>1</v>
      </c>
      <c r="K23" s="125">
        <v>5</v>
      </c>
      <c r="L23" s="125">
        <v>0.45538386068187398</v>
      </c>
      <c r="N23" s="232" t="s">
        <v>37</v>
      </c>
      <c r="O23" s="229">
        <v>0.15103321615419399</v>
      </c>
    </row>
    <row r="24" spans="1:17">
      <c r="A24" s="156" t="s">
        <v>8</v>
      </c>
      <c r="B24" s="245">
        <v>3</v>
      </c>
      <c r="C24" s="244">
        <f>1/3</f>
        <v>0.33333333333333331</v>
      </c>
      <c r="D24" s="136">
        <v>1</v>
      </c>
      <c r="E24" s="125">
        <v>0.32523949031063898</v>
      </c>
      <c r="H24" s="156" t="s">
        <v>8</v>
      </c>
      <c r="I24" s="125">
        <v>0.33300000000000002</v>
      </c>
      <c r="J24" s="125">
        <v>0.2</v>
      </c>
      <c r="K24" s="125">
        <v>1</v>
      </c>
      <c r="L24" s="125">
        <v>0.19954097901117801</v>
      </c>
      <c r="N24" s="233" t="s">
        <v>38</v>
      </c>
      <c r="O24" s="230">
        <v>0.14304303775896199</v>
      </c>
    </row>
    <row r="25" spans="1:17">
      <c r="N25" s="233" t="s">
        <v>39</v>
      </c>
      <c r="O25" s="230">
        <v>0.23416261549269399</v>
      </c>
    </row>
    <row r="26" spans="1:17">
      <c r="A26" s="224" t="s">
        <v>1</v>
      </c>
      <c r="B26" s="164" t="s">
        <v>6</v>
      </c>
      <c r="C26" s="162" t="s">
        <v>7</v>
      </c>
      <c r="D26" s="163" t="s">
        <v>8</v>
      </c>
      <c r="E26" s="162" t="s">
        <v>33</v>
      </c>
      <c r="H26" s="224" t="s">
        <v>3</v>
      </c>
      <c r="I26" s="193" t="s">
        <v>6</v>
      </c>
      <c r="J26" s="162" t="s">
        <v>7</v>
      </c>
      <c r="K26" s="163" t="s">
        <v>8</v>
      </c>
      <c r="L26" s="162" t="s">
        <v>33</v>
      </c>
      <c r="N26" s="234" t="s">
        <v>40</v>
      </c>
      <c r="O26" s="230">
        <v>0.23588056529707499</v>
      </c>
    </row>
    <row r="27" spans="1:17">
      <c r="A27" s="156" t="s">
        <v>6</v>
      </c>
      <c r="B27" s="125">
        <v>1</v>
      </c>
      <c r="C27" s="125">
        <v>0.25</v>
      </c>
      <c r="D27" s="244">
        <v>0.33300000000000002</v>
      </c>
      <c r="E27" s="125">
        <v>0.220842251074368</v>
      </c>
      <c r="H27" s="242" t="s">
        <v>6</v>
      </c>
      <c r="I27" s="125">
        <v>1</v>
      </c>
      <c r="J27" s="125">
        <v>0.25</v>
      </c>
      <c r="K27" s="125">
        <v>0.25</v>
      </c>
      <c r="L27" s="125">
        <v>0.191623967656851</v>
      </c>
      <c r="N27" s="235" t="s">
        <v>41</v>
      </c>
      <c r="O27" s="231">
        <v>0.23588056529707499</v>
      </c>
    </row>
    <row r="28" spans="1:17">
      <c r="A28" s="164" t="s">
        <v>7</v>
      </c>
      <c r="B28" s="125">
        <v>4</v>
      </c>
      <c r="C28" s="125">
        <v>1</v>
      </c>
      <c r="D28" s="245">
        <v>3</v>
      </c>
      <c r="E28" s="125">
        <v>0.45391825861499302</v>
      </c>
      <c r="H28" s="164" t="s">
        <v>7</v>
      </c>
      <c r="I28" s="125">
        <v>4</v>
      </c>
      <c r="J28" s="125">
        <v>1</v>
      </c>
      <c r="K28" s="125">
        <v>2</v>
      </c>
      <c r="L28" s="125">
        <v>0.39324526887764699</v>
      </c>
    </row>
    <row r="29" spans="1:17">
      <c r="A29" s="156" t="s">
        <v>8</v>
      </c>
      <c r="B29" s="245">
        <v>3</v>
      </c>
      <c r="C29" s="244">
        <f>1/3</f>
        <v>0.33333333333333331</v>
      </c>
      <c r="D29" s="125">
        <v>1</v>
      </c>
      <c r="E29" s="125">
        <v>0.32523949031063898</v>
      </c>
      <c r="H29" s="156" t="s">
        <v>8</v>
      </c>
      <c r="I29" s="125">
        <v>4</v>
      </c>
      <c r="J29" s="125">
        <v>0.5</v>
      </c>
      <c r="K29" s="125">
        <v>1</v>
      </c>
      <c r="L29" s="125">
        <v>0.41513076346550198</v>
      </c>
      <c r="N29" s="100" t="s">
        <v>42</v>
      </c>
      <c r="O29" s="99">
        <v>-4.36E-2</v>
      </c>
    </row>
    <row r="31" spans="1:17">
      <c r="A31" s="224" t="s">
        <v>4</v>
      </c>
      <c r="B31" s="164" t="s">
        <v>6</v>
      </c>
      <c r="C31" s="162" t="s">
        <v>7</v>
      </c>
      <c r="D31" s="163" t="s">
        <v>8</v>
      </c>
      <c r="E31" s="162" t="s">
        <v>33</v>
      </c>
    </row>
    <row r="32" spans="1:17">
      <c r="A32" s="156" t="s">
        <v>6</v>
      </c>
      <c r="B32" s="125">
        <v>1</v>
      </c>
      <c r="C32" s="125">
        <v>1</v>
      </c>
      <c r="D32" s="125">
        <v>0.2</v>
      </c>
      <c r="E32" s="125">
        <v>0.21725211204979999</v>
      </c>
    </row>
    <row r="33" spans="1:18">
      <c r="A33" s="164" t="s">
        <v>7</v>
      </c>
      <c r="B33" s="125">
        <v>1</v>
      </c>
      <c r="C33" s="125">
        <v>1</v>
      </c>
      <c r="D33" s="125">
        <v>0.2</v>
      </c>
      <c r="E33" s="125">
        <v>0.21725211204979999</v>
      </c>
      <c r="N33" s="125">
        <v>0.220842251074368</v>
      </c>
      <c r="O33" s="125">
        <v>0.220842251074368</v>
      </c>
      <c r="P33" s="125">
        <v>0.34507516030694801</v>
      </c>
      <c r="Q33" s="125">
        <v>0.191623967656851</v>
      </c>
      <c r="R33" s="125">
        <v>0.21725211204979999</v>
      </c>
    </row>
    <row r="34" spans="1:18">
      <c r="A34" s="156" t="s">
        <v>8</v>
      </c>
      <c r="B34" s="125">
        <v>5</v>
      </c>
      <c r="C34" s="125">
        <v>5</v>
      </c>
      <c r="D34" s="125">
        <v>1</v>
      </c>
      <c r="E34" s="125">
        <v>0.56549577590040001</v>
      </c>
      <c r="N34" s="125">
        <v>0.45391825861499302</v>
      </c>
      <c r="O34" s="125">
        <v>0.45391825861499302</v>
      </c>
      <c r="P34" s="125">
        <v>0.45538386068187398</v>
      </c>
      <c r="Q34" s="125">
        <v>0.39324526887764699</v>
      </c>
      <c r="R34" s="125">
        <v>0.21725211204979999</v>
      </c>
    </row>
    <row r="35" spans="1:18">
      <c r="N35" s="125">
        <v>0.32523949031063898</v>
      </c>
      <c r="O35" s="125">
        <v>0.32523949031063898</v>
      </c>
      <c r="P35" s="125">
        <v>0.19954097901117801</v>
      </c>
      <c r="Q35" s="125">
        <v>0.41513076346550198</v>
      </c>
      <c r="R35" s="125">
        <v>0.56549577590040001</v>
      </c>
    </row>
    <row r="37" spans="1:18">
      <c r="B37" s="162" t="s">
        <v>0</v>
      </c>
      <c r="C37" s="162" t="s">
        <v>1</v>
      </c>
      <c r="D37" s="162" t="s">
        <v>2</v>
      </c>
      <c r="E37" s="164" t="s">
        <v>3</v>
      </c>
      <c r="F37" s="162" t="s">
        <v>4</v>
      </c>
      <c r="G37" s="164" t="s">
        <v>43</v>
      </c>
      <c r="H37" s="162" t="s">
        <v>44</v>
      </c>
      <c r="I37" s="162" t="s">
        <v>45</v>
      </c>
      <c r="J37" s="162" t="s">
        <v>46</v>
      </c>
      <c r="K37" s="162" t="s">
        <v>47</v>
      </c>
      <c r="L37" s="162" t="s">
        <v>48</v>
      </c>
      <c r="M37" s="248" t="s">
        <v>49</v>
      </c>
      <c r="O37" s="125">
        <v>0.220842251074368</v>
      </c>
      <c r="P37" s="125">
        <v>0.45391825861499302</v>
      </c>
      <c r="Q37" s="125">
        <v>0.32523949031063898</v>
      </c>
    </row>
    <row r="38" spans="1:18">
      <c r="A38" s="156" t="s">
        <v>6</v>
      </c>
      <c r="B38" s="125">
        <v>0.220842251074368</v>
      </c>
      <c r="C38" s="125">
        <v>0.220842251074368</v>
      </c>
      <c r="D38" s="125">
        <v>0.34507516030694801</v>
      </c>
      <c r="E38" s="125">
        <v>0.191623967656851</v>
      </c>
      <c r="F38" s="136">
        <v>0.21725211204979999</v>
      </c>
      <c r="G38" s="125">
        <f>B38*$O$23</f>
        <v>3.33545154424938E-2</v>
      </c>
      <c r="H38" s="125">
        <f>C38*$O$24</f>
        <v>3.1589946459204987E-2</v>
      </c>
      <c r="I38" s="136">
        <f>D38*$O$25</f>
        <v>8.0803702079035603E-2</v>
      </c>
      <c r="J38" s="136">
        <f>E38*$O$26</f>
        <v>4.5200369815366424E-2</v>
      </c>
      <c r="K38" s="136">
        <f>F38*$O$27</f>
        <v>5.12455510022903E-2</v>
      </c>
      <c r="L38" s="136">
        <f>SUM(G38:K38)</f>
        <v>0.24219408479839111</v>
      </c>
      <c r="M38" s="243">
        <v>3</v>
      </c>
      <c r="O38" s="125">
        <v>0.220842251074368</v>
      </c>
      <c r="P38" s="125">
        <v>0.45391825861499302</v>
      </c>
      <c r="Q38" s="125">
        <v>0.32523949031063898</v>
      </c>
    </row>
    <row r="39" spans="1:18">
      <c r="A39" s="164" t="s">
        <v>7</v>
      </c>
      <c r="B39" s="125">
        <v>0.45391825861499302</v>
      </c>
      <c r="C39" s="125">
        <v>0.45391825861499302</v>
      </c>
      <c r="D39" s="125">
        <v>0.45538386068187398</v>
      </c>
      <c r="E39" s="125">
        <v>0.39324526887764699</v>
      </c>
      <c r="F39" s="136">
        <v>0.21725211204979999</v>
      </c>
      <c r="G39" s="125">
        <f>B39*$O$23</f>
        <v>6.8556734469733566E-2</v>
      </c>
      <c r="H39" s="125">
        <f>C39*$O$24</f>
        <v>6.4929846606546715E-2</v>
      </c>
      <c r="I39" s="136">
        <f t="shared" ref="I39:I40" si="7">D39*$O$25</f>
        <v>0.10663387587042818</v>
      </c>
      <c r="J39" s="136">
        <f t="shared" ref="J39:J40" si="8">E39*$O$26</f>
        <v>9.2758916323259624E-2</v>
      </c>
      <c r="K39" s="136">
        <f t="shared" ref="K39:K40" si="9">F39*$O$27</f>
        <v>5.12455510022903E-2</v>
      </c>
      <c r="L39" s="136">
        <f t="shared" ref="L39:L40" si="10">SUM(G39:K39)</f>
        <v>0.38412492427225836</v>
      </c>
      <c r="M39" s="243">
        <v>1</v>
      </c>
      <c r="O39" s="125">
        <v>0.34507516030694801</v>
      </c>
      <c r="P39" s="125">
        <v>0.45538386068187398</v>
      </c>
      <c r="Q39" s="125">
        <v>0.19954097901117801</v>
      </c>
    </row>
    <row r="40" spans="1:18">
      <c r="A40" s="156" t="s">
        <v>8</v>
      </c>
      <c r="B40" s="125">
        <v>0.32523949031063898</v>
      </c>
      <c r="C40" s="125">
        <v>0.32523949031063898</v>
      </c>
      <c r="D40" s="125">
        <v>0.19954097901117801</v>
      </c>
      <c r="E40" s="125">
        <v>0.41513076346550198</v>
      </c>
      <c r="F40" s="136">
        <v>0.56549577590040001</v>
      </c>
      <c r="G40" s="125">
        <f t="shared" ref="G40" si="11">B40*$O$23</f>
        <v>4.9121966241966616E-2</v>
      </c>
      <c r="H40" s="125">
        <f t="shared" ref="H40" si="12">C40*$O$24</f>
        <v>4.6523244693210286E-2</v>
      </c>
      <c r="I40" s="136">
        <f t="shared" si="7"/>
        <v>4.6725037543230201E-2</v>
      </c>
      <c r="J40" s="136">
        <f t="shared" si="8"/>
        <v>9.7921279158448934E-2</v>
      </c>
      <c r="K40" s="136">
        <f t="shared" si="9"/>
        <v>0.1333894632924944</v>
      </c>
      <c r="L40" s="136">
        <f t="shared" si="10"/>
        <v>0.37368099092935042</v>
      </c>
      <c r="M40" s="243">
        <v>2</v>
      </c>
      <c r="O40" s="125">
        <v>0.191623967656851</v>
      </c>
      <c r="P40" s="125">
        <v>0.39324526887764699</v>
      </c>
      <c r="Q40" s="125">
        <v>0.41513076346550198</v>
      </c>
    </row>
    <row r="41" spans="1:18">
      <c r="O41" s="125">
        <v>0.21725211204979999</v>
      </c>
      <c r="P41" s="125">
        <v>0.21725211204979999</v>
      </c>
      <c r="Q41" s="125">
        <v>0.56549577590040001</v>
      </c>
    </row>
    <row r="42" spans="1:18">
      <c r="B42" s="101" t="s">
        <v>0</v>
      </c>
      <c r="C42" s="101" t="s">
        <v>1</v>
      </c>
      <c r="D42" s="101" t="s">
        <v>2</v>
      </c>
      <c r="E42" s="156" t="s">
        <v>3</v>
      </c>
      <c r="F42" s="101" t="s">
        <v>4</v>
      </c>
      <c r="H42" s="68"/>
      <c r="I42" s="392" t="s">
        <v>50</v>
      </c>
      <c r="J42" s="392"/>
      <c r="K42" s="391" t="s">
        <v>51</v>
      </c>
      <c r="L42" s="392"/>
      <c r="M42" s="391" t="s">
        <v>52</v>
      </c>
      <c r="N42" s="393"/>
    </row>
    <row r="43" spans="1:18">
      <c r="A43" s="101" t="s">
        <v>6</v>
      </c>
      <c r="B43" s="141">
        <v>0.3</v>
      </c>
      <c r="C43" s="125">
        <v>5</v>
      </c>
      <c r="D43" s="125">
        <v>60</v>
      </c>
      <c r="E43" s="136">
        <v>90</v>
      </c>
      <c r="F43" s="125">
        <v>3</v>
      </c>
      <c r="H43" s="69"/>
      <c r="I43" s="65" t="s">
        <v>53</v>
      </c>
      <c r="J43" s="17" t="s">
        <v>54</v>
      </c>
      <c r="K43" s="65" t="s">
        <v>53</v>
      </c>
      <c r="L43" s="17" t="s">
        <v>54</v>
      </c>
      <c r="M43" s="65" t="s">
        <v>53</v>
      </c>
      <c r="N43" s="17" t="s">
        <v>54</v>
      </c>
    </row>
    <row r="44" spans="1:18">
      <c r="A44" s="101" t="s">
        <v>7</v>
      </c>
      <c r="B44" s="196">
        <v>2</v>
      </c>
      <c r="C44" s="166">
        <v>16</v>
      </c>
      <c r="D44" s="166">
        <v>68</v>
      </c>
      <c r="E44" s="167">
        <v>450</v>
      </c>
      <c r="F44" s="125">
        <v>3</v>
      </c>
      <c r="H44" s="16" t="s">
        <v>6</v>
      </c>
      <c r="I44" s="258">
        <v>0.47129500580905098</v>
      </c>
      <c r="J44" s="54">
        <v>0.29526385520475901</v>
      </c>
      <c r="K44" s="55">
        <v>0.49176529699990101</v>
      </c>
      <c r="L44" s="42">
        <v>0.28184262390814702</v>
      </c>
      <c r="M44" s="42">
        <v>0.451519414041745</v>
      </c>
      <c r="N44" s="42">
        <v>0.30716926091546098</v>
      </c>
    </row>
    <row r="45" spans="1:18">
      <c r="A45" s="164" t="s">
        <v>8</v>
      </c>
      <c r="B45" s="249">
        <v>1.1499999999999999</v>
      </c>
      <c r="C45" s="249">
        <v>10.5</v>
      </c>
      <c r="D45" s="249">
        <v>46</v>
      </c>
      <c r="E45" s="250">
        <v>434</v>
      </c>
      <c r="F45" s="166">
        <v>8</v>
      </c>
      <c r="H45" s="19" t="s">
        <v>7</v>
      </c>
      <c r="I45" s="11">
        <v>0</v>
      </c>
      <c r="J45" s="11">
        <v>0.58900285852962497</v>
      </c>
      <c r="K45" s="11">
        <v>0</v>
      </c>
      <c r="L45" s="11">
        <v>0.59646595150647197</v>
      </c>
      <c r="M45" s="11">
        <v>0</v>
      </c>
      <c r="N45" s="11">
        <v>0.581962585608651</v>
      </c>
    </row>
    <row r="46" spans="1:18">
      <c r="A46" s="156" t="s">
        <v>55</v>
      </c>
      <c r="B46" s="125">
        <f>MAX(B43:B45)</f>
        <v>2</v>
      </c>
      <c r="C46" s="125">
        <f t="shared" ref="C46:F46" si="13">MAX(C43:C45)</f>
        <v>16</v>
      </c>
      <c r="D46" s="125">
        <f t="shared" si="13"/>
        <v>68</v>
      </c>
      <c r="E46" s="125">
        <f t="shared" si="13"/>
        <v>450</v>
      </c>
      <c r="F46" s="125">
        <f t="shared" si="13"/>
        <v>8</v>
      </c>
      <c r="H46" s="19" t="s">
        <v>8</v>
      </c>
      <c r="I46" s="11">
        <v>0.41751697128396198</v>
      </c>
      <c r="J46" s="11">
        <v>0.30079403783945002</v>
      </c>
      <c r="K46" s="11">
        <v>0.41111224327087498</v>
      </c>
      <c r="L46" s="11">
        <v>0.30356694491069097</v>
      </c>
      <c r="M46" s="11">
        <v>0.42326574615655699</v>
      </c>
      <c r="N46" s="11">
        <v>0.29826990638257</v>
      </c>
    </row>
    <row r="47" spans="1:18">
      <c r="A47" s="156" t="s">
        <v>56</v>
      </c>
      <c r="B47" s="125">
        <f>MIN(B43:B45)</f>
        <v>0.3</v>
      </c>
      <c r="C47" s="125">
        <f t="shared" ref="C47:F47" si="14">MIN(C43:C45)</f>
        <v>5</v>
      </c>
      <c r="D47" s="125">
        <f t="shared" si="14"/>
        <v>46</v>
      </c>
      <c r="E47" s="125">
        <f t="shared" si="14"/>
        <v>90</v>
      </c>
      <c r="F47" s="125">
        <f t="shared" si="14"/>
        <v>3</v>
      </c>
      <c r="H47" s="1"/>
      <c r="I47" s="2"/>
      <c r="J47" s="2"/>
      <c r="K47" s="2"/>
      <c r="L47" s="2"/>
      <c r="M47" s="2"/>
      <c r="N47" s="2"/>
    </row>
    <row r="48" spans="1:18">
      <c r="A48" s="164" t="s">
        <v>57</v>
      </c>
      <c r="B48" s="166">
        <f>B46-B47</f>
        <v>1.7</v>
      </c>
      <c r="C48" s="166">
        <f t="shared" ref="C48:F48" si="15">C46-C47</f>
        <v>11</v>
      </c>
      <c r="D48" s="166">
        <f t="shared" si="15"/>
        <v>22</v>
      </c>
      <c r="E48" s="166">
        <f t="shared" si="15"/>
        <v>360</v>
      </c>
      <c r="F48" s="166">
        <f t="shared" si="15"/>
        <v>5</v>
      </c>
      <c r="H48" s="1"/>
      <c r="I48" s="2"/>
      <c r="J48" s="2"/>
      <c r="K48" s="2"/>
      <c r="L48" s="2"/>
      <c r="M48" s="2"/>
      <c r="N48" s="2"/>
    </row>
    <row r="49" spans="1:14">
      <c r="A49" s="388" t="s">
        <v>58</v>
      </c>
      <c r="B49" s="388"/>
      <c r="C49" s="388"/>
      <c r="D49" s="388"/>
      <c r="E49" s="388"/>
      <c r="F49" s="388"/>
      <c r="H49" s="68"/>
      <c r="I49" s="392" t="s">
        <v>50</v>
      </c>
      <c r="J49" s="392"/>
      <c r="K49" s="391" t="s">
        <v>51</v>
      </c>
      <c r="L49" s="392"/>
      <c r="M49" s="391" t="s">
        <v>52</v>
      </c>
      <c r="N49" s="393"/>
    </row>
    <row r="50" spans="1:14">
      <c r="A50" s="242" t="s">
        <v>6</v>
      </c>
      <c r="B50" s="155">
        <f>((B43-B47)/B48)+0.0001</f>
        <v>1E-4</v>
      </c>
      <c r="C50" s="155">
        <f>((C43-C47)/C48)+0.0001</f>
        <v>1E-4</v>
      </c>
      <c r="D50" s="155">
        <f t="shared" ref="D50:E50" si="16">((D43-D47)/D48)+0.0001</f>
        <v>0.63646363636363634</v>
      </c>
      <c r="E50" s="155">
        <f t="shared" si="16"/>
        <v>1E-4</v>
      </c>
      <c r="F50" s="155">
        <f>((F46-F43)/F48)+0.0001</f>
        <v>1.0001</v>
      </c>
      <c r="H50" s="69"/>
      <c r="I50" s="65" t="s">
        <v>31</v>
      </c>
      <c r="J50" s="17" t="s">
        <v>59</v>
      </c>
      <c r="K50" s="65" t="s">
        <v>31</v>
      </c>
      <c r="L50" s="17" t="s">
        <v>59</v>
      </c>
      <c r="M50" s="65" t="s">
        <v>31</v>
      </c>
      <c r="N50" s="17" t="s">
        <v>59</v>
      </c>
    </row>
    <row r="51" spans="1:14">
      <c r="A51" s="164" t="s">
        <v>7</v>
      </c>
      <c r="B51" s="155">
        <f>((B44-B47)/B48)+0.0001</f>
        <v>1.0001</v>
      </c>
      <c r="C51" s="155">
        <f>((C44-C47)/C48)+0.0001</f>
        <v>1.0001</v>
      </c>
      <c r="D51" s="155">
        <f t="shared" ref="D51" si="17">((D44-D47)/D48)+0.0001</f>
        <v>1.0001</v>
      </c>
      <c r="E51" s="155">
        <f>((E44-E47)/E48)+0.0001</f>
        <v>1.0001</v>
      </c>
      <c r="F51" s="155">
        <f>((F46-F44)/F48)+0.0001</f>
        <v>1.0001</v>
      </c>
      <c r="H51" s="16" t="s">
        <v>6</v>
      </c>
      <c r="I51" s="258">
        <v>0.38518093028662997</v>
      </c>
      <c r="J51" s="54">
        <v>0.213522888577766</v>
      </c>
      <c r="K51" s="55">
        <v>0.36432230887362799</v>
      </c>
      <c r="L51" s="42">
        <v>0.203636445549081</v>
      </c>
      <c r="M51" s="42">
        <v>0.404868651733581</v>
      </c>
      <c r="N51" s="42">
        <v>0.22266931915720001</v>
      </c>
    </row>
    <row r="52" spans="1:14">
      <c r="A52" s="162" t="s">
        <v>8</v>
      </c>
      <c r="B52" s="251">
        <f>((B45-B47)/B48)+0.0001</f>
        <v>0.50009999999999999</v>
      </c>
      <c r="C52" s="251">
        <f t="shared" ref="C52:E52" si="18">((C45-C47)/C48)+0.0001</f>
        <v>0.50009999999999999</v>
      </c>
      <c r="D52" s="251">
        <f t="shared" si="18"/>
        <v>1E-4</v>
      </c>
      <c r="E52" s="251">
        <f t="shared" si="18"/>
        <v>0.95565555555555559</v>
      </c>
      <c r="F52" s="251">
        <f>((F46-F45)/F48)+0.0001</f>
        <v>1E-4</v>
      </c>
      <c r="H52" s="19" t="s">
        <v>7</v>
      </c>
      <c r="I52" s="11">
        <v>1</v>
      </c>
      <c r="J52" s="11">
        <v>0.55434439191699802</v>
      </c>
      <c r="K52" s="11">
        <v>1</v>
      </c>
      <c r="L52" s="11">
        <v>0.55894585807457497</v>
      </c>
      <c r="M52" s="11">
        <v>1</v>
      </c>
      <c r="N52" s="11">
        <v>0.54997915547120402</v>
      </c>
    </row>
    <row r="53" spans="1:14">
      <c r="A53" s="164" t="s">
        <v>60</v>
      </c>
      <c r="B53" s="166">
        <f>SUM(B50:B52)</f>
        <v>1.5003</v>
      </c>
      <c r="C53" s="166">
        <f t="shared" ref="C53:F53" si="19">SUM(C50:C52)</f>
        <v>1.5003</v>
      </c>
      <c r="D53" s="166">
        <f t="shared" si="19"/>
        <v>1.6366636363636362</v>
      </c>
      <c r="E53" s="166">
        <f t="shared" si="19"/>
        <v>1.9558555555555555</v>
      </c>
      <c r="F53" s="166">
        <f t="shared" si="19"/>
        <v>2.0003000000000002</v>
      </c>
      <c r="H53" s="19" t="s">
        <v>8</v>
      </c>
      <c r="I53" s="11">
        <v>0.41875181365593001</v>
      </c>
      <c r="J53" s="11">
        <v>0.23213271950523701</v>
      </c>
      <c r="K53" s="11">
        <v>0.42475973825834901</v>
      </c>
      <c r="L53" s="11">
        <v>0.23741769637634499</v>
      </c>
      <c r="M53" s="11">
        <v>0.41338207659308301</v>
      </c>
      <c r="N53" s="11">
        <v>0.227351525371596</v>
      </c>
    </row>
    <row r="54" spans="1:14">
      <c r="A54" s="388" t="s">
        <v>61</v>
      </c>
      <c r="B54" s="388"/>
      <c r="C54" s="388"/>
      <c r="D54" s="388"/>
      <c r="E54" s="388"/>
      <c r="F54" s="388"/>
    </row>
    <row r="55" spans="1:14">
      <c r="A55" s="252" t="s">
        <v>6</v>
      </c>
      <c r="B55" s="154">
        <f>B50/B53</f>
        <v>6.6653335999466775E-5</v>
      </c>
      <c r="C55" s="154">
        <f>C50/C53</f>
        <v>6.6653335999466775E-5</v>
      </c>
      <c r="D55" s="154">
        <f>D50/D53</f>
        <v>0.38887870557064541</v>
      </c>
      <c r="E55" s="154">
        <f>E50/E53</f>
        <v>5.1128520056582233E-5</v>
      </c>
      <c r="F55" s="154">
        <f>F50/F53</f>
        <v>0.49997500374943754</v>
      </c>
    </row>
    <row r="56" spans="1:14">
      <c r="A56" s="101" t="s">
        <v>7</v>
      </c>
      <c r="B56" s="154">
        <f>B51/B53</f>
        <v>0.66660001333066721</v>
      </c>
      <c r="C56" s="154">
        <f t="shared" ref="C56:F56" si="20">C51/C53</f>
        <v>0.66660001333066721</v>
      </c>
      <c r="D56" s="154">
        <f t="shared" si="20"/>
        <v>0.61106019451989357</v>
      </c>
      <c r="E56" s="154">
        <f t="shared" si="20"/>
        <v>0.51133632908587889</v>
      </c>
      <c r="F56" s="154">
        <f t="shared" si="20"/>
        <v>0.49997500374943754</v>
      </c>
    </row>
    <row r="57" spans="1:14">
      <c r="A57" s="162" t="s">
        <v>8</v>
      </c>
      <c r="B57" s="253">
        <f>B52/B53</f>
        <v>0.33333333333333331</v>
      </c>
      <c r="C57" s="253">
        <f t="shared" ref="C57:F57" si="21">C52/C53</f>
        <v>0.33333333333333331</v>
      </c>
      <c r="D57" s="253">
        <f t="shared" si="21"/>
        <v>6.1099909461043264E-5</v>
      </c>
      <c r="E57" s="253">
        <f t="shared" si="21"/>
        <v>0.4886125423940646</v>
      </c>
      <c r="F57" s="253">
        <f t="shared" si="21"/>
        <v>4.9992501124831273E-5</v>
      </c>
    </row>
    <row r="58" spans="1:14">
      <c r="A58" s="388" t="s">
        <v>62</v>
      </c>
      <c r="B58" s="389"/>
      <c r="C58" s="389"/>
      <c r="D58" s="389"/>
      <c r="E58" s="389"/>
      <c r="F58" s="389"/>
    </row>
    <row r="59" spans="1:14">
      <c r="A59" s="242" t="s">
        <v>6</v>
      </c>
      <c r="B59" s="125">
        <f>LOG(B55)</f>
        <v>-4.1761781092673305</v>
      </c>
      <c r="C59" s="125">
        <f t="shared" ref="C59:F59" si="22">LOG(C55)</f>
        <v>-4.1761781092673305</v>
      </c>
      <c r="D59" s="125">
        <f t="shared" si="22"/>
        <v>-0.41018583753231475</v>
      </c>
      <c r="E59" s="125">
        <f t="shared" si="22"/>
        <v>-4.2913367779865839</v>
      </c>
      <c r="F59" s="125">
        <f t="shared" si="22"/>
        <v>-0.30105170767407968</v>
      </c>
    </row>
    <row r="60" spans="1:14">
      <c r="A60" s="164" t="s">
        <v>7</v>
      </c>
      <c r="B60" s="125">
        <f>LOG(B56)</f>
        <v>-0.17613468199046753</v>
      </c>
      <c r="C60" s="125">
        <f>LOG(C56)</f>
        <v>-0.17613468199046753</v>
      </c>
      <c r="D60" s="125">
        <f t="shared" ref="D60:F60" si="23">LOG(D56)</f>
        <v>-0.21391600602556585</v>
      </c>
      <c r="E60" s="125">
        <f t="shared" si="23"/>
        <v>-0.29129335070972145</v>
      </c>
      <c r="F60" s="125">
        <f t="shared" si="23"/>
        <v>-0.30105170767407968</v>
      </c>
    </row>
    <row r="61" spans="1:14">
      <c r="A61" s="162" t="s">
        <v>8</v>
      </c>
      <c r="B61" s="166">
        <f t="shared" ref="B61:F61" si="24">LOG(B57)</f>
        <v>-0.47712125471966244</v>
      </c>
      <c r="C61" s="166">
        <f t="shared" si="24"/>
        <v>-0.47712125471966244</v>
      </c>
      <c r="D61" s="166">
        <f t="shared" si="24"/>
        <v>-4.2139594333024286</v>
      </c>
      <c r="E61" s="166">
        <f t="shared" si="24"/>
        <v>-0.31103538913781809</v>
      </c>
      <c r="F61" s="166">
        <f t="shared" si="24"/>
        <v>-4.3010951349509421</v>
      </c>
    </row>
    <row r="62" spans="1:14">
      <c r="A62" s="388" t="s">
        <v>63</v>
      </c>
      <c r="B62" s="389"/>
      <c r="C62" s="389"/>
      <c r="D62" s="389"/>
      <c r="E62" s="389"/>
      <c r="F62" s="389"/>
    </row>
    <row r="63" spans="1:14">
      <c r="A63" s="242" t="s">
        <v>6</v>
      </c>
      <c r="B63" s="125">
        <f>B55*B59</f>
        <v>-2.7835620271061327E-4</v>
      </c>
      <c r="C63" s="125">
        <f t="shared" ref="C63:F63" si="25">C55*C59</f>
        <v>-2.7835620271061327E-4</v>
      </c>
      <c r="D63" s="125">
        <f t="shared" si="25"/>
        <v>-0.15951253754297762</v>
      </c>
      <c r="E63" s="125">
        <f t="shared" si="25"/>
        <v>-2.1940969852283604E-4</v>
      </c>
      <c r="F63" s="125">
        <f t="shared" si="25"/>
        <v>-0.15051832867312256</v>
      </c>
      <c r="H63">
        <f>LN(3)</f>
        <v>1.0986122886681098</v>
      </c>
      <c r="I63">
        <f>-1/H63</f>
        <v>-0.91023922662683732</v>
      </c>
    </row>
    <row r="64" spans="1:14">
      <c r="A64" s="164" t="s">
        <v>7</v>
      </c>
      <c r="B64" s="125">
        <f>B56*B60</f>
        <v>-0.11741138136283849</v>
      </c>
      <c r="C64" s="125">
        <f t="shared" ref="C64:F64" si="26">C56*C60</f>
        <v>-0.11741138136283849</v>
      </c>
      <c r="D64" s="125">
        <f t="shared" si="26"/>
        <v>-0.13071555625290099</v>
      </c>
      <c r="E64" s="125">
        <f t="shared" si="26"/>
        <v>-0.14894887263903447</v>
      </c>
      <c r="F64" s="125">
        <f t="shared" si="26"/>
        <v>-0.15051832867312256</v>
      </c>
    </row>
    <row r="65" spans="1:7">
      <c r="A65" s="164" t="s">
        <v>8</v>
      </c>
      <c r="B65" s="166">
        <f t="shared" ref="B65:F65" si="27">B57*B61</f>
        <v>-0.15904041823988746</v>
      </c>
      <c r="C65" s="166">
        <f t="shared" si="27"/>
        <v>-0.15904041823988746</v>
      </c>
      <c r="D65" s="166">
        <f t="shared" si="27"/>
        <v>-2.5747253984728755E-4</v>
      </c>
      <c r="E65" s="166">
        <f t="shared" si="27"/>
        <v>-0.15197579226115651</v>
      </c>
      <c r="F65" s="166">
        <f t="shared" si="27"/>
        <v>-2.1502250337204128E-4</v>
      </c>
    </row>
    <row r="66" spans="1:7">
      <c r="A66" s="162" t="s">
        <v>60</v>
      </c>
      <c r="B66" s="166">
        <f>SUM(B63:B65)</f>
        <v>-0.27673015580543658</v>
      </c>
      <c r="C66" s="166">
        <f t="shared" ref="C66:F66" si="28">SUM(C63:C65)</f>
        <v>-0.27673015580543658</v>
      </c>
      <c r="D66" s="166">
        <f t="shared" si="28"/>
        <v>-0.29048556633572592</v>
      </c>
      <c r="E66" s="166">
        <f t="shared" si="28"/>
        <v>-0.30114407459871384</v>
      </c>
      <c r="F66" s="166">
        <f t="shared" si="28"/>
        <v>-0.30125167984961715</v>
      </c>
    </row>
    <row r="67" spans="1:7">
      <c r="A67" s="243" t="s">
        <v>64</v>
      </c>
      <c r="B67" s="254">
        <f>B66*$I$63</f>
        <v>0.25189064300466479</v>
      </c>
      <c r="C67" s="254">
        <f>C66*$I$63</f>
        <v>0.25189064300466479</v>
      </c>
      <c r="D67" s="254">
        <f t="shared" ref="D67:F67" si="29">D66*$I$63</f>
        <v>0.26441135724768999</v>
      </c>
      <c r="E67" s="254">
        <f t="shared" si="29"/>
        <v>0.27411314956598787</v>
      </c>
      <c r="F67" s="254">
        <f t="shared" si="29"/>
        <v>0.27421109608635108</v>
      </c>
    </row>
    <row r="68" spans="1:7">
      <c r="A68" s="255" t="s">
        <v>65</v>
      </c>
      <c r="B68" s="256">
        <f>1-B67</f>
        <v>0.74810935699533521</v>
      </c>
      <c r="C68" s="256">
        <f t="shared" ref="C68:F68" si="30">1-C67</f>
        <v>0.74810935699533521</v>
      </c>
      <c r="D68" s="256">
        <f t="shared" si="30"/>
        <v>0.73558864275230995</v>
      </c>
      <c r="E68" s="256">
        <f t="shared" si="30"/>
        <v>0.72588685043401213</v>
      </c>
      <c r="F68" s="256">
        <f t="shared" si="30"/>
        <v>0.72578890391364892</v>
      </c>
      <c r="G68" s="99">
        <f>SUM(B68:F68)</f>
        <v>3.6834831110906414</v>
      </c>
    </row>
    <row r="69" spans="1:7">
      <c r="A69" s="257" t="s">
        <v>51</v>
      </c>
      <c r="B69" s="259">
        <f>B68/$G$68</f>
        <v>0.20309835403964366</v>
      </c>
      <c r="C69" s="259">
        <f t="shared" ref="C69:F69" si="31">C68/$G$68</f>
        <v>0.20309835403964366</v>
      </c>
      <c r="D69" s="259">
        <f t="shared" si="31"/>
        <v>0.19969920332674193</v>
      </c>
      <c r="E69" s="259">
        <f t="shared" si="31"/>
        <v>0.1970653396640889</v>
      </c>
      <c r="F69" s="259">
        <f t="shared" si="31"/>
        <v>0.19703874892988182</v>
      </c>
    </row>
    <row r="70" spans="1:7">
      <c r="A70" s="257" t="s">
        <v>52</v>
      </c>
      <c r="B70" s="145">
        <v>0.15103321615419399</v>
      </c>
      <c r="C70" s="145">
        <v>0.14304303775896199</v>
      </c>
      <c r="D70" s="145">
        <v>0.23416261549269399</v>
      </c>
      <c r="E70" s="145">
        <v>0.23588056529707499</v>
      </c>
      <c r="F70" s="145">
        <v>0.23588056529707499</v>
      </c>
    </row>
    <row r="71" spans="1:7">
      <c r="B71" s="99">
        <f>(B69)^0.5*(B70)^0.5</f>
        <v>0.17514165011849842</v>
      </c>
      <c r="C71" s="99">
        <f>(C69)^0.5*(C70)^0.5</f>
        <v>0.17044590205011026</v>
      </c>
      <c r="D71" s="99">
        <f t="shared" ref="D71:F71" si="32">(D69)^0.5*(D70)^0.5</f>
        <v>0.21624543408543265</v>
      </c>
      <c r="E71" s="99">
        <f t="shared" si="32"/>
        <v>0.21560121456157288</v>
      </c>
      <c r="F71" s="99">
        <f t="shared" si="32"/>
        <v>0.21558666814765926</v>
      </c>
      <c r="G71">
        <f>SUM(B71:F71)</f>
        <v>0.99302086896327346</v>
      </c>
    </row>
    <row r="72" spans="1:7">
      <c r="A72" s="197" t="s">
        <v>50</v>
      </c>
      <c r="B72" s="260">
        <f>B71/$G$71</f>
        <v>0.17637257744779175</v>
      </c>
      <c r="C72" s="260">
        <f t="shared" ref="C72:F72" si="33">C71/$G$71</f>
        <v>0.17164382680905585</v>
      </c>
      <c r="D72" s="260">
        <f t="shared" si="33"/>
        <v>0.21776524627442689</v>
      </c>
      <c r="E72" s="260">
        <f t="shared" si="33"/>
        <v>0.21711649905873914</v>
      </c>
      <c r="F72" s="260">
        <f t="shared" si="33"/>
        <v>0.21710185040998636</v>
      </c>
    </row>
  </sheetData>
  <mergeCells count="10">
    <mergeCell ref="A49:F49"/>
    <mergeCell ref="A54:F54"/>
    <mergeCell ref="A58:F58"/>
    <mergeCell ref="A62:F62"/>
    <mergeCell ref="I42:J42"/>
    <mergeCell ref="K42:L42"/>
    <mergeCell ref="M42:N42"/>
    <mergeCell ref="I49:J49"/>
    <mergeCell ref="K49:L49"/>
    <mergeCell ref="M49:N4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5083B-FEDF-49F8-9A61-B077A64307E1}">
  <dimension ref="A1:AS81"/>
  <sheetViews>
    <sheetView topLeftCell="M64" workbookViewId="0">
      <selection activeCell="N8" sqref="N8"/>
    </sheetView>
  </sheetViews>
  <sheetFormatPr defaultRowHeight="14.5"/>
  <cols>
    <col min="1" max="1" width="12" customWidth="1"/>
    <col min="2" max="2" width="15.7265625" customWidth="1"/>
    <col min="3" max="3" width="16" customWidth="1"/>
    <col min="4" max="4" width="9.81640625" customWidth="1"/>
    <col min="5" max="5" width="12.7265625" customWidth="1"/>
    <col min="6" max="6" width="14.81640625" customWidth="1"/>
    <col min="9" max="10" width="15.453125" customWidth="1"/>
    <col min="11" max="11" width="16.453125" customWidth="1"/>
    <col min="12" max="12" width="13.81640625" customWidth="1"/>
    <col min="13" max="13" width="15.7265625" customWidth="1"/>
    <col min="14" max="14" width="15.453125" customWidth="1"/>
    <col min="15" max="15" width="13.7265625" customWidth="1"/>
    <col min="19" max="19" width="13.1796875" customWidth="1"/>
  </cols>
  <sheetData>
    <row r="1" spans="1:28" ht="29">
      <c r="A1" s="224" t="s">
        <v>5</v>
      </c>
      <c r="B1" s="193" t="s">
        <v>0</v>
      </c>
      <c r="C1" s="162" t="s">
        <v>1</v>
      </c>
      <c r="D1" s="162" t="s">
        <v>2</v>
      </c>
      <c r="E1" s="162" t="s">
        <v>3</v>
      </c>
      <c r="F1" s="162" t="s">
        <v>4</v>
      </c>
      <c r="I1" s="101" t="s">
        <v>0</v>
      </c>
      <c r="J1" s="101" t="s">
        <v>1</v>
      </c>
      <c r="K1" s="101" t="s">
        <v>2</v>
      </c>
      <c r="L1" s="156" t="s">
        <v>3</v>
      </c>
      <c r="M1" s="156" t="s">
        <v>4</v>
      </c>
      <c r="N1" s="162" t="s">
        <v>72</v>
      </c>
      <c r="O1" s="162" t="s">
        <v>73</v>
      </c>
      <c r="P1" s="162" t="s">
        <v>74</v>
      </c>
      <c r="Q1" s="128" t="s">
        <v>115</v>
      </c>
      <c r="R1" s="203" t="s">
        <v>116</v>
      </c>
      <c r="S1" s="203" t="s">
        <v>73</v>
      </c>
      <c r="T1" s="163" t="s">
        <v>87</v>
      </c>
      <c r="U1" s="162" t="s">
        <v>88</v>
      </c>
      <c r="V1" s="162" t="s">
        <v>89</v>
      </c>
      <c r="W1" s="162" t="s">
        <v>96</v>
      </c>
      <c r="X1" s="299" t="s">
        <v>97</v>
      </c>
      <c r="Y1" s="299" t="s">
        <v>98</v>
      </c>
    </row>
    <row r="2" spans="1:28">
      <c r="A2" s="261" t="s">
        <v>6</v>
      </c>
      <c r="B2" s="125">
        <f>((I2-I6)/(I5-I6))+0.0001</f>
        <v>1E-4</v>
      </c>
      <c r="C2" s="125">
        <f>((J2-J6)/(J5-J6))+0.0001</f>
        <v>1E-4</v>
      </c>
      <c r="D2" s="125">
        <f>((K2-K6)/(K5-K6))+0.0001</f>
        <v>0.63646363636363634</v>
      </c>
      <c r="E2" s="125">
        <f>((L2-L6)/(L5-L6))+0.0001</f>
        <v>1E-4</v>
      </c>
      <c r="F2" s="125">
        <f>((M5-M2)/(M5-M6))+0.0001</f>
        <v>1.0001</v>
      </c>
      <c r="H2" s="101" t="s">
        <v>6</v>
      </c>
      <c r="I2" s="141">
        <v>0.3</v>
      </c>
      <c r="J2" s="125">
        <v>5</v>
      </c>
      <c r="K2" s="125">
        <v>60</v>
      </c>
      <c r="L2" s="136">
        <v>90</v>
      </c>
      <c r="M2" s="136">
        <v>3</v>
      </c>
      <c r="N2" s="136">
        <v>0.97199999999999998</v>
      </c>
      <c r="O2" s="136">
        <v>0.32200000000000001</v>
      </c>
      <c r="P2" s="125">
        <v>0.121</v>
      </c>
      <c r="Q2" s="155">
        <v>255</v>
      </c>
      <c r="R2" s="155">
        <v>82.1</v>
      </c>
      <c r="S2" s="155">
        <v>20.8</v>
      </c>
      <c r="T2" s="125">
        <v>74.599999999999994</v>
      </c>
      <c r="U2" s="125">
        <v>55.7</v>
      </c>
      <c r="V2" s="125">
        <v>25.4</v>
      </c>
      <c r="W2" s="125">
        <v>8.75</v>
      </c>
      <c r="X2" s="125">
        <v>8.75</v>
      </c>
      <c r="Y2" s="125">
        <v>9.75</v>
      </c>
    </row>
    <row r="3" spans="1:28">
      <c r="A3" s="156" t="s">
        <v>7</v>
      </c>
      <c r="B3" s="125">
        <f>((I3-I6)/(I5-I6))+0.0001</f>
        <v>1.0001</v>
      </c>
      <c r="C3" s="125">
        <f>((J3-J6)/(J5-J6))+0.0001</f>
        <v>1.0001</v>
      </c>
      <c r="D3" s="125">
        <f>((K3-K6)/(K5-K6))+0.0001</f>
        <v>1.0001</v>
      </c>
      <c r="E3" s="125">
        <f>((L3-L6)/(L5-L6))+0.0001</f>
        <v>1.0001</v>
      </c>
      <c r="F3" s="125">
        <f>((M5-M3)/(M5-M6))+0.0001</f>
        <v>1.0001</v>
      </c>
      <c r="H3" s="101" t="s">
        <v>7</v>
      </c>
      <c r="I3" s="196">
        <v>2</v>
      </c>
      <c r="J3" s="166">
        <v>16</v>
      </c>
      <c r="K3" s="166">
        <v>68</v>
      </c>
      <c r="L3" s="167">
        <v>450</v>
      </c>
      <c r="M3" s="136">
        <v>3</v>
      </c>
      <c r="N3" s="136">
        <v>0.98</v>
      </c>
      <c r="O3" s="136">
        <v>0.32700000000000001</v>
      </c>
      <c r="P3" s="125">
        <v>0.123</v>
      </c>
      <c r="Q3" s="125">
        <v>257</v>
      </c>
      <c r="R3" s="125">
        <v>85</v>
      </c>
      <c r="S3" s="125">
        <v>21.1</v>
      </c>
      <c r="T3" s="125">
        <v>74.599999999999994</v>
      </c>
      <c r="U3" s="125">
        <v>321</v>
      </c>
      <c r="V3" s="125">
        <v>25.4</v>
      </c>
      <c r="W3" s="125">
        <v>7</v>
      </c>
      <c r="X3" s="125">
        <v>8.75</v>
      </c>
      <c r="Y3" s="125">
        <v>9.75</v>
      </c>
    </row>
    <row r="4" spans="1:28">
      <c r="A4" s="242" t="s">
        <v>8</v>
      </c>
      <c r="B4" s="125">
        <f>((I4-I6)/(I5-I6))+0.0001</f>
        <v>0.50009999999999999</v>
      </c>
      <c r="C4" s="125">
        <f>((J4-J6)/(J5-J6))+0.0001</f>
        <v>0.50009999999999999</v>
      </c>
      <c r="D4" s="125">
        <f>((K4-K6)/(K5-K6))+0.0001</f>
        <v>1E-4</v>
      </c>
      <c r="E4" s="125">
        <f>((L4-L6)/(L5-L6))+0.0001</f>
        <v>0.95565555555555559</v>
      </c>
      <c r="F4" s="125">
        <f>((M5-M4)/(M5-M6))+0.0001</f>
        <v>1E-4</v>
      </c>
      <c r="H4" s="164" t="s">
        <v>8</v>
      </c>
      <c r="I4" s="249">
        <v>1.1499999999999999</v>
      </c>
      <c r="J4" s="249">
        <v>10.5</v>
      </c>
      <c r="K4" s="249">
        <v>46</v>
      </c>
      <c r="L4" s="250">
        <v>434</v>
      </c>
      <c r="M4" s="167">
        <v>8</v>
      </c>
      <c r="N4" s="136">
        <v>0.97699999999999998</v>
      </c>
      <c r="O4" s="136">
        <v>0.32500000000000001</v>
      </c>
      <c r="P4" s="125">
        <v>0.122</v>
      </c>
      <c r="Q4" s="125">
        <v>257</v>
      </c>
      <c r="R4" s="125">
        <v>83.8</v>
      </c>
      <c r="S4" s="125">
        <v>21</v>
      </c>
      <c r="T4" s="125">
        <v>199</v>
      </c>
      <c r="U4" s="125">
        <v>209</v>
      </c>
      <c r="V4" s="125">
        <v>67.7</v>
      </c>
      <c r="W4" s="125">
        <v>0.25</v>
      </c>
      <c r="X4" s="125">
        <v>1.25</v>
      </c>
      <c r="Y4" s="125">
        <v>9.75</v>
      </c>
    </row>
    <row r="5" spans="1:28">
      <c r="H5" s="156" t="s">
        <v>55</v>
      </c>
      <c r="I5" s="125">
        <f>MAX(I2:I4)</f>
        <v>2</v>
      </c>
      <c r="J5" s="125">
        <f t="shared" ref="J5:L5" si="0">MAX(J2:J4)</f>
        <v>16</v>
      </c>
      <c r="K5" s="125">
        <f t="shared" si="0"/>
        <v>68</v>
      </c>
      <c r="L5" s="125">
        <f t="shared" si="0"/>
        <v>450</v>
      </c>
      <c r="M5" s="136">
        <f>MAX(M2:M4)</f>
        <v>8</v>
      </c>
      <c r="N5" s="125">
        <f>MAX(N2:N4)</f>
        <v>0.98</v>
      </c>
      <c r="O5" s="125">
        <f t="shared" ref="O5:S5" si="1">MAX(O2:O4)</f>
        <v>0.32700000000000001</v>
      </c>
      <c r="P5" s="155">
        <f t="shared" si="1"/>
        <v>0.123</v>
      </c>
      <c r="Q5" s="155">
        <f t="shared" si="1"/>
        <v>257</v>
      </c>
      <c r="R5" s="155">
        <f t="shared" si="1"/>
        <v>85</v>
      </c>
      <c r="S5" s="155">
        <f t="shared" si="1"/>
        <v>21.1</v>
      </c>
      <c r="T5" s="125">
        <f>MAX(T2:T4)</f>
        <v>199</v>
      </c>
      <c r="U5" s="125">
        <f>MAX(U2:U4)</f>
        <v>321</v>
      </c>
      <c r="V5" s="125">
        <f>MAX(V2:V4)</f>
        <v>67.7</v>
      </c>
      <c r="W5" s="125">
        <f t="shared" ref="W5:Y5" si="2">MAX(W2:W4)</f>
        <v>8.75</v>
      </c>
      <c r="X5" s="125">
        <f t="shared" si="2"/>
        <v>8.75</v>
      </c>
      <c r="Y5" s="125">
        <f t="shared" si="2"/>
        <v>9.75</v>
      </c>
    </row>
    <row r="6" spans="1:28">
      <c r="A6" s="99" t="s">
        <v>51</v>
      </c>
      <c r="B6" s="99">
        <v>0.20309835403964366</v>
      </c>
      <c r="C6" s="99">
        <v>0.20309835403964366</v>
      </c>
      <c r="D6" s="99">
        <v>0.19969920332674193</v>
      </c>
      <c r="E6" s="99">
        <v>0.1970653396640889</v>
      </c>
      <c r="F6" s="99">
        <v>0.19703874892988182</v>
      </c>
      <c r="H6" s="156" t="s">
        <v>56</v>
      </c>
      <c r="I6" s="125">
        <f>MIN(I2:I4)</f>
        <v>0.3</v>
      </c>
      <c r="J6" s="125">
        <f t="shared" ref="J6:L6" si="3">MIN(J2:J4)</f>
        <v>5</v>
      </c>
      <c r="K6" s="125">
        <f t="shared" si="3"/>
        <v>46</v>
      </c>
      <c r="L6" s="125">
        <f t="shared" si="3"/>
        <v>90</v>
      </c>
      <c r="M6" s="136">
        <f>MIN(M2:M4)</f>
        <v>3</v>
      </c>
      <c r="N6" s="125">
        <f>MIN(N2:N4)</f>
        <v>0.97199999999999998</v>
      </c>
      <c r="O6" s="125">
        <f t="shared" ref="O6:S6" si="4">MIN(O2:O4)</f>
        <v>0.32200000000000001</v>
      </c>
      <c r="P6" s="125">
        <f t="shared" si="4"/>
        <v>0.121</v>
      </c>
      <c r="Q6" s="125">
        <f t="shared" si="4"/>
        <v>255</v>
      </c>
      <c r="R6" s="125">
        <f t="shared" si="4"/>
        <v>82.1</v>
      </c>
      <c r="S6" s="125">
        <f t="shared" si="4"/>
        <v>20.8</v>
      </c>
      <c r="T6" s="125">
        <f>MIN(T2:T4)</f>
        <v>74.599999999999994</v>
      </c>
      <c r="U6" s="125">
        <f>MIN(U2:U4)</f>
        <v>55.7</v>
      </c>
      <c r="V6" s="125">
        <f>MIN(V2:V4)</f>
        <v>25.4</v>
      </c>
      <c r="W6" s="125">
        <f t="shared" ref="W6:Y6" si="5">MIN(W2:W4)</f>
        <v>0.25</v>
      </c>
      <c r="X6" s="125">
        <f t="shared" si="5"/>
        <v>1.25</v>
      </c>
      <c r="Y6" s="125">
        <f t="shared" si="5"/>
        <v>9.75</v>
      </c>
    </row>
    <row r="7" spans="1:28" ht="29">
      <c r="A7" s="99" t="s">
        <v>52</v>
      </c>
      <c r="B7" s="99">
        <v>0.15103321615419399</v>
      </c>
      <c r="C7" s="99">
        <v>0.14304303775896199</v>
      </c>
      <c r="D7" s="99">
        <v>0.23416261549269399</v>
      </c>
      <c r="E7" s="99">
        <v>0.23588056529707499</v>
      </c>
      <c r="F7" s="99">
        <v>0.23588056529707499</v>
      </c>
      <c r="W7" s="101" t="s">
        <v>87</v>
      </c>
      <c r="X7" s="101" t="s">
        <v>88</v>
      </c>
      <c r="Y7" s="101" t="s">
        <v>89</v>
      </c>
      <c r="Z7" s="128" t="s">
        <v>115</v>
      </c>
      <c r="AA7" s="203" t="s">
        <v>116</v>
      </c>
      <c r="AB7" s="203" t="s">
        <v>73</v>
      </c>
    </row>
    <row r="8" spans="1:28">
      <c r="A8" s="99" t="s">
        <v>50</v>
      </c>
      <c r="B8" s="99">
        <v>0.17637257744779175</v>
      </c>
      <c r="C8" s="99">
        <v>0.17164382680905585</v>
      </c>
      <c r="D8" s="99">
        <v>0.21776524627442689</v>
      </c>
      <c r="E8" s="99">
        <v>0.21711649905873914</v>
      </c>
      <c r="F8" s="99">
        <v>0.21710185040998636</v>
      </c>
      <c r="H8" s="143" t="s">
        <v>34</v>
      </c>
      <c r="I8" s="228" t="s">
        <v>35</v>
      </c>
      <c r="K8" s="287" t="s">
        <v>75</v>
      </c>
      <c r="M8" s="99" t="s">
        <v>51</v>
      </c>
      <c r="N8" s="99">
        <v>0.33075289683820919</v>
      </c>
      <c r="O8" s="99">
        <v>0.33226943884265786</v>
      </c>
      <c r="P8" s="99">
        <v>0.33697766431913295</v>
      </c>
      <c r="R8" t="s">
        <v>51</v>
      </c>
      <c r="S8">
        <v>0.23384937773409273</v>
      </c>
      <c r="T8">
        <v>0.38847690165112941</v>
      </c>
      <c r="U8">
        <v>0.37767372061477789</v>
      </c>
      <c r="W8" s="10">
        <v>0.11494812151832508</v>
      </c>
      <c r="X8" s="10">
        <v>0.19141186503370822</v>
      </c>
      <c r="Y8" s="10">
        <v>0.20209232308365366</v>
      </c>
      <c r="Z8" s="10">
        <v>0.11494812151832508</v>
      </c>
      <c r="AA8" s="10">
        <v>0.19095492376649703</v>
      </c>
      <c r="AB8" s="10">
        <v>0.18564464507949088</v>
      </c>
    </row>
    <row r="9" spans="1:28">
      <c r="H9" s="232" t="s">
        <v>37</v>
      </c>
      <c r="I9" s="229">
        <v>0.15103321615419399</v>
      </c>
      <c r="K9" s="285">
        <v>0.22216279749857801</v>
      </c>
      <c r="M9" s="99" t="s">
        <v>52</v>
      </c>
      <c r="N9" s="99">
        <v>0.22216279749857801</v>
      </c>
      <c r="O9" s="99">
        <v>0.36746348727172901</v>
      </c>
      <c r="P9" s="99">
        <v>0.41037371522969301</v>
      </c>
      <c r="R9" t="s">
        <v>52</v>
      </c>
      <c r="S9">
        <v>0.22216279749857801</v>
      </c>
      <c r="T9">
        <v>0.36746348727172901</v>
      </c>
      <c r="U9">
        <v>0.41037371522969301</v>
      </c>
      <c r="W9" s="10">
        <v>0.40826504034051198</v>
      </c>
      <c r="X9" s="10">
        <v>0.29586747982974398</v>
      </c>
      <c r="Y9" s="10">
        <v>0.29586747982974398</v>
      </c>
      <c r="Z9" s="10">
        <v>0.22216279749857801</v>
      </c>
      <c r="AA9" s="10">
        <v>0.36746348727172901</v>
      </c>
      <c r="AB9" s="10">
        <v>0.41037371522969301</v>
      </c>
    </row>
    <row r="10" spans="1:28">
      <c r="H10" s="233" t="s">
        <v>38</v>
      </c>
      <c r="I10" s="230">
        <v>0.14304303775896199</v>
      </c>
      <c r="K10" s="285">
        <v>0.36746348727172901</v>
      </c>
      <c r="M10" s="99" t="s">
        <v>50</v>
      </c>
      <c r="N10" s="99">
        <v>0.27315886847465826</v>
      </c>
      <c r="O10" s="99">
        <v>0.3521114146530358</v>
      </c>
      <c r="P10" s="99">
        <v>0.37472971687230594</v>
      </c>
      <c r="R10" t="s">
        <v>50</v>
      </c>
      <c r="S10">
        <v>0.228058984767261</v>
      </c>
      <c r="T10">
        <v>0.37803595400454876</v>
      </c>
      <c r="U10">
        <v>0.39390506122819058</v>
      </c>
      <c r="W10" s="10">
        <v>0.15475411874968614</v>
      </c>
      <c r="X10" s="10">
        <v>0.17000168440878669</v>
      </c>
      <c r="Y10" s="10">
        <v>0.17468020991560698</v>
      </c>
      <c r="Z10" s="10">
        <v>0.11415811466937768</v>
      </c>
      <c r="AA10" s="10">
        <v>0.18923118433786076</v>
      </c>
      <c r="AB10" s="10">
        <v>0.19717468791868184</v>
      </c>
    </row>
    <row r="11" spans="1:28">
      <c r="A11" s="19" t="s">
        <v>117</v>
      </c>
      <c r="B11" s="162" t="s">
        <v>0</v>
      </c>
      <c r="C11" s="162" t="s">
        <v>1</v>
      </c>
      <c r="D11" s="162" t="s">
        <v>2</v>
      </c>
      <c r="E11" s="164" t="s">
        <v>3</v>
      </c>
      <c r="F11" s="162" t="s">
        <v>4</v>
      </c>
      <c r="G11" s="262"/>
      <c r="H11" s="233" t="s">
        <v>39</v>
      </c>
      <c r="I11" s="230">
        <v>0.23416261549269399</v>
      </c>
      <c r="K11" s="286">
        <v>0.41037371522969301</v>
      </c>
    </row>
    <row r="12" spans="1:28">
      <c r="A12" s="89" t="s">
        <v>118</v>
      </c>
      <c r="B12" s="125">
        <f>B2-B3</f>
        <v>-1</v>
      </c>
      <c r="C12" s="125">
        <f t="shared" ref="C12:F12" si="6">C2-C3</f>
        <v>-1</v>
      </c>
      <c r="D12" s="125">
        <f>D2-D3</f>
        <v>-0.36363636363636365</v>
      </c>
      <c r="E12" s="125">
        <f t="shared" si="6"/>
        <v>-1</v>
      </c>
      <c r="F12" s="125">
        <f t="shared" si="6"/>
        <v>0</v>
      </c>
      <c r="H12" s="234" t="s">
        <v>40</v>
      </c>
      <c r="I12" s="230">
        <v>0.23588056529707499</v>
      </c>
    </row>
    <row r="13" spans="1:28" ht="29">
      <c r="A13" s="43" t="s">
        <v>119</v>
      </c>
      <c r="B13" s="125">
        <f>B2-B4</f>
        <v>-0.5</v>
      </c>
      <c r="C13" s="125">
        <f t="shared" ref="C13:F13" si="7">C2-C4</f>
        <v>-0.5</v>
      </c>
      <c r="D13" s="125">
        <f t="shared" si="7"/>
        <v>0.63636363636363635</v>
      </c>
      <c r="E13" s="125">
        <f t="shared" si="7"/>
        <v>-0.9555555555555556</v>
      </c>
      <c r="F13" s="125">
        <f t="shared" si="7"/>
        <v>1</v>
      </c>
      <c r="H13" s="235" t="s">
        <v>41</v>
      </c>
      <c r="I13" s="231">
        <v>0.23588056529707499</v>
      </c>
      <c r="O13" s="162" t="s">
        <v>72</v>
      </c>
      <c r="P13" s="162" t="s">
        <v>73</v>
      </c>
      <c r="Q13" s="162" t="s">
        <v>74</v>
      </c>
      <c r="S13" s="298" t="s">
        <v>115</v>
      </c>
      <c r="T13" s="203" t="s">
        <v>116</v>
      </c>
      <c r="U13" s="203" t="s">
        <v>73</v>
      </c>
      <c r="V13" s="163" t="s">
        <v>87</v>
      </c>
      <c r="W13" s="162" t="s">
        <v>88</v>
      </c>
      <c r="X13" s="162" t="s">
        <v>89</v>
      </c>
      <c r="Y13" s="162" t="s">
        <v>96</v>
      </c>
      <c r="Z13" s="299" t="s">
        <v>97</v>
      </c>
      <c r="AA13" s="299" t="s">
        <v>98</v>
      </c>
    </row>
    <row r="14" spans="1:28">
      <c r="A14" s="15" t="s">
        <v>120</v>
      </c>
      <c r="B14" s="125">
        <f>B3-B2</f>
        <v>1</v>
      </c>
      <c r="C14" s="125">
        <f t="shared" ref="C14:F14" si="8">C3-C2</f>
        <v>1</v>
      </c>
      <c r="D14" s="125">
        <f t="shared" si="8"/>
        <v>0.36363636363636365</v>
      </c>
      <c r="E14" s="125">
        <f t="shared" si="8"/>
        <v>1</v>
      </c>
      <c r="F14" s="125">
        <f t="shared" si="8"/>
        <v>0</v>
      </c>
      <c r="O14" s="125">
        <f>((N5-N2)/(N5-N6))+0.0001</f>
        <v>1.0001</v>
      </c>
      <c r="P14" s="136">
        <f>((O5-O2)/(O5-O6))+0.0001</f>
        <v>1.0001</v>
      </c>
      <c r="Q14" s="125">
        <f>((P5-P2)/(P5-P6))+0.0001</f>
        <v>1.0001</v>
      </c>
      <c r="R14" s="99"/>
      <c r="S14" s="125">
        <f>(($Q$5-Q2)/($Q$5-$Q$6))+0.0001</f>
        <v>1.0001</v>
      </c>
      <c r="T14" s="125">
        <f>(($R$5-R2)/($R$5-$R$6))+0.0001</f>
        <v>1.0001</v>
      </c>
      <c r="U14" s="125">
        <f>(($S$5-S2)/($S$5-$S$6))+0.0001</f>
        <v>1.0001</v>
      </c>
      <c r="V14" s="125">
        <f>((T2-$T$6)/($T$5-$T$6))+0.0001</f>
        <v>1E-4</v>
      </c>
      <c r="W14" s="125">
        <f>(($U$5-U2)/($U$5-$U$6))+0.0001</f>
        <v>1.0001</v>
      </c>
      <c r="X14" s="125">
        <f>(($V$5-V2)/($V$5-$V$6))+0.0001</f>
        <v>1.0001</v>
      </c>
      <c r="Y14" s="125">
        <f>((W2-$W$6)/($W$5-$W$6))+0.0001</f>
        <v>1.0001</v>
      </c>
      <c r="Z14" s="125">
        <f>((X2-$X$6)/($X$5-$X$6))+0.0001</f>
        <v>1.0001</v>
      </c>
      <c r="AA14" s="125">
        <f>((Y2-$Y$6)/($Y$5-$Y$6+0.0001))+0.0001</f>
        <v>1E-4</v>
      </c>
    </row>
    <row r="15" spans="1:28">
      <c r="A15" s="43" t="s">
        <v>121</v>
      </c>
      <c r="B15" s="125">
        <f>B3-B4</f>
        <v>0.5</v>
      </c>
      <c r="C15" s="125">
        <f t="shared" ref="C15:F15" si="9">C3-C4</f>
        <v>0.5</v>
      </c>
      <c r="D15" s="125">
        <f t="shared" si="9"/>
        <v>1</v>
      </c>
      <c r="E15" s="125">
        <f t="shared" si="9"/>
        <v>4.4444444444444398E-2</v>
      </c>
      <c r="F15" s="125">
        <f t="shared" si="9"/>
        <v>1</v>
      </c>
      <c r="I15" s="101" t="s">
        <v>5</v>
      </c>
      <c r="J15" s="162" t="s">
        <v>6</v>
      </c>
      <c r="K15" s="162" t="s">
        <v>7</v>
      </c>
      <c r="L15" s="164" t="s">
        <v>8</v>
      </c>
      <c r="M15" s="264" t="s">
        <v>122</v>
      </c>
      <c r="N15" s="100"/>
      <c r="O15" s="125">
        <f>((N5-N3)/(N5-N6))+0.0001</f>
        <v>1E-4</v>
      </c>
      <c r="P15" s="125">
        <f>((O5-O3)/(O5-O6))+0.0001</f>
        <v>1E-4</v>
      </c>
      <c r="Q15" s="155">
        <f t="shared" ref="Q15" si="10">((P5-P3)/(P5-P6))+0.0001</f>
        <v>1E-4</v>
      </c>
      <c r="S15" s="125">
        <f t="shared" ref="S15:S16" si="11">(($Q$5-Q3)/($Q$5-$Q$6))+0.0001</f>
        <v>1E-4</v>
      </c>
      <c r="T15" s="125">
        <f>(($R$5-R3)/($R$5-$R$6))+0.0001</f>
        <v>1E-4</v>
      </c>
      <c r="U15" s="125">
        <f t="shared" ref="U15:U16" si="12">(($S$5-S3)/($S$5-$S$6))+0.0001</f>
        <v>1E-4</v>
      </c>
      <c r="V15" s="125">
        <f t="shared" ref="V15:V16" si="13">((T3-$T$6)/($T$5-$T$6))+0.0001</f>
        <v>1E-4</v>
      </c>
      <c r="W15" s="125">
        <f>(($U$5-U3)/($U$5-$U$6))+0.0001</f>
        <v>1E-4</v>
      </c>
      <c r="X15" s="125">
        <f>(($V$5-V3)/($V$5-$V$6))+0.0001</f>
        <v>1.0001</v>
      </c>
      <c r="Y15" s="125">
        <f>((W3-$W$6)/($W$5-$W$6))+0.0001</f>
        <v>0.79421764705882347</v>
      </c>
      <c r="Z15" s="125">
        <f t="shared" ref="Z15:Z16" si="14">((X3-$X$6)/($X$5-$X$6))+0.0001</f>
        <v>1.0001</v>
      </c>
      <c r="AA15" s="125">
        <f t="shared" ref="AA15:AA16" si="15">((Y3-$Y$6)/($Y$5-$Y$6+0.0001))+0.0001</f>
        <v>1E-4</v>
      </c>
    </row>
    <row r="16" spans="1:28">
      <c r="A16" s="18" t="s">
        <v>123</v>
      </c>
      <c r="B16" s="125">
        <f>B4-B2</f>
        <v>0.5</v>
      </c>
      <c r="C16" s="125">
        <f t="shared" ref="C16:F16" si="16">C4-C2</f>
        <v>0.5</v>
      </c>
      <c r="D16" s="125">
        <f t="shared" si="16"/>
        <v>-0.63636363636363635</v>
      </c>
      <c r="E16" s="125">
        <f t="shared" si="16"/>
        <v>0.9555555555555556</v>
      </c>
      <c r="F16" s="125">
        <f t="shared" si="16"/>
        <v>-1</v>
      </c>
      <c r="I16" s="18" t="s">
        <v>6</v>
      </c>
      <c r="J16" s="125" t="s">
        <v>124</v>
      </c>
      <c r="K16" s="125">
        <f>G28</f>
        <v>0</v>
      </c>
      <c r="L16" s="136">
        <f>G29</f>
        <v>0.35567973440280348</v>
      </c>
      <c r="M16" s="172">
        <f>AVERAGE(J16:L16)</f>
        <v>0.17783986720140174</v>
      </c>
      <c r="N16" s="99"/>
      <c r="O16" s="125">
        <f>((N5-N4)/(N5-N6))+0.0001</f>
        <v>0.37509999999999999</v>
      </c>
      <c r="P16" s="125">
        <f t="shared" ref="P16:Q16" si="17">((O5-O4)/(O5-O6))+0.0001</f>
        <v>0.40010000000000001</v>
      </c>
      <c r="Q16" s="125">
        <f t="shared" si="17"/>
        <v>0.50009999999999999</v>
      </c>
      <c r="S16" s="125">
        <f t="shared" si="11"/>
        <v>1E-4</v>
      </c>
      <c r="T16" s="125">
        <f t="shared" ref="T16" si="18">(($R$5-R4)/($R$5-$R$6))+0.0001</f>
        <v>0.41389310344827601</v>
      </c>
      <c r="U16" s="125">
        <f t="shared" si="12"/>
        <v>0.33343333333333725</v>
      </c>
      <c r="V16" s="125">
        <f t="shared" si="13"/>
        <v>1.0001</v>
      </c>
      <c r="W16" s="125">
        <f>(($U$5-U4)/($U$5-$U$6))+0.0001</f>
        <v>0.42226358839050127</v>
      </c>
      <c r="X16" s="125">
        <f>(($V$5-V4)/($V$5-$V$6))+0.0001</f>
        <v>1E-4</v>
      </c>
      <c r="Y16" s="125">
        <f t="shared" ref="Y16" si="19">((W4-$W$6)/($W$5-$W$6))+0.0001</f>
        <v>1E-4</v>
      </c>
      <c r="Z16" s="125">
        <f t="shared" si="14"/>
        <v>1E-4</v>
      </c>
      <c r="AA16" s="125">
        <f t="shared" si="15"/>
        <v>1E-4</v>
      </c>
    </row>
    <row r="17" spans="1:28">
      <c r="A17" s="263" t="s">
        <v>125</v>
      </c>
      <c r="B17" s="125">
        <f>B4-B3</f>
        <v>-0.5</v>
      </c>
      <c r="C17" s="125">
        <f t="shared" ref="C17:F17" si="20">C4-C3</f>
        <v>-0.5</v>
      </c>
      <c r="D17" s="125">
        <f t="shared" si="20"/>
        <v>-1</v>
      </c>
      <c r="E17" s="125">
        <f t="shared" si="20"/>
        <v>-4.4444444444444398E-2</v>
      </c>
      <c r="F17" s="125">
        <f t="shared" si="20"/>
        <v>-1</v>
      </c>
      <c r="I17" s="43" t="s">
        <v>7</v>
      </c>
      <c r="J17" s="125">
        <f>G30</f>
        <v>0.64432026559719646</v>
      </c>
      <c r="K17" s="125" t="s">
        <v>124</v>
      </c>
      <c r="L17" s="136">
        <f>G31</f>
        <v>0.61852492099322542</v>
      </c>
      <c r="M17" s="172">
        <f t="shared" ref="M17:M18" si="21">AVERAGE(J17:L17)</f>
        <v>0.63142259329521089</v>
      </c>
      <c r="N17" s="99"/>
    </row>
    <row r="18" spans="1:28" ht="29">
      <c r="I18" s="43" t="s">
        <v>8</v>
      </c>
      <c r="J18" s="125">
        <f>G32</f>
        <v>0.38147507900677458</v>
      </c>
      <c r="K18" s="125">
        <f>G33</f>
        <v>0</v>
      </c>
      <c r="L18" s="136" t="s">
        <v>124</v>
      </c>
      <c r="M18" s="172">
        <f t="shared" si="21"/>
        <v>0.19073753950338729</v>
      </c>
      <c r="N18" s="99"/>
      <c r="O18" s="19" t="s">
        <v>117</v>
      </c>
      <c r="P18" s="162" t="s">
        <v>72</v>
      </c>
      <c r="Q18" s="162" t="s">
        <v>73</v>
      </c>
      <c r="R18" s="162" t="s">
        <v>74</v>
      </c>
      <c r="T18" s="298" t="s">
        <v>115</v>
      </c>
      <c r="U18" s="299" t="s">
        <v>116</v>
      </c>
      <c r="V18" s="299" t="s">
        <v>73</v>
      </c>
      <c r="W18" s="163" t="s">
        <v>87</v>
      </c>
      <c r="X18" s="162" t="s">
        <v>88</v>
      </c>
      <c r="Y18" s="162" t="s">
        <v>89</v>
      </c>
      <c r="Z18" s="162" t="s">
        <v>96</v>
      </c>
      <c r="AA18" s="299" t="s">
        <v>97</v>
      </c>
      <c r="AB18" s="299" t="s">
        <v>98</v>
      </c>
    </row>
    <row r="19" spans="1:28">
      <c r="A19" s="19" t="s">
        <v>126</v>
      </c>
      <c r="B19" s="162" t="s">
        <v>0</v>
      </c>
      <c r="C19" s="162" t="s">
        <v>1</v>
      </c>
      <c r="D19" s="162" t="s">
        <v>2</v>
      </c>
      <c r="E19" s="164" t="s">
        <v>3</v>
      </c>
      <c r="F19" s="162" t="s">
        <v>4</v>
      </c>
      <c r="I19" s="98" t="s">
        <v>127</v>
      </c>
      <c r="J19" s="174">
        <f>AVERAGE(J16:J18)</f>
        <v>0.51289767230198557</v>
      </c>
      <c r="K19" s="174">
        <f t="shared" ref="K19:L19" si="22">AVERAGE(K16:K18)</f>
        <v>0</v>
      </c>
      <c r="L19" s="174">
        <f t="shared" si="22"/>
        <v>0.48710232769801443</v>
      </c>
      <c r="M19" s="125"/>
      <c r="O19" s="86" t="s">
        <v>118</v>
      </c>
      <c r="P19" s="125">
        <f>O14-O15</f>
        <v>1</v>
      </c>
      <c r="Q19" s="125">
        <f>P14-P15</f>
        <v>1</v>
      </c>
      <c r="R19" s="125">
        <f>Q14-Q15</f>
        <v>1</v>
      </c>
      <c r="T19" s="125">
        <f>S14-S15</f>
        <v>1</v>
      </c>
      <c r="U19" s="125">
        <f>T14-T15</f>
        <v>1</v>
      </c>
      <c r="V19" s="136">
        <f t="shared" ref="V19" si="23">U14-U15</f>
        <v>1</v>
      </c>
      <c r="W19" s="125">
        <f>V14-V15</f>
        <v>0</v>
      </c>
      <c r="X19" s="125">
        <f t="shared" ref="X19" si="24">W14-W15</f>
        <v>1</v>
      </c>
      <c r="Y19" s="125">
        <f>X14-X15</f>
        <v>0</v>
      </c>
      <c r="Z19" s="125">
        <f>Y14-Y15</f>
        <v>0.20588235294117652</v>
      </c>
      <c r="AA19" s="125">
        <f t="shared" ref="AA19:AB19" si="25">Z14-Z15</f>
        <v>0</v>
      </c>
      <c r="AB19" s="125">
        <f t="shared" si="25"/>
        <v>0</v>
      </c>
    </row>
    <row r="20" spans="1:28">
      <c r="A20" s="89" t="s">
        <v>118</v>
      </c>
      <c r="B20" s="125">
        <v>0</v>
      </c>
      <c r="C20" s="125">
        <v>0</v>
      </c>
      <c r="D20" s="125">
        <v>0</v>
      </c>
      <c r="E20" s="125">
        <v>0</v>
      </c>
      <c r="F20" s="125">
        <v>0</v>
      </c>
      <c r="I20" s="43" t="s">
        <v>128</v>
      </c>
      <c r="J20" s="125">
        <f>M16-J19</f>
        <v>-0.33505780510058381</v>
      </c>
      <c r="K20" s="125">
        <f>M17-K19</f>
        <v>0.63142259329521089</v>
      </c>
      <c r="L20" s="136">
        <f>M18-L19</f>
        <v>-0.29636478819462714</v>
      </c>
      <c r="M20" s="265"/>
      <c r="N20" s="99"/>
      <c r="O20" s="43" t="s">
        <v>119</v>
      </c>
      <c r="P20" s="125">
        <f>O14-O16</f>
        <v>0.625</v>
      </c>
      <c r="Q20" s="125">
        <f>P14-P16</f>
        <v>0.6</v>
      </c>
      <c r="R20" s="125">
        <f>Q14-Q16</f>
        <v>0.5</v>
      </c>
      <c r="T20" s="125">
        <f>S14-S16</f>
        <v>1</v>
      </c>
      <c r="U20" s="125">
        <f>T14-T16</f>
        <v>0.58620689655172398</v>
      </c>
      <c r="V20" s="136">
        <f t="shared" ref="V20" si="26">U14-U16</f>
        <v>0.66666666666666274</v>
      </c>
      <c r="W20" s="125">
        <f t="shared" ref="W20" si="27">V14-V16</f>
        <v>-1</v>
      </c>
      <c r="X20" s="125">
        <f t="shared" ref="X20" si="28">W14-W16</f>
        <v>0.57783641160949872</v>
      </c>
      <c r="Y20" s="125">
        <f t="shared" ref="Y20" si="29">X14-X16</f>
        <v>1</v>
      </c>
      <c r="Z20" s="125">
        <f>Y14-Y16</f>
        <v>1</v>
      </c>
      <c r="AA20" s="125">
        <f t="shared" ref="AA20" si="30">Z14-Z16</f>
        <v>1</v>
      </c>
      <c r="AB20" s="125">
        <f t="shared" ref="AB20" si="31">AA14-AA16</f>
        <v>0</v>
      </c>
    </row>
    <row r="21" spans="1:28">
      <c r="A21" s="43" t="s">
        <v>119</v>
      </c>
      <c r="B21" s="125">
        <v>0</v>
      </c>
      <c r="C21" s="125">
        <v>0</v>
      </c>
      <c r="D21" s="125">
        <v>0.63636363636363635</v>
      </c>
      <c r="E21" s="125">
        <v>0</v>
      </c>
      <c r="F21" s="125">
        <v>1</v>
      </c>
      <c r="J21">
        <v>3</v>
      </c>
      <c r="K21">
        <v>1</v>
      </c>
      <c r="L21">
        <v>2</v>
      </c>
      <c r="O21" s="43" t="s">
        <v>120</v>
      </c>
      <c r="P21" s="125">
        <f>O15-O14</f>
        <v>-1</v>
      </c>
      <c r="Q21" s="125">
        <f>P15-P14</f>
        <v>-1</v>
      </c>
      <c r="R21" s="125">
        <f>Q15-Q14</f>
        <v>-1</v>
      </c>
      <c r="T21" s="125">
        <f>S15-S14</f>
        <v>-1</v>
      </c>
      <c r="U21" s="125">
        <f t="shared" ref="U21:V21" si="32">T15-T14</f>
        <v>-1</v>
      </c>
      <c r="V21" s="136">
        <f t="shared" si="32"/>
        <v>-1</v>
      </c>
      <c r="W21" s="125">
        <f t="shared" ref="W21" si="33">V15-V14</f>
        <v>0</v>
      </c>
      <c r="X21" s="125">
        <f t="shared" ref="X21" si="34">W15-W14</f>
        <v>-1</v>
      </c>
      <c r="Y21" s="125">
        <f t="shared" ref="Y21" si="35">X15-X14</f>
        <v>0</v>
      </c>
      <c r="Z21" s="125">
        <f t="shared" ref="Z21" si="36">Y15-Y14</f>
        <v>-0.20588235294117652</v>
      </c>
      <c r="AA21" s="125">
        <f t="shared" ref="AA21" si="37">Z15-Z14</f>
        <v>0</v>
      </c>
      <c r="AB21" s="125">
        <f t="shared" ref="AB21" si="38">AA15-AA14</f>
        <v>0</v>
      </c>
    </row>
    <row r="22" spans="1:28">
      <c r="A22" s="15" t="s">
        <v>120</v>
      </c>
      <c r="B22" s="125">
        <v>1</v>
      </c>
      <c r="C22" s="125">
        <v>1</v>
      </c>
      <c r="D22" s="125">
        <v>0.36363636363636365</v>
      </c>
      <c r="E22" s="125">
        <v>1</v>
      </c>
      <c r="F22" s="125">
        <v>0</v>
      </c>
      <c r="O22" s="43" t="s">
        <v>121</v>
      </c>
      <c r="P22" s="125">
        <f>O15-O16</f>
        <v>-0.375</v>
      </c>
      <c r="Q22" s="125">
        <f>P15-P16</f>
        <v>-0.4</v>
      </c>
      <c r="R22" s="125">
        <f>Q15-Q16</f>
        <v>-0.5</v>
      </c>
      <c r="T22" s="125">
        <f>S15-S16</f>
        <v>0</v>
      </c>
      <c r="U22" s="125">
        <f t="shared" ref="U22:V22" si="39">T15-T16</f>
        <v>-0.41379310344827602</v>
      </c>
      <c r="V22" s="136">
        <f t="shared" si="39"/>
        <v>-0.33333333333333726</v>
      </c>
      <c r="W22" s="125">
        <f t="shared" ref="W22" si="40">V15-V16</f>
        <v>-1</v>
      </c>
      <c r="X22" s="125">
        <f t="shared" ref="X22" si="41">W15-W16</f>
        <v>-0.42216358839050128</v>
      </c>
      <c r="Y22" s="125">
        <f t="shared" ref="Y22" si="42">X15-X16</f>
        <v>1</v>
      </c>
      <c r="Z22" s="125">
        <f t="shared" ref="Z22" si="43">Y15-Y16</f>
        <v>0.79411764705882348</v>
      </c>
      <c r="AA22" s="125">
        <f t="shared" ref="AA22" si="44">Z15-Z16</f>
        <v>1</v>
      </c>
      <c r="AB22" s="125">
        <f t="shared" ref="AB22" si="45">AA15-AA16</f>
        <v>0</v>
      </c>
    </row>
    <row r="23" spans="1:28">
      <c r="A23" s="43" t="s">
        <v>121</v>
      </c>
      <c r="B23" s="125">
        <v>0.5</v>
      </c>
      <c r="C23" s="125">
        <v>0.5</v>
      </c>
      <c r="D23" s="125">
        <v>1</v>
      </c>
      <c r="E23" s="125">
        <v>4.4444444444444398E-2</v>
      </c>
      <c r="F23" s="125">
        <v>1</v>
      </c>
      <c r="I23" s="101" t="s">
        <v>129</v>
      </c>
      <c r="J23" s="162" t="s">
        <v>6</v>
      </c>
      <c r="K23" s="162" t="s">
        <v>7</v>
      </c>
      <c r="L23" s="164" t="s">
        <v>8</v>
      </c>
      <c r="M23" s="97" t="s">
        <v>122</v>
      </c>
      <c r="O23" s="43" t="s">
        <v>123</v>
      </c>
      <c r="P23" s="125">
        <f>O16-O14</f>
        <v>-0.625</v>
      </c>
      <c r="Q23" s="125">
        <f>P16-P14</f>
        <v>-0.6</v>
      </c>
      <c r="R23" s="125">
        <f>Q16-Q14</f>
        <v>-0.5</v>
      </c>
      <c r="T23" s="125">
        <f>S16-S14</f>
        <v>-1</v>
      </c>
      <c r="U23" s="125">
        <f>T16-T14</f>
        <v>-0.58620689655172398</v>
      </c>
      <c r="V23" s="136">
        <f t="shared" ref="V23" si="46">U16-U14</f>
        <v>-0.66666666666666274</v>
      </c>
      <c r="W23" s="125">
        <f t="shared" ref="W23" si="47">V16-V14</f>
        <v>1</v>
      </c>
      <c r="X23" s="125">
        <f t="shared" ref="X23" si="48">W16-W14</f>
        <v>-0.57783641160949872</v>
      </c>
      <c r="Y23" s="125">
        <f t="shared" ref="Y23" si="49">X16-X14</f>
        <v>-1</v>
      </c>
      <c r="Z23" s="125">
        <f t="shared" ref="Z23" si="50">Y16-Y14</f>
        <v>-1</v>
      </c>
      <c r="AA23" s="125">
        <f t="shared" ref="AA23" si="51">Z16-Z14</f>
        <v>-1</v>
      </c>
      <c r="AB23" s="125">
        <f t="shared" ref="AB23" si="52">AA16-AA14</f>
        <v>0</v>
      </c>
    </row>
    <row r="24" spans="1:28">
      <c r="A24" s="18" t="s">
        <v>123</v>
      </c>
      <c r="B24" s="125">
        <v>0.5</v>
      </c>
      <c r="C24" s="125">
        <v>0.5</v>
      </c>
      <c r="D24" s="125">
        <v>0</v>
      </c>
      <c r="E24" s="125">
        <v>0.9555555555555556</v>
      </c>
      <c r="F24" s="125">
        <v>0</v>
      </c>
      <c r="I24" s="18" t="s">
        <v>6</v>
      </c>
      <c r="J24" s="125" t="s">
        <v>124</v>
      </c>
      <c r="K24" s="125">
        <f>G36</f>
        <v>0</v>
      </c>
      <c r="L24" s="136">
        <f>G37</f>
        <v>0.32412006013780847</v>
      </c>
      <c r="M24" s="172">
        <f>AVERAGE(J24:L24)</f>
        <v>0.16206003006890424</v>
      </c>
      <c r="O24" s="263" t="s">
        <v>125</v>
      </c>
      <c r="P24" s="125">
        <f>O16-O15</f>
        <v>0.375</v>
      </c>
      <c r="Q24" s="125">
        <f>P16-P15</f>
        <v>0.4</v>
      </c>
      <c r="R24" s="125">
        <f>Q16-Q15</f>
        <v>0.5</v>
      </c>
      <c r="T24" s="125">
        <f>S16-S15</f>
        <v>0</v>
      </c>
      <c r="U24" s="125">
        <f t="shared" ref="U24:V24" si="53">T16-T15</f>
        <v>0.41379310344827602</v>
      </c>
      <c r="V24" s="136">
        <f t="shared" si="53"/>
        <v>0.33333333333333726</v>
      </c>
      <c r="W24" s="125">
        <f t="shared" ref="W24" si="54">V16-V15</f>
        <v>1</v>
      </c>
      <c r="X24" s="125">
        <f t="shared" ref="X24" si="55">W16-W15</f>
        <v>0.42216358839050128</v>
      </c>
      <c r="Y24" s="125">
        <f t="shared" ref="Y24" si="56">X16-X15</f>
        <v>-1</v>
      </c>
      <c r="Z24" s="125">
        <f t="shared" ref="Z24" si="57">Y16-Y15</f>
        <v>-0.79411764705882348</v>
      </c>
      <c r="AA24" s="125">
        <f t="shared" ref="AA24" si="58">Z16-Z15</f>
        <v>-1</v>
      </c>
      <c r="AB24" s="125">
        <f t="shared" ref="AB24" si="59">AA16-AA15</f>
        <v>0</v>
      </c>
    </row>
    <row r="25" spans="1:28">
      <c r="A25" s="263" t="s">
        <v>125</v>
      </c>
      <c r="B25" s="125">
        <v>0</v>
      </c>
      <c r="C25" s="125">
        <v>0</v>
      </c>
      <c r="D25" s="125">
        <v>0</v>
      </c>
      <c r="E25" s="125">
        <v>0</v>
      </c>
      <c r="F25" s="125">
        <v>0</v>
      </c>
      <c r="I25" s="43" t="s">
        <v>7</v>
      </c>
      <c r="J25" s="125">
        <f>G38</f>
        <v>0.67587993986219153</v>
      </c>
      <c r="K25" s="125" t="s">
        <v>124</v>
      </c>
      <c r="L25" s="136">
        <f>G39</f>
        <v>0.60859476583689354</v>
      </c>
      <c r="M25" s="172">
        <f t="shared" ref="M25:M26" si="60">AVERAGE(J25:L25)</f>
        <v>0.64223735284954253</v>
      </c>
    </row>
    <row r="26" spans="1:28" ht="29">
      <c r="I26" s="43" t="s">
        <v>8</v>
      </c>
      <c r="J26" s="125">
        <f>G40</f>
        <v>0.39140523416310641</v>
      </c>
      <c r="K26" s="125">
        <f>G41</f>
        <v>0</v>
      </c>
      <c r="L26" s="136" t="s">
        <v>124</v>
      </c>
      <c r="M26" s="172">
        <f t="shared" si="60"/>
        <v>0.1957026170815532</v>
      </c>
      <c r="O26" s="19" t="s">
        <v>126</v>
      </c>
      <c r="P26" s="162" t="s">
        <v>72</v>
      </c>
      <c r="Q26" s="162" t="s">
        <v>73</v>
      </c>
      <c r="R26" s="162" t="s">
        <v>74</v>
      </c>
      <c r="T26" s="298" t="s">
        <v>115</v>
      </c>
      <c r="U26" s="299" t="s">
        <v>116</v>
      </c>
      <c r="V26" s="299" t="s">
        <v>73</v>
      </c>
      <c r="W26" s="163" t="s">
        <v>87</v>
      </c>
      <c r="X26" s="162" t="s">
        <v>88</v>
      </c>
      <c r="Y26" s="162" t="s">
        <v>89</v>
      </c>
      <c r="Z26" s="162" t="s">
        <v>96</v>
      </c>
      <c r="AA26" s="299" t="s">
        <v>97</v>
      </c>
      <c r="AB26" s="299" t="s">
        <v>98</v>
      </c>
    </row>
    <row r="27" spans="1:28">
      <c r="A27" s="19" t="s">
        <v>130</v>
      </c>
      <c r="B27" s="162" t="s">
        <v>0</v>
      </c>
      <c r="C27" s="162" t="s">
        <v>1</v>
      </c>
      <c r="D27" s="162" t="s">
        <v>2</v>
      </c>
      <c r="E27" s="164" t="s">
        <v>3</v>
      </c>
      <c r="F27" s="164" t="s">
        <v>4</v>
      </c>
      <c r="G27" s="200" t="s">
        <v>48</v>
      </c>
      <c r="I27" s="98" t="s">
        <v>127</v>
      </c>
      <c r="J27" s="174">
        <f>AVERAGE(J24:J26)</f>
        <v>0.53364258701264899</v>
      </c>
      <c r="K27" s="174">
        <f t="shared" ref="K27" si="61">AVERAGE(K24:K26)</f>
        <v>0</v>
      </c>
      <c r="L27" s="174">
        <f>AVERAGE(L24:L26)</f>
        <v>0.46635741298735101</v>
      </c>
      <c r="M27" s="125"/>
      <c r="O27" s="89" t="s">
        <v>118</v>
      </c>
      <c r="P27" s="125">
        <v>1</v>
      </c>
      <c r="Q27" s="125">
        <v>1</v>
      </c>
      <c r="R27" s="125">
        <v>1</v>
      </c>
      <c r="T27" s="125">
        <v>1</v>
      </c>
      <c r="U27" s="125">
        <v>1</v>
      </c>
      <c r="V27" s="136">
        <v>1</v>
      </c>
      <c r="W27" s="125">
        <v>0</v>
      </c>
      <c r="X27" s="125">
        <v>1</v>
      </c>
      <c r="Y27" s="136">
        <v>0</v>
      </c>
      <c r="Z27" s="125">
        <v>0.20588235294117652</v>
      </c>
      <c r="AA27" s="125">
        <v>0</v>
      </c>
      <c r="AB27" s="125">
        <v>0</v>
      </c>
    </row>
    <row r="28" spans="1:28">
      <c r="A28" s="89" t="s">
        <v>118</v>
      </c>
      <c r="B28" s="125">
        <f>B20*$B$8</f>
        <v>0</v>
      </c>
      <c r="C28" s="125">
        <f>C20*$C$8</f>
        <v>0</v>
      </c>
      <c r="D28" s="125">
        <f>D20*$D$8</f>
        <v>0</v>
      </c>
      <c r="E28" s="125">
        <f>E20*$E$8</f>
        <v>0</v>
      </c>
      <c r="F28" s="136">
        <f>F20*$F$8</f>
        <v>0</v>
      </c>
      <c r="G28" s="171">
        <f>SUM(B28:F28)</f>
        <v>0</v>
      </c>
      <c r="I28" s="43" t="s">
        <v>128</v>
      </c>
      <c r="J28" s="125">
        <f>M24-J27</f>
        <v>-0.37158255694374476</v>
      </c>
      <c r="K28" s="141">
        <f>M25-K27</f>
        <v>0.64223735284954253</v>
      </c>
      <c r="L28" s="136">
        <f>M26-L27</f>
        <v>-0.27065479590579777</v>
      </c>
      <c r="M28" s="265"/>
      <c r="O28" s="43" t="s">
        <v>119</v>
      </c>
      <c r="P28" s="125">
        <v>0.625</v>
      </c>
      <c r="Q28" s="125">
        <v>0.6</v>
      </c>
      <c r="R28" s="125">
        <v>0.5</v>
      </c>
      <c r="T28" s="125">
        <v>1</v>
      </c>
      <c r="U28" s="125">
        <v>0.58620689655172398</v>
      </c>
      <c r="V28" s="136">
        <v>0.66666666666666274</v>
      </c>
      <c r="W28" s="125">
        <v>0</v>
      </c>
      <c r="X28" s="125">
        <v>0.57783641160949872</v>
      </c>
      <c r="Y28" s="136">
        <v>1</v>
      </c>
      <c r="Z28" s="125">
        <v>1</v>
      </c>
      <c r="AA28" s="125">
        <v>1</v>
      </c>
      <c r="AB28" s="125">
        <v>0</v>
      </c>
    </row>
    <row r="29" spans="1:28">
      <c r="A29" s="43" t="s">
        <v>119</v>
      </c>
      <c r="B29" s="125">
        <f>B21*$B$8</f>
        <v>0</v>
      </c>
      <c r="C29" s="125">
        <f t="shared" ref="C29:C33" si="62">C21*$C$8</f>
        <v>0</v>
      </c>
      <c r="D29" s="125">
        <f t="shared" ref="D29:D33" si="63">D21*$D$8</f>
        <v>0.13857788399281712</v>
      </c>
      <c r="E29" s="125">
        <f t="shared" ref="E29:E33" si="64">E21*$E$8</f>
        <v>0</v>
      </c>
      <c r="F29" s="136">
        <f t="shared" ref="F29:F33" si="65">F21*$F$8</f>
        <v>0.21710185040998636</v>
      </c>
      <c r="G29" s="294">
        <f t="shared" ref="G29:G33" si="66">SUM(B29:F29)</f>
        <v>0.35567973440280348</v>
      </c>
      <c r="J29">
        <v>3</v>
      </c>
      <c r="K29">
        <v>1</v>
      </c>
      <c r="L29">
        <v>2</v>
      </c>
      <c r="O29" s="15" t="s">
        <v>120</v>
      </c>
      <c r="P29" s="125">
        <v>0</v>
      </c>
      <c r="Q29" s="125">
        <v>0</v>
      </c>
      <c r="R29" s="125">
        <v>0</v>
      </c>
      <c r="T29" s="125">
        <v>0</v>
      </c>
      <c r="U29" s="125">
        <v>0</v>
      </c>
      <c r="V29" s="136">
        <v>0</v>
      </c>
      <c r="W29" s="125">
        <v>0</v>
      </c>
      <c r="X29" s="125">
        <v>0</v>
      </c>
      <c r="Y29" s="136">
        <v>0</v>
      </c>
      <c r="Z29" s="125">
        <v>0</v>
      </c>
      <c r="AA29" s="125">
        <v>0</v>
      </c>
      <c r="AB29" s="125">
        <v>0</v>
      </c>
    </row>
    <row r="30" spans="1:28">
      <c r="A30" s="15" t="s">
        <v>120</v>
      </c>
      <c r="B30" s="125">
        <f t="shared" ref="B30:B33" si="67">B22*$B$8</f>
        <v>0.17637257744779175</v>
      </c>
      <c r="C30" s="125">
        <f t="shared" si="62"/>
        <v>0.17164382680905585</v>
      </c>
      <c r="D30" s="125">
        <f t="shared" si="63"/>
        <v>7.9187362281609788E-2</v>
      </c>
      <c r="E30" s="125">
        <f t="shared" si="64"/>
        <v>0.21711649905873914</v>
      </c>
      <c r="F30" s="136">
        <f t="shared" si="65"/>
        <v>0</v>
      </c>
      <c r="G30" s="171">
        <f t="shared" si="66"/>
        <v>0.64432026559719646</v>
      </c>
      <c r="O30" s="43" t="s">
        <v>121</v>
      </c>
      <c r="P30" s="125">
        <v>0</v>
      </c>
      <c r="Q30" s="125">
        <v>0</v>
      </c>
      <c r="R30" s="125">
        <v>0</v>
      </c>
      <c r="T30" s="125">
        <v>0</v>
      </c>
      <c r="U30" s="125">
        <v>0</v>
      </c>
      <c r="V30" s="136">
        <v>0</v>
      </c>
      <c r="W30" s="125">
        <v>0</v>
      </c>
      <c r="X30" s="125">
        <v>0</v>
      </c>
      <c r="Y30" s="136">
        <v>1</v>
      </c>
      <c r="Z30" s="125">
        <v>0.79411764705882348</v>
      </c>
      <c r="AA30" s="125">
        <v>1</v>
      </c>
      <c r="AB30" s="125">
        <v>0</v>
      </c>
    </row>
    <row r="31" spans="1:28">
      <c r="A31" s="43" t="s">
        <v>121</v>
      </c>
      <c r="B31" s="125">
        <f t="shared" si="67"/>
        <v>8.8186288723895875E-2</v>
      </c>
      <c r="C31" s="125">
        <f t="shared" si="62"/>
        <v>8.5821913404527925E-2</v>
      </c>
      <c r="D31" s="125">
        <f t="shared" si="63"/>
        <v>0.21776524627442689</v>
      </c>
      <c r="E31" s="125">
        <f t="shared" si="64"/>
        <v>9.649622180388397E-3</v>
      </c>
      <c r="F31" s="136">
        <f t="shared" si="65"/>
        <v>0.21710185040998636</v>
      </c>
      <c r="G31" s="171">
        <f t="shared" si="66"/>
        <v>0.61852492099322542</v>
      </c>
      <c r="I31" s="101" t="s">
        <v>131</v>
      </c>
      <c r="J31" s="162" t="s">
        <v>6</v>
      </c>
      <c r="K31" s="162" t="s">
        <v>7</v>
      </c>
      <c r="L31" s="164" t="s">
        <v>8</v>
      </c>
      <c r="M31" s="97" t="s">
        <v>122</v>
      </c>
      <c r="O31" s="18" t="s">
        <v>123</v>
      </c>
      <c r="P31" s="125">
        <v>0</v>
      </c>
      <c r="Q31" s="125">
        <v>0</v>
      </c>
      <c r="R31" s="125">
        <v>0</v>
      </c>
      <c r="T31" s="125">
        <v>0</v>
      </c>
      <c r="U31" s="125">
        <v>0</v>
      </c>
      <c r="V31" s="136">
        <v>0</v>
      </c>
      <c r="W31" s="125">
        <v>1</v>
      </c>
      <c r="X31" s="125">
        <v>0</v>
      </c>
      <c r="Y31" s="136">
        <v>0</v>
      </c>
      <c r="Z31" s="125">
        <v>0</v>
      </c>
      <c r="AA31" s="125">
        <v>0</v>
      </c>
      <c r="AB31" s="125">
        <v>0</v>
      </c>
    </row>
    <row r="32" spans="1:28">
      <c r="A32" s="18" t="s">
        <v>123</v>
      </c>
      <c r="B32" s="125">
        <f t="shared" si="67"/>
        <v>8.8186288723895875E-2</v>
      </c>
      <c r="C32" s="125">
        <f t="shared" si="62"/>
        <v>8.5821913404527925E-2</v>
      </c>
      <c r="D32" s="125">
        <f t="shared" si="63"/>
        <v>0</v>
      </c>
      <c r="E32" s="125">
        <f t="shared" si="64"/>
        <v>0.20746687687835075</v>
      </c>
      <c r="F32" s="136">
        <f t="shared" si="65"/>
        <v>0</v>
      </c>
      <c r="G32" s="171">
        <f t="shared" si="66"/>
        <v>0.38147507900677458</v>
      </c>
      <c r="I32" s="18" t="s">
        <v>6</v>
      </c>
      <c r="J32" s="125" t="s">
        <v>124</v>
      </c>
      <c r="K32" s="125">
        <f>G44</f>
        <v>0</v>
      </c>
      <c r="L32" s="136">
        <f>G45</f>
        <v>0.3848931387924257</v>
      </c>
      <c r="M32" s="172">
        <f>AVERAGE(J32:L32)</f>
        <v>0.19244656939621285</v>
      </c>
      <c r="O32" s="263" t="s">
        <v>125</v>
      </c>
      <c r="P32" s="125">
        <v>0.375</v>
      </c>
      <c r="Q32" s="125">
        <v>0.4</v>
      </c>
      <c r="R32" s="125">
        <v>0.5</v>
      </c>
      <c r="T32" s="125">
        <v>0</v>
      </c>
      <c r="U32" s="125">
        <v>0.41379310344827602</v>
      </c>
      <c r="V32" s="136">
        <v>0.33333333333333726</v>
      </c>
      <c r="W32" s="125">
        <v>1</v>
      </c>
      <c r="X32" s="125">
        <v>0.42216358839050128</v>
      </c>
      <c r="Y32" s="136">
        <v>0</v>
      </c>
      <c r="Z32" s="125">
        <v>0</v>
      </c>
      <c r="AA32" s="125">
        <v>0</v>
      </c>
      <c r="AB32" s="125">
        <v>0</v>
      </c>
    </row>
    <row r="33" spans="1:26">
      <c r="A33" s="263" t="s">
        <v>125</v>
      </c>
      <c r="B33" s="125">
        <f t="shared" si="67"/>
        <v>0</v>
      </c>
      <c r="C33" s="125">
        <f t="shared" si="62"/>
        <v>0</v>
      </c>
      <c r="D33" s="125">
        <f t="shared" si="63"/>
        <v>0</v>
      </c>
      <c r="E33" s="125">
        <f t="shared" si="64"/>
        <v>0</v>
      </c>
      <c r="F33" s="136">
        <f t="shared" si="65"/>
        <v>0</v>
      </c>
      <c r="G33" s="171">
        <f t="shared" si="66"/>
        <v>0</v>
      </c>
      <c r="I33" s="43" t="s">
        <v>7</v>
      </c>
      <c r="J33" s="125">
        <f>G46</f>
        <v>0.61510686120757418</v>
      </c>
      <c r="K33" s="125" t="s">
        <v>124</v>
      </c>
      <c r="L33" s="136">
        <f>G47</f>
        <v>0.62756488842621694</v>
      </c>
      <c r="M33" s="172">
        <f>AVERAGE(J33:L33)</f>
        <v>0.62133587481689556</v>
      </c>
    </row>
    <row r="34" spans="1:26" ht="29">
      <c r="I34" s="43" t="s">
        <v>8</v>
      </c>
      <c r="J34" s="125">
        <f>G48</f>
        <v>0.37243511157378295</v>
      </c>
      <c r="K34" s="125">
        <f>G49</f>
        <v>0</v>
      </c>
      <c r="L34" s="136" t="s">
        <v>124</v>
      </c>
      <c r="M34" s="172">
        <f t="shared" ref="M34" si="68">AVERAGE(J34:L34)</f>
        <v>0.18621755578689148</v>
      </c>
      <c r="O34" s="101" t="s">
        <v>130</v>
      </c>
      <c r="P34" s="162" t="s">
        <v>72</v>
      </c>
      <c r="Q34" s="162" t="s">
        <v>73</v>
      </c>
      <c r="R34" s="162" t="s">
        <v>74</v>
      </c>
      <c r="S34" s="200" t="s">
        <v>48</v>
      </c>
      <c r="W34" s="298" t="s">
        <v>115</v>
      </c>
      <c r="X34" s="299" t="s">
        <v>116</v>
      </c>
      <c r="Y34" s="299" t="s">
        <v>73</v>
      </c>
      <c r="Z34" s="200" t="s">
        <v>48</v>
      </c>
    </row>
    <row r="35" spans="1:26">
      <c r="A35" s="19" t="s">
        <v>132</v>
      </c>
      <c r="B35" s="162" t="s">
        <v>0</v>
      </c>
      <c r="C35" s="162" t="s">
        <v>1</v>
      </c>
      <c r="D35" s="162" t="s">
        <v>2</v>
      </c>
      <c r="E35" s="164" t="s">
        <v>3</v>
      </c>
      <c r="F35" s="164" t="s">
        <v>4</v>
      </c>
      <c r="G35" s="200" t="s">
        <v>48</v>
      </c>
      <c r="I35" s="98" t="s">
        <v>127</v>
      </c>
      <c r="J35" s="174">
        <f>AVERAGE(J32:J34)</f>
        <v>0.49377098639067857</v>
      </c>
      <c r="K35" s="174">
        <f t="shared" ref="K35" si="69">AVERAGE(K32:K34)</f>
        <v>0</v>
      </c>
      <c r="L35" s="174">
        <f>AVERAGE(L32:L34)</f>
        <v>0.50622901360932127</v>
      </c>
      <c r="M35" s="125"/>
      <c r="O35" s="86" t="s">
        <v>118</v>
      </c>
      <c r="P35" s="125">
        <f>$N$10*P27</f>
        <v>0.27315886847465826</v>
      </c>
      <c r="Q35" s="125">
        <f>$O$10*Q27</f>
        <v>0.3521114146530358</v>
      </c>
      <c r="R35" s="125">
        <f>$P$10*R27</f>
        <v>0.37472971687230594</v>
      </c>
      <c r="S35" s="171">
        <f>SUM(P35:R35)</f>
        <v>1</v>
      </c>
      <c r="W35" s="125">
        <f>T27*$S$10</f>
        <v>0.228058984767261</v>
      </c>
      <c r="X35" s="125">
        <f t="shared" ref="X35:Y35" si="70">U27*T10</f>
        <v>0.37803595400454876</v>
      </c>
      <c r="Y35" s="125">
        <f t="shared" si="70"/>
        <v>0.39390506122819058</v>
      </c>
      <c r="Z35" s="125">
        <f t="shared" ref="Z35:Z40" si="71">SUM(W35:Y35)</f>
        <v>1.0000000000000004</v>
      </c>
    </row>
    <row r="36" spans="1:26">
      <c r="A36" s="89" t="s">
        <v>118</v>
      </c>
      <c r="B36" s="125">
        <f>B20*$B$6</f>
        <v>0</v>
      </c>
      <c r="C36" s="125">
        <f>C20*C$6</f>
        <v>0</v>
      </c>
      <c r="D36" s="125">
        <f>D20*$D$6</f>
        <v>0</v>
      </c>
      <c r="E36" s="125">
        <f>E20*E$6</f>
        <v>0</v>
      </c>
      <c r="F36" s="125">
        <f>F20*F$6</f>
        <v>0</v>
      </c>
      <c r="G36" s="171">
        <f>SUM(B36:F36)</f>
        <v>0</v>
      </c>
      <c r="I36" s="43" t="s">
        <v>128</v>
      </c>
      <c r="J36" s="125">
        <f>M32-J35</f>
        <v>-0.30132441699446572</v>
      </c>
      <c r="K36" s="141">
        <f>M33-K35</f>
        <v>0.62133587481689556</v>
      </c>
      <c r="L36" s="136">
        <f>M34-L35</f>
        <v>-0.32001145782242979</v>
      </c>
      <c r="M36" s="265"/>
      <c r="O36" s="43" t="s">
        <v>119</v>
      </c>
      <c r="P36" s="125">
        <f>$N$10*P28</f>
        <v>0.1707242927966614</v>
      </c>
      <c r="Q36" s="125">
        <f t="shared" ref="Q36:Q40" si="72">$O$10*Q28</f>
        <v>0.21126684879182148</v>
      </c>
      <c r="R36" s="125">
        <f t="shared" ref="R36:R40" si="73">$P$10*R28</f>
        <v>0.18736485843615297</v>
      </c>
      <c r="S36" s="171">
        <f t="shared" ref="S36:S40" si="74">SUM(P36:R36)</f>
        <v>0.56935600002463582</v>
      </c>
      <c r="W36" s="125">
        <f>T28*$S$10</f>
        <v>0.228058984767261</v>
      </c>
      <c r="X36" s="125">
        <f>U28*$T$10</f>
        <v>0.2216072833819768</v>
      </c>
      <c r="Y36" s="125">
        <f>V28*$U$10</f>
        <v>0.26260337415212548</v>
      </c>
      <c r="Z36" s="125">
        <f t="shared" si="71"/>
        <v>0.71226964230136325</v>
      </c>
    </row>
    <row r="37" spans="1:26">
      <c r="A37" s="43" t="s">
        <v>119</v>
      </c>
      <c r="B37" s="125">
        <f t="shared" ref="B37:B41" si="75">B21*$B$6</f>
        <v>0</v>
      </c>
      <c r="C37" s="125">
        <f t="shared" ref="C37:C41" si="76">C21*C$6</f>
        <v>0</v>
      </c>
      <c r="D37" s="125">
        <f t="shared" ref="D37:D41" si="77">D21*$D$6</f>
        <v>0.12708131120792668</v>
      </c>
      <c r="E37" s="125">
        <f t="shared" ref="E37:F41" si="78">E21*E$6</f>
        <v>0</v>
      </c>
      <c r="F37" s="125">
        <f t="shared" si="78"/>
        <v>0.19703874892988182</v>
      </c>
      <c r="G37" s="171">
        <f t="shared" ref="G37:G41" si="79">SUM(B37:F37)</f>
        <v>0.32412006013780847</v>
      </c>
      <c r="J37">
        <v>2</v>
      </c>
      <c r="K37">
        <v>1</v>
      </c>
      <c r="L37">
        <v>3</v>
      </c>
      <c r="O37" s="43" t="s">
        <v>120</v>
      </c>
      <c r="P37" s="125">
        <f t="shared" ref="P37:P40" si="80">$N$10*P29</f>
        <v>0</v>
      </c>
      <c r="Q37" s="125">
        <f t="shared" si="72"/>
        <v>0</v>
      </c>
      <c r="R37" s="125">
        <f t="shared" si="73"/>
        <v>0</v>
      </c>
      <c r="S37" s="171">
        <f>SUM(P37:R37)</f>
        <v>0</v>
      </c>
      <c r="W37" s="125">
        <f t="shared" ref="W37:W40" si="81">T29*$S$10</f>
        <v>0</v>
      </c>
      <c r="X37" s="125">
        <f t="shared" ref="X37:X40" si="82">U29*$T$10</f>
        <v>0</v>
      </c>
      <c r="Y37" s="125">
        <f t="shared" ref="Y37:Y40" si="83">V29*$U$10</f>
        <v>0</v>
      </c>
      <c r="Z37" s="125">
        <f t="shared" si="71"/>
        <v>0</v>
      </c>
    </row>
    <row r="38" spans="1:26">
      <c r="A38" s="15" t="s">
        <v>120</v>
      </c>
      <c r="B38" s="125">
        <f t="shared" si="75"/>
        <v>0.20309835403964366</v>
      </c>
      <c r="C38" s="125">
        <f t="shared" si="76"/>
        <v>0.20309835403964366</v>
      </c>
      <c r="D38" s="125">
        <f t="shared" si="77"/>
        <v>7.2617892118815253E-2</v>
      </c>
      <c r="E38" s="125">
        <f t="shared" si="78"/>
        <v>0.1970653396640889</v>
      </c>
      <c r="F38" s="125">
        <f t="shared" si="78"/>
        <v>0</v>
      </c>
      <c r="G38" s="171">
        <f t="shared" si="79"/>
        <v>0.67587993986219153</v>
      </c>
      <c r="O38" s="43" t="s">
        <v>121</v>
      </c>
      <c r="P38" s="125">
        <f t="shared" si="80"/>
        <v>0</v>
      </c>
      <c r="Q38" s="125">
        <f t="shared" si="72"/>
        <v>0</v>
      </c>
      <c r="R38" s="125">
        <f t="shared" si="73"/>
        <v>0</v>
      </c>
      <c r="S38" s="171">
        <f t="shared" si="74"/>
        <v>0</v>
      </c>
      <c r="W38" s="125">
        <f t="shared" si="81"/>
        <v>0</v>
      </c>
      <c r="X38" s="125">
        <f t="shared" si="82"/>
        <v>0</v>
      </c>
      <c r="Y38" s="125">
        <f t="shared" si="83"/>
        <v>0</v>
      </c>
      <c r="Z38" s="125">
        <f t="shared" si="71"/>
        <v>0</v>
      </c>
    </row>
    <row r="39" spans="1:26">
      <c r="A39" s="43" t="s">
        <v>121</v>
      </c>
      <c r="B39" s="125">
        <f t="shared" si="75"/>
        <v>0.10154917701982183</v>
      </c>
      <c r="C39" s="125">
        <f t="shared" si="76"/>
        <v>0.10154917701982183</v>
      </c>
      <c r="D39" s="125">
        <f t="shared" si="77"/>
        <v>0.19969920332674193</v>
      </c>
      <c r="E39" s="125">
        <f t="shared" si="78"/>
        <v>8.7584595406261633E-3</v>
      </c>
      <c r="F39" s="125">
        <f t="shared" si="78"/>
        <v>0.19703874892988182</v>
      </c>
      <c r="G39" s="171">
        <f t="shared" si="79"/>
        <v>0.60859476583689354</v>
      </c>
      <c r="I39" s="101" t="s">
        <v>133</v>
      </c>
      <c r="J39" s="162" t="s">
        <v>6</v>
      </c>
      <c r="K39" s="162" t="s">
        <v>7</v>
      </c>
      <c r="L39" s="164" t="s">
        <v>8</v>
      </c>
      <c r="M39" s="97" t="s">
        <v>122</v>
      </c>
      <c r="O39" s="43" t="s">
        <v>123</v>
      </c>
      <c r="P39" s="125">
        <f t="shared" si="80"/>
        <v>0</v>
      </c>
      <c r="Q39" s="125">
        <f t="shared" si="72"/>
        <v>0</v>
      </c>
      <c r="R39" s="125">
        <f t="shared" si="73"/>
        <v>0</v>
      </c>
      <c r="S39" s="171">
        <f t="shared" si="74"/>
        <v>0</v>
      </c>
      <c r="W39" s="125">
        <f t="shared" si="81"/>
        <v>0</v>
      </c>
      <c r="X39" s="125">
        <f t="shared" si="82"/>
        <v>0</v>
      </c>
      <c r="Y39" s="125">
        <f t="shared" si="83"/>
        <v>0</v>
      </c>
      <c r="Z39" s="125">
        <f t="shared" si="71"/>
        <v>0</v>
      </c>
    </row>
    <row r="40" spans="1:26">
      <c r="A40" s="18" t="s">
        <v>123</v>
      </c>
      <c r="B40" s="125">
        <f t="shared" si="75"/>
        <v>0.10154917701982183</v>
      </c>
      <c r="C40" s="125">
        <f t="shared" si="76"/>
        <v>0.10154917701982183</v>
      </c>
      <c r="D40" s="125">
        <f t="shared" si="77"/>
        <v>0</v>
      </c>
      <c r="E40" s="125">
        <f t="shared" si="78"/>
        <v>0.18830688012346275</v>
      </c>
      <c r="F40" s="125">
        <f t="shared" si="78"/>
        <v>0</v>
      </c>
      <c r="G40" s="171">
        <f t="shared" si="79"/>
        <v>0.39140523416310641</v>
      </c>
      <c r="I40" s="18" t="s">
        <v>6</v>
      </c>
      <c r="J40" s="125" t="s">
        <v>124</v>
      </c>
      <c r="K40" s="125">
        <f>S35</f>
        <v>1</v>
      </c>
      <c r="L40" s="125">
        <f>S36</f>
        <v>0.56935600002463582</v>
      </c>
      <c r="M40" s="293">
        <f>AVERAGE(J40:L40)</f>
        <v>0.78467800001231791</v>
      </c>
      <c r="O40" s="263" t="s">
        <v>125</v>
      </c>
      <c r="P40" s="125">
        <f t="shared" si="80"/>
        <v>0.10243457567799685</v>
      </c>
      <c r="Q40" s="125">
        <f t="shared" si="72"/>
        <v>0.14084456586121433</v>
      </c>
      <c r="R40" s="125">
        <f t="shared" si="73"/>
        <v>0.18736485843615297</v>
      </c>
      <c r="S40" s="171">
        <f t="shared" si="74"/>
        <v>0.43064399997536418</v>
      </c>
      <c r="W40" s="125">
        <f t="shared" si="81"/>
        <v>0</v>
      </c>
      <c r="X40" s="125">
        <f t="shared" si="82"/>
        <v>0.15642867062257196</v>
      </c>
      <c r="Y40" s="125">
        <f t="shared" si="83"/>
        <v>0.13130168707606507</v>
      </c>
      <c r="Z40" s="125">
        <f t="shared" si="71"/>
        <v>0.28773035769863703</v>
      </c>
    </row>
    <row r="41" spans="1:26">
      <c r="A41" s="263" t="s">
        <v>125</v>
      </c>
      <c r="B41" s="125">
        <f t="shared" si="75"/>
        <v>0</v>
      </c>
      <c r="C41" s="125">
        <f t="shared" si="76"/>
        <v>0</v>
      </c>
      <c r="D41" s="125">
        <f t="shared" si="77"/>
        <v>0</v>
      </c>
      <c r="E41" s="125">
        <f t="shared" si="78"/>
        <v>0</v>
      </c>
      <c r="F41" s="125">
        <f t="shared" si="78"/>
        <v>0</v>
      </c>
      <c r="G41" s="171">
        <f t="shared" si="79"/>
        <v>0</v>
      </c>
      <c r="I41" s="43" t="s">
        <v>7</v>
      </c>
      <c r="J41" s="125">
        <f>S37</f>
        <v>0</v>
      </c>
      <c r="K41" s="125" t="s">
        <v>124</v>
      </c>
      <c r="L41" s="125">
        <f>S38</f>
        <v>0</v>
      </c>
      <c r="M41" s="293">
        <f t="shared" ref="M41:M42" si="84">AVERAGE(J41:L41)</f>
        <v>0</v>
      </c>
    </row>
    <row r="42" spans="1:26" ht="29">
      <c r="I42" s="43" t="s">
        <v>8</v>
      </c>
      <c r="J42" s="166">
        <f>S39</f>
        <v>0</v>
      </c>
      <c r="K42" s="166">
        <f>S40</f>
        <v>0.43064399997536418</v>
      </c>
      <c r="L42" s="166" t="s">
        <v>124</v>
      </c>
      <c r="M42" s="293">
        <f t="shared" si="84"/>
        <v>0.21532199998768209</v>
      </c>
      <c r="S42" s="101" t="s">
        <v>130</v>
      </c>
      <c r="T42" s="298" t="s">
        <v>115</v>
      </c>
      <c r="U42" s="299" t="s">
        <v>116</v>
      </c>
      <c r="V42" s="299" t="s">
        <v>73</v>
      </c>
      <c r="W42" s="163" t="s">
        <v>87</v>
      </c>
      <c r="X42" s="162" t="s">
        <v>88</v>
      </c>
      <c r="Y42" s="162" t="s">
        <v>89</v>
      </c>
      <c r="Z42" s="200" t="s">
        <v>48</v>
      </c>
    </row>
    <row r="43" spans="1:26">
      <c r="A43" s="19" t="s">
        <v>134</v>
      </c>
      <c r="B43" s="162" t="s">
        <v>0</v>
      </c>
      <c r="C43" s="162" t="s">
        <v>1</v>
      </c>
      <c r="D43" s="162" t="s">
        <v>2</v>
      </c>
      <c r="E43" s="164" t="s">
        <v>3</v>
      </c>
      <c r="F43" s="164" t="s">
        <v>4</v>
      </c>
      <c r="G43" s="200" t="s">
        <v>48</v>
      </c>
      <c r="I43" s="98" t="s">
        <v>127</v>
      </c>
      <c r="J43" s="292">
        <f>AVERAGE(J40:J42)</f>
        <v>0</v>
      </c>
      <c r="K43" s="292">
        <f t="shared" ref="K43:L43" si="85">AVERAGE(K40:K42)</f>
        <v>0.71532199998768209</v>
      </c>
      <c r="L43" s="292">
        <f t="shared" si="85"/>
        <v>0.28467800001231791</v>
      </c>
      <c r="M43" s="10"/>
      <c r="S43" s="86" t="s">
        <v>118</v>
      </c>
      <c r="T43" s="125">
        <f>T27*$Z$10</f>
        <v>0.11415811466937768</v>
      </c>
      <c r="U43" s="125">
        <f>U27*$AA$10</f>
        <v>0.18923118433786076</v>
      </c>
      <c r="V43" s="125">
        <f>V27*$AB$10</f>
        <v>0.19717468791868184</v>
      </c>
      <c r="W43" s="125">
        <f>W27*$W$10</f>
        <v>0</v>
      </c>
      <c r="X43" s="125">
        <f>X27*$X$10</f>
        <v>0.17000168440878669</v>
      </c>
      <c r="Y43" s="136">
        <f>Y27*$Y$10</f>
        <v>0</v>
      </c>
      <c r="Z43" s="125">
        <f>SUM(T43:Y43)</f>
        <v>0.67056567133470701</v>
      </c>
    </row>
    <row r="44" spans="1:26">
      <c r="A44" s="89" t="s">
        <v>118</v>
      </c>
      <c r="B44" s="125">
        <f>B20*B$7</f>
        <v>0</v>
      </c>
      <c r="C44" s="125">
        <f>C20*C$7</f>
        <v>0</v>
      </c>
      <c r="D44" s="125">
        <f t="shared" ref="D44:F44" si="86">D20*D$7</f>
        <v>0</v>
      </c>
      <c r="E44" s="125">
        <f t="shared" si="86"/>
        <v>0</v>
      </c>
      <c r="F44" s="125">
        <f t="shared" si="86"/>
        <v>0</v>
      </c>
      <c r="G44" s="171">
        <f>SUM(B44:F44)</f>
        <v>0</v>
      </c>
      <c r="I44" s="43" t="s">
        <v>128</v>
      </c>
      <c r="J44" s="125">
        <f>J43-M40</f>
        <v>-0.78467800001231791</v>
      </c>
      <c r="K44" s="125">
        <f>K43-M41</f>
        <v>0.71532199998768209</v>
      </c>
      <c r="L44" s="125">
        <f>L43-M42</f>
        <v>6.9356000024635822E-2</v>
      </c>
      <c r="M44" s="10"/>
      <c r="S44" s="43" t="s">
        <v>119</v>
      </c>
      <c r="T44" s="125">
        <f t="shared" ref="T44:T48" si="87">T28*$Z$10</f>
        <v>0.11415811466937768</v>
      </c>
      <c r="U44" s="125">
        <f t="shared" ref="U44:U47" si="88">U28*$AA$10</f>
        <v>0.11092862530150456</v>
      </c>
      <c r="V44" s="125">
        <f t="shared" ref="V44:V48" si="89">V28*$AB$10</f>
        <v>0.13144979194578713</v>
      </c>
      <c r="W44" s="125">
        <f t="shared" ref="W44:W48" si="90">W28*$W$10</f>
        <v>0</v>
      </c>
      <c r="X44" s="125">
        <f t="shared" ref="X44:X48" si="91">X28*$X$10</f>
        <v>9.8233163286343766E-2</v>
      </c>
      <c r="Y44" s="136">
        <f t="shared" ref="Y44:Y48" si="92">Y28*$Y$10</f>
        <v>0.17468020991560698</v>
      </c>
      <c r="Z44" s="125">
        <f t="shared" ref="Z44:Z48" si="93">SUM(T44:Y44)</f>
        <v>0.62944990511862009</v>
      </c>
    </row>
    <row r="45" spans="1:26">
      <c r="A45" s="43" t="s">
        <v>119</v>
      </c>
      <c r="B45" s="125">
        <f t="shared" ref="B45:F49" si="94">B21*B$7</f>
        <v>0</v>
      </c>
      <c r="C45" s="125">
        <f t="shared" si="94"/>
        <v>0</v>
      </c>
      <c r="D45" s="125">
        <f t="shared" si="94"/>
        <v>0.14901257349535071</v>
      </c>
      <c r="E45" s="125">
        <f t="shared" si="94"/>
        <v>0</v>
      </c>
      <c r="F45" s="125">
        <f t="shared" si="94"/>
        <v>0.23588056529707499</v>
      </c>
      <c r="G45" s="171">
        <f t="shared" ref="G45:G49" si="95">SUM(B45:F45)</f>
        <v>0.3848931387924257</v>
      </c>
      <c r="J45">
        <v>3</v>
      </c>
      <c r="K45">
        <v>1</v>
      </c>
      <c r="L45">
        <v>2</v>
      </c>
      <c r="S45" s="43" t="s">
        <v>120</v>
      </c>
      <c r="T45" s="125">
        <f t="shared" si="87"/>
        <v>0</v>
      </c>
      <c r="U45" s="125">
        <f t="shared" si="88"/>
        <v>0</v>
      </c>
      <c r="V45" s="125">
        <f t="shared" si="89"/>
        <v>0</v>
      </c>
      <c r="W45" s="125">
        <f t="shared" si="90"/>
        <v>0</v>
      </c>
      <c r="X45" s="125">
        <f t="shared" si="91"/>
        <v>0</v>
      </c>
      <c r="Y45" s="136">
        <f t="shared" si="92"/>
        <v>0</v>
      </c>
      <c r="Z45" s="125">
        <f t="shared" si="93"/>
        <v>0</v>
      </c>
    </row>
    <row r="46" spans="1:26">
      <c r="A46" s="15" t="s">
        <v>120</v>
      </c>
      <c r="B46" s="125">
        <f t="shared" si="94"/>
        <v>0.15103321615419399</v>
      </c>
      <c r="C46" s="125">
        <f t="shared" si="94"/>
        <v>0.14304303775896199</v>
      </c>
      <c r="D46" s="125">
        <f t="shared" si="94"/>
        <v>8.5150041997343273E-2</v>
      </c>
      <c r="E46" s="125">
        <f t="shared" si="94"/>
        <v>0.23588056529707499</v>
      </c>
      <c r="F46" s="125">
        <f t="shared" si="94"/>
        <v>0</v>
      </c>
      <c r="G46" s="171">
        <f t="shared" si="95"/>
        <v>0.61510686120757418</v>
      </c>
      <c r="S46" s="43" t="s">
        <v>121</v>
      </c>
      <c r="T46" s="125">
        <f t="shared" si="87"/>
        <v>0</v>
      </c>
      <c r="U46" s="125">
        <f t="shared" si="88"/>
        <v>0</v>
      </c>
      <c r="V46" s="125">
        <f t="shared" si="89"/>
        <v>0</v>
      </c>
      <c r="W46" s="125">
        <f t="shared" si="90"/>
        <v>0</v>
      </c>
      <c r="X46" s="125">
        <f t="shared" si="91"/>
        <v>0</v>
      </c>
      <c r="Y46" s="136">
        <f t="shared" si="92"/>
        <v>0.17468020991560698</v>
      </c>
      <c r="Z46" s="125">
        <f t="shared" si="93"/>
        <v>0.17468020991560698</v>
      </c>
    </row>
    <row r="47" spans="1:26">
      <c r="A47" s="43" t="s">
        <v>121</v>
      </c>
      <c r="B47" s="125">
        <f t="shared" si="94"/>
        <v>7.5516608077096994E-2</v>
      </c>
      <c r="C47" s="125">
        <f t="shared" si="94"/>
        <v>7.1521518879480994E-2</v>
      </c>
      <c r="D47" s="125">
        <f t="shared" si="94"/>
        <v>0.23416261549269399</v>
      </c>
      <c r="E47" s="125">
        <f t="shared" si="94"/>
        <v>1.0483580679869988E-2</v>
      </c>
      <c r="F47" s="125">
        <f t="shared" si="94"/>
        <v>0.23588056529707499</v>
      </c>
      <c r="G47" s="171">
        <f t="shared" si="95"/>
        <v>0.62756488842621694</v>
      </c>
      <c r="I47" s="101" t="s">
        <v>135</v>
      </c>
      <c r="J47" s="162" t="s">
        <v>6</v>
      </c>
      <c r="K47" s="162" t="s">
        <v>7</v>
      </c>
      <c r="L47" s="164" t="s">
        <v>8</v>
      </c>
      <c r="M47" s="97" t="s">
        <v>122</v>
      </c>
      <c r="S47" s="43" t="s">
        <v>123</v>
      </c>
      <c r="T47" s="125">
        <f t="shared" si="87"/>
        <v>0</v>
      </c>
      <c r="U47" s="125">
        <f t="shared" si="88"/>
        <v>0</v>
      </c>
      <c r="V47" s="125">
        <f t="shared" si="89"/>
        <v>0</v>
      </c>
      <c r="W47" s="125">
        <f t="shared" si="90"/>
        <v>0.15475411874968614</v>
      </c>
      <c r="X47" s="125">
        <f t="shared" si="91"/>
        <v>0</v>
      </c>
      <c r="Y47" s="136">
        <f t="shared" si="92"/>
        <v>0</v>
      </c>
      <c r="Z47" s="125">
        <f t="shared" si="93"/>
        <v>0.15475411874968614</v>
      </c>
    </row>
    <row r="48" spans="1:26">
      <c r="A48" s="18" t="s">
        <v>123</v>
      </c>
      <c r="B48" s="125">
        <f t="shared" si="94"/>
        <v>7.5516608077096994E-2</v>
      </c>
      <c r="C48" s="125">
        <f t="shared" si="94"/>
        <v>7.1521518879480994E-2</v>
      </c>
      <c r="D48" s="125">
        <f t="shared" si="94"/>
        <v>0</v>
      </c>
      <c r="E48" s="125">
        <f t="shared" si="94"/>
        <v>0.225396984617205</v>
      </c>
      <c r="F48" s="125">
        <f t="shared" si="94"/>
        <v>0</v>
      </c>
      <c r="G48" s="171">
        <f t="shared" si="95"/>
        <v>0.37243511157378295</v>
      </c>
      <c r="I48" s="18" t="s">
        <v>6</v>
      </c>
      <c r="J48" s="125" t="s">
        <v>124</v>
      </c>
      <c r="K48" s="125">
        <f>Z35</f>
        <v>1.0000000000000004</v>
      </c>
      <c r="L48" s="125">
        <f>Z36</f>
        <v>0.71226964230136325</v>
      </c>
      <c r="M48" s="293">
        <f>AVERAGE(J48:L48)</f>
        <v>0.85613482115068185</v>
      </c>
      <c r="S48" s="263" t="s">
        <v>125</v>
      </c>
      <c r="T48" s="125">
        <f t="shared" si="87"/>
        <v>0</v>
      </c>
      <c r="U48" s="125">
        <f>U32*$AA$10</f>
        <v>7.8302559036356204E-2</v>
      </c>
      <c r="V48" s="125">
        <f t="shared" si="89"/>
        <v>6.5724895972894715E-2</v>
      </c>
      <c r="W48" s="125">
        <f t="shared" si="90"/>
        <v>0.15475411874968614</v>
      </c>
      <c r="X48" s="125">
        <f t="shared" si="91"/>
        <v>7.1768521122442919E-2</v>
      </c>
      <c r="Y48" s="136">
        <f t="shared" si="92"/>
        <v>0</v>
      </c>
      <c r="Z48" s="125">
        <f t="shared" si="93"/>
        <v>0.37055009488137997</v>
      </c>
    </row>
    <row r="49" spans="1:43">
      <c r="A49" s="263" t="s">
        <v>125</v>
      </c>
      <c r="B49" s="125">
        <f t="shared" si="94"/>
        <v>0</v>
      </c>
      <c r="C49" s="125">
        <f t="shared" si="94"/>
        <v>0</v>
      </c>
      <c r="D49" s="125">
        <f t="shared" si="94"/>
        <v>0</v>
      </c>
      <c r="E49" s="125">
        <f t="shared" si="94"/>
        <v>0</v>
      </c>
      <c r="F49" s="125">
        <f t="shared" si="94"/>
        <v>0</v>
      </c>
      <c r="G49" s="171">
        <f t="shared" si="95"/>
        <v>0</v>
      </c>
      <c r="I49" s="43" t="s">
        <v>7</v>
      </c>
      <c r="J49" s="125">
        <f>Z37</f>
        <v>0</v>
      </c>
      <c r="K49" s="125" t="s">
        <v>124</v>
      </c>
      <c r="L49" s="125">
        <f>Z38</f>
        <v>0</v>
      </c>
      <c r="M49" s="293">
        <f>AVERAGE(J49:L49)</f>
        <v>0</v>
      </c>
    </row>
    <row r="50" spans="1:43" ht="29">
      <c r="I50" s="43" t="s">
        <v>8</v>
      </c>
      <c r="J50" s="166">
        <f>Z39</f>
        <v>0</v>
      </c>
      <c r="K50" s="166">
        <f>Z40</f>
        <v>0.28773035769863703</v>
      </c>
      <c r="L50" s="166" t="s">
        <v>124</v>
      </c>
      <c r="M50" s="293">
        <f t="shared" ref="M50" si="96">AVERAGE(J50:L50)</f>
        <v>0.14386517884931851</v>
      </c>
      <c r="O50" s="101" t="s">
        <v>136</v>
      </c>
      <c r="P50" s="162" t="s">
        <v>6</v>
      </c>
      <c r="Q50" s="162" t="s">
        <v>7</v>
      </c>
      <c r="R50" s="164" t="s">
        <v>8</v>
      </c>
      <c r="S50" s="324" t="s">
        <v>122</v>
      </c>
      <c r="V50" s="101" t="s">
        <v>130</v>
      </c>
      <c r="W50" s="298" t="s">
        <v>115</v>
      </c>
      <c r="X50" s="299" t="s">
        <v>116</v>
      </c>
      <c r="Y50" s="299" t="s">
        <v>73</v>
      </c>
      <c r="Z50" s="163" t="s">
        <v>87</v>
      </c>
      <c r="AA50" s="162" t="s">
        <v>88</v>
      </c>
      <c r="AB50" s="162" t="s">
        <v>89</v>
      </c>
      <c r="AC50" s="162" t="s">
        <v>96</v>
      </c>
      <c r="AD50" s="299" t="s">
        <v>97</v>
      </c>
      <c r="AE50" s="299" t="s">
        <v>98</v>
      </c>
      <c r="AF50" s="200" t="s">
        <v>48</v>
      </c>
    </row>
    <row r="51" spans="1:43">
      <c r="I51" s="98" t="s">
        <v>127</v>
      </c>
      <c r="J51" s="292">
        <f>AVERAGE(J48:J50)</f>
        <v>0</v>
      </c>
      <c r="K51" s="292">
        <f t="shared" ref="K51:L51" si="97">AVERAGE(K48:K50)</f>
        <v>0.64386517884931871</v>
      </c>
      <c r="L51" s="292">
        <f t="shared" si="97"/>
        <v>0.35613482115068162</v>
      </c>
      <c r="M51" s="10"/>
      <c r="O51" s="18" t="s">
        <v>6</v>
      </c>
      <c r="P51" s="125" t="s">
        <v>124</v>
      </c>
      <c r="Q51" s="125">
        <f>Z43</f>
        <v>0.67056567133470701</v>
      </c>
      <c r="R51" s="125">
        <f>Z44</f>
        <v>0.62944990511862009</v>
      </c>
      <c r="S51" s="293">
        <f>AVERAGE(P51:R51)</f>
        <v>0.6500077882266635</v>
      </c>
      <c r="V51" s="86" t="s">
        <v>118</v>
      </c>
      <c r="W51" s="125">
        <f>$W$58*$T$27</f>
        <v>7.5808137058846981E-2</v>
      </c>
      <c r="X51" s="125">
        <f>$X$58*U27</f>
        <v>0.1256613566161191</v>
      </c>
      <c r="Y51" s="125">
        <f>$Y$58*V27</f>
        <v>0.1309363404394448</v>
      </c>
      <c r="Z51" s="125">
        <f>$Z$58*W27</f>
        <v>0</v>
      </c>
      <c r="AA51" s="125">
        <f>$AA$58*X27</f>
        <v>9.2576799673288759E-2</v>
      </c>
      <c r="AB51" s="125">
        <f>$AB$58*Y27</f>
        <v>0</v>
      </c>
      <c r="AC51" s="125">
        <f>$AC$58*Z27</f>
        <v>2.3747224642675081E-2</v>
      </c>
      <c r="AD51" s="125">
        <f>$AD$58*AA27</f>
        <v>0</v>
      </c>
      <c r="AE51" s="136">
        <f>$AE$58*AB27</f>
        <v>0</v>
      </c>
      <c r="AF51" s="125">
        <f>SUM(W51:AE51)</f>
        <v>0.44872985843037472</v>
      </c>
    </row>
    <row r="52" spans="1:43">
      <c r="I52" s="43" t="s">
        <v>128</v>
      </c>
      <c r="J52" s="125">
        <f>J51-M48</f>
        <v>-0.85613482115068185</v>
      </c>
      <c r="K52" s="125">
        <f>K51-M49</f>
        <v>0.64386517884931871</v>
      </c>
      <c r="L52" s="125">
        <f>L51-M50</f>
        <v>0.21226964230136311</v>
      </c>
      <c r="M52" s="10"/>
      <c r="O52" s="43" t="s">
        <v>7</v>
      </c>
      <c r="P52" s="125">
        <f>Z45</f>
        <v>0</v>
      </c>
      <c r="Q52" s="125" t="s">
        <v>124</v>
      </c>
      <c r="R52" s="125">
        <f>Z46</f>
        <v>0.17468020991560698</v>
      </c>
      <c r="S52" s="293">
        <f>AVERAGE(P52:R52)</f>
        <v>8.7340104957803491E-2</v>
      </c>
      <c r="V52" s="43" t="s">
        <v>119</v>
      </c>
      <c r="W52" s="125">
        <f>$W$58*T28</f>
        <v>7.5808137058846981E-2</v>
      </c>
      <c r="X52" s="125">
        <f t="shared" ref="X52:X56" si="98">$X$58*U28</f>
        <v>7.3663553878414625E-2</v>
      </c>
      <c r="Y52" s="125">
        <f t="shared" ref="Y52:Y56" si="99">$Y$58*V28</f>
        <v>8.7290893626296023E-2</v>
      </c>
      <c r="Z52" s="125">
        <f t="shared" ref="Z52:Z56" si="100">$Z$58*W28</f>
        <v>0</v>
      </c>
      <c r="AA52" s="125">
        <f>$AA$58*X28</f>
        <v>5.3494245721504588E-2</v>
      </c>
      <c r="AB52" s="125">
        <f t="shared" ref="AB52:AB56" si="101">$AB$58*Y28</f>
        <v>9.5124556303568891E-2</v>
      </c>
      <c r="AC52" s="125">
        <f t="shared" ref="AC52:AC56" si="102">$AC$58*Z28</f>
        <v>0.11534366255013608</v>
      </c>
      <c r="AD52" s="125">
        <f t="shared" ref="AD52:AD56" si="103">$AD$58*AA28</f>
        <v>0.11545771419146217</v>
      </c>
      <c r="AE52" s="136">
        <f t="shared" ref="AE52:AE56" si="104">$AE$58*AB28</f>
        <v>0</v>
      </c>
      <c r="AF52" s="125">
        <f t="shared" ref="AF52:AF56" si="105">SUM(W52:AE52)</f>
        <v>0.61618276333022926</v>
      </c>
    </row>
    <row r="53" spans="1:43">
      <c r="J53">
        <v>3</v>
      </c>
      <c r="K53">
        <v>1</v>
      </c>
      <c r="L53">
        <v>2</v>
      </c>
      <c r="O53" s="43" t="s">
        <v>8</v>
      </c>
      <c r="P53" s="166">
        <f>Z47</f>
        <v>0.15475411874968614</v>
      </c>
      <c r="Q53" s="166">
        <f>Z48</f>
        <v>0.37055009488137997</v>
      </c>
      <c r="R53" s="166" t="s">
        <v>124</v>
      </c>
      <c r="S53" s="293">
        <f t="shared" ref="S53" si="106">AVERAGE(P53:R53)</f>
        <v>0.26265210681553308</v>
      </c>
      <c r="V53" s="43" t="s">
        <v>120</v>
      </c>
      <c r="W53" s="125">
        <f t="shared" ref="W53:W55" si="107">$W$58*T29</f>
        <v>0</v>
      </c>
      <c r="X53" s="125">
        <f t="shared" si="98"/>
        <v>0</v>
      </c>
      <c r="Y53" s="125">
        <f t="shared" si="99"/>
        <v>0</v>
      </c>
      <c r="Z53" s="125">
        <f t="shared" si="100"/>
        <v>0</v>
      </c>
      <c r="AA53" s="125">
        <f t="shared" ref="AA53:AA56" si="108">$AA$58*X29</f>
        <v>0</v>
      </c>
      <c r="AB53" s="125">
        <f t="shared" si="101"/>
        <v>0</v>
      </c>
      <c r="AC53" s="125">
        <f t="shared" si="102"/>
        <v>0</v>
      </c>
      <c r="AD53" s="125">
        <f t="shared" si="103"/>
        <v>0</v>
      </c>
      <c r="AE53" s="136">
        <f t="shared" si="104"/>
        <v>0</v>
      </c>
      <c r="AF53" s="125">
        <f t="shared" si="105"/>
        <v>0</v>
      </c>
    </row>
    <row r="54" spans="1:43">
      <c r="O54" s="98" t="s">
        <v>127</v>
      </c>
      <c r="P54" s="292">
        <f>AVERAGE(P51:P53)</f>
        <v>7.7377059374843071E-2</v>
      </c>
      <c r="Q54" s="292">
        <f>AVERAGE(Q51:Q53)</f>
        <v>0.52055788310804352</v>
      </c>
      <c r="R54" s="292">
        <f t="shared" ref="R54" si="109">AVERAGE(R51:R53)</f>
        <v>0.40206505751711352</v>
      </c>
      <c r="S54" s="10"/>
      <c r="V54" s="43" t="s">
        <v>121</v>
      </c>
      <c r="W54" s="125">
        <f t="shared" si="107"/>
        <v>0</v>
      </c>
      <c r="X54" s="125">
        <f t="shared" si="98"/>
        <v>0</v>
      </c>
      <c r="Y54" s="125">
        <f t="shared" si="99"/>
        <v>0</v>
      </c>
      <c r="Z54" s="125">
        <f t="shared" si="100"/>
        <v>0</v>
      </c>
      <c r="AA54" s="125">
        <f t="shared" si="108"/>
        <v>0</v>
      </c>
      <c r="AB54" s="125">
        <f t="shared" si="101"/>
        <v>9.5124556303568891E-2</v>
      </c>
      <c r="AC54" s="125">
        <f t="shared" si="102"/>
        <v>9.1596437907460998E-2</v>
      </c>
      <c r="AD54" s="125">
        <f t="shared" si="103"/>
        <v>0.11545771419146217</v>
      </c>
      <c r="AE54" s="136">
        <f t="shared" si="104"/>
        <v>0</v>
      </c>
      <c r="AF54" s="125">
        <f t="shared" si="105"/>
        <v>0.30217870840249206</v>
      </c>
    </row>
    <row r="55" spans="1:43">
      <c r="J55" t="s">
        <v>29</v>
      </c>
      <c r="O55" s="43" t="s">
        <v>128</v>
      </c>
      <c r="P55" s="125">
        <f>S51-P54</f>
        <v>0.57263072885182043</v>
      </c>
      <c r="Q55" s="125">
        <f>S52-Q54</f>
        <v>-0.43321777815024004</v>
      </c>
      <c r="R55" s="125">
        <f>S53-R54</f>
        <v>-0.13941295070158044</v>
      </c>
      <c r="S55" s="10"/>
      <c r="V55" s="43" t="s">
        <v>123</v>
      </c>
      <c r="W55" s="125">
        <f t="shared" si="107"/>
        <v>0</v>
      </c>
      <c r="X55" s="125">
        <f t="shared" si="98"/>
        <v>0</v>
      </c>
      <c r="Y55" s="125">
        <f t="shared" si="99"/>
        <v>0</v>
      </c>
      <c r="Z55" s="125">
        <f t="shared" si="100"/>
        <v>8.4273524112009016E-2</v>
      </c>
      <c r="AA55" s="125">
        <f t="shared" si="108"/>
        <v>0</v>
      </c>
      <c r="AB55" s="125">
        <f t="shared" si="101"/>
        <v>0</v>
      </c>
      <c r="AC55" s="125">
        <f t="shared" si="102"/>
        <v>0</v>
      </c>
      <c r="AD55" s="125">
        <f t="shared" si="103"/>
        <v>0</v>
      </c>
      <c r="AE55" s="136">
        <f t="shared" si="104"/>
        <v>0</v>
      </c>
      <c r="AF55" s="125">
        <f t="shared" si="105"/>
        <v>8.4273524112009016E-2</v>
      </c>
    </row>
    <row r="56" spans="1:43">
      <c r="P56">
        <v>1</v>
      </c>
      <c r="Q56">
        <v>3</v>
      </c>
      <c r="R56">
        <v>2</v>
      </c>
      <c r="V56" s="263" t="s">
        <v>125</v>
      </c>
      <c r="W56" s="125">
        <f>$W$58*T32</f>
        <v>0</v>
      </c>
      <c r="X56" s="125">
        <f t="shared" si="98"/>
        <v>5.1997802737704477E-2</v>
      </c>
      <c r="Y56" s="125">
        <f t="shared" si="99"/>
        <v>4.3645446813148782E-2</v>
      </c>
      <c r="Z56" s="125">
        <f t="shared" si="100"/>
        <v>8.4273524112009016E-2</v>
      </c>
      <c r="AA56" s="125">
        <f t="shared" si="108"/>
        <v>3.9082553951784171E-2</v>
      </c>
      <c r="AB56" s="125">
        <f t="shared" si="101"/>
        <v>0</v>
      </c>
      <c r="AC56" s="125">
        <f t="shared" si="102"/>
        <v>0</v>
      </c>
      <c r="AD56" s="125">
        <f t="shared" si="103"/>
        <v>0</v>
      </c>
      <c r="AE56" s="136">
        <f t="shared" si="104"/>
        <v>0</v>
      </c>
      <c r="AF56" s="125">
        <f t="shared" si="105"/>
        <v>0.21899932761464647</v>
      </c>
    </row>
    <row r="57" spans="1:43" ht="15" thickBot="1"/>
    <row r="58" spans="1:43" ht="15" thickBot="1">
      <c r="P58" t="s">
        <v>322</v>
      </c>
      <c r="V58" s="368" t="s">
        <v>325</v>
      </c>
      <c r="W58" s="373">
        <f>AH64/$AQ$64</f>
        <v>7.5808137058846981E-2</v>
      </c>
      <c r="X58" s="371">
        <f t="shared" ref="X58:AE58" si="110">AI64/$AQ$64</f>
        <v>0.1256613566161191</v>
      </c>
      <c r="Y58" s="371">
        <f t="shared" si="110"/>
        <v>0.1309363404394448</v>
      </c>
      <c r="Z58" s="371">
        <f t="shared" si="110"/>
        <v>8.4273524112009016E-2</v>
      </c>
      <c r="AA58" s="371">
        <f t="shared" si="110"/>
        <v>9.2576799673288759E-2</v>
      </c>
      <c r="AB58" s="371">
        <f t="shared" si="110"/>
        <v>9.5124556303568891E-2</v>
      </c>
      <c r="AC58" s="371">
        <f t="shared" si="110"/>
        <v>0.11534366255013608</v>
      </c>
      <c r="AD58" s="371">
        <f t="shared" si="110"/>
        <v>0.11545771419146217</v>
      </c>
      <c r="AE58" s="372">
        <f t="shared" si="110"/>
        <v>0.16481790905512431</v>
      </c>
      <c r="AG58" s="354" t="s">
        <v>34</v>
      </c>
      <c r="AH58" s="271" t="s">
        <v>331</v>
      </c>
    </row>
    <row r="59" spans="1:43" ht="15" thickBot="1">
      <c r="O59" s="101" t="s">
        <v>114</v>
      </c>
      <c r="P59" s="162" t="s">
        <v>6</v>
      </c>
      <c r="Q59" s="162" t="s">
        <v>7</v>
      </c>
      <c r="R59" s="164" t="s">
        <v>8</v>
      </c>
      <c r="S59" s="324" t="s">
        <v>122</v>
      </c>
      <c r="V59" s="369" t="s">
        <v>324</v>
      </c>
      <c r="W59" s="374">
        <f>W61*$AH$59</f>
        <v>8.1192971543442113E-2</v>
      </c>
      <c r="X59" s="359">
        <f t="shared" ref="X59:Y59" si="111">X61*$AH$59</f>
        <v>0.13429544820841782</v>
      </c>
      <c r="Y59" s="359">
        <f t="shared" si="111"/>
        <v>0.14997768194305508</v>
      </c>
      <c r="Z59" s="359">
        <f>Z61*$AH$60</f>
        <v>0.1003388452470019</v>
      </c>
      <c r="AA59" s="359">
        <f t="shared" ref="AA59:AB59" si="112">AA61*$AH$60</f>
        <v>7.2715021711133532E-2</v>
      </c>
      <c r="AB59" s="359">
        <f t="shared" si="112"/>
        <v>7.2715021711133532E-2</v>
      </c>
      <c r="AC59" s="359">
        <f>AC61*$AH$61</f>
        <v>0.10734999141253292</v>
      </c>
      <c r="AD59" s="359">
        <f t="shared" ref="AD59:AE59" si="113">AD61*$AH$61</f>
        <v>0.10712350162225447</v>
      </c>
      <c r="AE59" s="363">
        <f t="shared" si="113"/>
        <v>0.17429151660102862</v>
      </c>
      <c r="AG59" s="351" t="s">
        <v>94</v>
      </c>
      <c r="AH59" s="115">
        <f>0.365466101694915</f>
        <v>0.365466101694915</v>
      </c>
    </row>
    <row r="60" spans="1:43" ht="15" thickBot="1">
      <c r="O60" s="18" t="s">
        <v>6</v>
      </c>
      <c r="P60" s="125" t="s">
        <v>124</v>
      </c>
      <c r="Q60" s="125">
        <f>AF51</f>
        <v>0.44872985843037472</v>
      </c>
      <c r="R60" s="125">
        <f>AF52</f>
        <v>0.61618276333022926</v>
      </c>
      <c r="S60" s="293">
        <f>AVERAGE(P60:R60)</f>
        <v>0.53245631088030199</v>
      </c>
      <c r="V60" s="369" t="s">
        <v>327</v>
      </c>
      <c r="W60" s="374">
        <v>6.939312916970819E-2</v>
      </c>
      <c r="X60" s="359">
        <v>0.11527774021437866</v>
      </c>
      <c r="Y60" s="359">
        <v>0.11207197356080337</v>
      </c>
      <c r="Z60" s="359">
        <v>6.939312916970819E-2</v>
      </c>
      <c r="AA60" s="359">
        <v>0.11555359147631947</v>
      </c>
      <c r="AB60" s="359">
        <v>0.12200128627343157</v>
      </c>
      <c r="AC60" s="359">
        <v>0.12150348108397796</v>
      </c>
      <c r="AD60" s="359">
        <v>0.12200128627343157</v>
      </c>
      <c r="AE60" s="363">
        <v>0.1528043827782411</v>
      </c>
      <c r="AG60" s="354" t="s">
        <v>95</v>
      </c>
      <c r="AH60" s="355">
        <f>0.245768888669269</f>
        <v>0.24576888866926899</v>
      </c>
    </row>
    <row r="61" spans="1:43" ht="15" thickBot="1">
      <c r="N61" t="s">
        <v>322</v>
      </c>
      <c r="O61" s="43" t="s">
        <v>7</v>
      </c>
      <c r="P61" s="125">
        <f>AF53</f>
        <v>0</v>
      </c>
      <c r="Q61" s="125" t="s">
        <v>124</v>
      </c>
      <c r="R61" s="125">
        <f>AF54</f>
        <v>0.30217870840249206</v>
      </c>
      <c r="S61" s="293">
        <f>AVERAGE(P61:R61)</f>
        <v>0.15108935420124603</v>
      </c>
      <c r="V61" s="370" t="s">
        <v>326</v>
      </c>
      <c r="W61" s="375">
        <v>0.22216279749857801</v>
      </c>
      <c r="X61" s="361">
        <v>0.36746348727172901</v>
      </c>
      <c r="Y61" s="361">
        <v>0.41037371522969301</v>
      </c>
      <c r="Z61" s="361">
        <v>0.40826504034051198</v>
      </c>
      <c r="AA61" s="361">
        <v>0.29586747982974398</v>
      </c>
      <c r="AB61" s="361">
        <v>0.29586747982974398</v>
      </c>
      <c r="AC61" s="361">
        <v>0.27613079560090897</v>
      </c>
      <c r="AD61" s="361">
        <v>0.27554820770162602</v>
      </c>
      <c r="AE61" s="364">
        <v>0.448320996697465</v>
      </c>
      <c r="AG61" s="353" t="s">
        <v>100</v>
      </c>
      <c r="AH61" s="120">
        <f>0.388765009635816</f>
        <v>0.38876500963581601</v>
      </c>
    </row>
    <row r="62" spans="1:43">
      <c r="O62" s="43" t="s">
        <v>8</v>
      </c>
      <c r="P62" s="166">
        <f>AF55</f>
        <v>8.4273524112009016E-2</v>
      </c>
      <c r="Q62" s="166">
        <f>AF56</f>
        <v>0.21899932761464647</v>
      </c>
      <c r="R62" s="166" t="s">
        <v>124</v>
      </c>
      <c r="S62" s="293">
        <f t="shared" ref="S62" si="114">AVERAGE(P62:R62)</f>
        <v>0.15163642586332773</v>
      </c>
    </row>
    <row r="63" spans="1:43" ht="29">
      <c r="O63" s="336" t="s">
        <v>127</v>
      </c>
      <c r="P63" s="337">
        <f>AVERAGE(P60:P62)</f>
        <v>4.2136762056004508E-2</v>
      </c>
      <c r="Q63" s="337">
        <f>AVERAGE(Q60:Q62)</f>
        <v>0.33386459302251059</v>
      </c>
      <c r="R63" s="337">
        <f t="shared" ref="R63" si="115">AVERAGE(R60:R62)</f>
        <v>0.45918073586636066</v>
      </c>
      <c r="S63" s="10"/>
      <c r="V63" s="101" t="s">
        <v>132</v>
      </c>
      <c r="W63" s="298" t="s">
        <v>115</v>
      </c>
      <c r="X63" s="299" t="s">
        <v>116</v>
      </c>
      <c r="Y63" s="299" t="s">
        <v>73</v>
      </c>
      <c r="Z63" s="163" t="s">
        <v>87</v>
      </c>
      <c r="AA63" s="162" t="s">
        <v>88</v>
      </c>
      <c r="AB63" s="162" t="s">
        <v>89</v>
      </c>
      <c r="AC63" s="162" t="s">
        <v>96</v>
      </c>
      <c r="AD63" s="299" t="s">
        <v>97</v>
      </c>
      <c r="AE63" s="299" t="s">
        <v>98</v>
      </c>
      <c r="AF63" s="332" t="s">
        <v>48</v>
      </c>
    </row>
    <row r="64" spans="1:43">
      <c r="O64" s="43" t="s">
        <v>128</v>
      </c>
      <c r="P64" s="125">
        <f>S60-P63</f>
        <v>0.49031954882429746</v>
      </c>
      <c r="Q64" s="125">
        <f>S61-Q63</f>
        <v>-0.18277523882126456</v>
      </c>
      <c r="R64" s="125">
        <f>S62-R63</f>
        <v>-0.30754431000303295</v>
      </c>
      <c r="S64" s="10"/>
      <c r="V64" s="86" t="s">
        <v>118</v>
      </c>
      <c r="W64" s="125">
        <f>$W$60*$T$27</f>
        <v>6.939312916970819E-2</v>
      </c>
      <c r="X64" s="125">
        <f>$X$60*U27</f>
        <v>0.11527774021437866</v>
      </c>
      <c r="Y64" s="125">
        <f>$Y$60*V27</f>
        <v>0.11207197356080337</v>
      </c>
      <c r="Z64" s="125">
        <f>$Z$60*W27</f>
        <v>0</v>
      </c>
      <c r="AA64" s="125">
        <f>$AA$60*X27</f>
        <v>0.11555359147631947</v>
      </c>
      <c r="AB64" s="125">
        <f>$AB$60*Y27</f>
        <v>0</v>
      </c>
      <c r="AC64" s="125">
        <f>$AC$60*Z27</f>
        <v>2.5015422576113115E-2</v>
      </c>
      <c r="AD64" s="125">
        <f>$AD$60*AA27</f>
        <v>0</v>
      </c>
      <c r="AE64" s="136">
        <f>$AE$60*AB27</f>
        <v>0</v>
      </c>
      <c r="AF64" s="125">
        <f>SUM(W64:AE64)</f>
        <v>0.43731185699732278</v>
      </c>
      <c r="AH64" s="99">
        <f>(W59)^0.5*(W60)^0.5</f>
        <v>7.5061537167756695E-2</v>
      </c>
      <c r="AI64" s="99">
        <f>(X59)^0.5*(X60)^0.5</f>
        <v>0.12442377502126968</v>
      </c>
      <c r="AJ64" s="99">
        <f t="shared" ref="AJ64:AM64" si="116">(Y59)^0.5*(Y60)^0.5</f>
        <v>0.12964680792612152</v>
      </c>
      <c r="AK64" s="99">
        <f t="shared" si="116"/>
        <v>8.344355247090432E-2</v>
      </c>
      <c r="AL64" s="99">
        <f t="shared" si="116"/>
        <v>9.1665052844582082E-2</v>
      </c>
      <c r="AM64" s="99">
        <f t="shared" si="116"/>
        <v>9.4187717777631672E-2</v>
      </c>
      <c r="AN64" s="99">
        <f>(AC59)^0.5*(AC60)^0.5</f>
        <v>0.11420769523529442</v>
      </c>
      <c r="AO64" s="99">
        <f t="shared" ref="AO64" si="117">(AD59)^0.5*(AD60)^0.5</f>
        <v>0.11432062363383555</v>
      </c>
      <c r="AP64" s="99">
        <f t="shared" ref="AP64" si="118">(AE59)^0.5*(AE60)^0.5</f>
        <v>0.16319469236989217</v>
      </c>
      <c r="AQ64" s="99">
        <f>SUM(AH64:AP64)</f>
        <v>0.99015145444728803</v>
      </c>
    </row>
    <row r="65" spans="15:45">
      <c r="P65">
        <v>1</v>
      </c>
      <c r="Q65">
        <v>2</v>
      </c>
      <c r="R65">
        <v>3</v>
      </c>
      <c r="V65" s="333" t="s">
        <v>119</v>
      </c>
      <c r="W65" s="125">
        <f>$W$60*T28</f>
        <v>6.939312916970819E-2</v>
      </c>
      <c r="X65" s="125">
        <f t="shared" ref="X65:X69" si="119">$X$60*U28</f>
        <v>6.7576606332566777E-2</v>
      </c>
      <c r="Y65" s="125">
        <f t="shared" ref="Y65:Y69" si="120">$Y$60*V28</f>
        <v>7.4714649040535139E-2</v>
      </c>
      <c r="Z65" s="125">
        <f t="shared" ref="Z65:Z69" si="121">$Z$60*W28</f>
        <v>0</v>
      </c>
      <c r="AA65" s="125">
        <f t="shared" ref="AA65:AA69" si="122">$AA$60*X28</f>
        <v>6.6771072647266394E-2</v>
      </c>
      <c r="AB65" s="125">
        <f t="shared" ref="AB65:AB69" si="123">$AB$60*Y28</f>
        <v>0.12200128627343157</v>
      </c>
      <c r="AC65" s="125">
        <f t="shared" ref="AC65:AC69" si="124">$AC$60*Z28</f>
        <v>0.12150348108397796</v>
      </c>
      <c r="AD65" s="125">
        <f t="shared" ref="AD65:AD69" si="125">$AD$60*AA28</f>
        <v>0.12200128627343157</v>
      </c>
      <c r="AE65" s="136">
        <f t="shared" ref="AE65:AE68" si="126">$AE$60*AB28</f>
        <v>0</v>
      </c>
      <c r="AF65" s="125">
        <f t="shared" ref="AF65:AF69" si="127">SUM(W65:AE65)</f>
        <v>0.64396151082091768</v>
      </c>
    </row>
    <row r="66" spans="15:45" ht="16.5">
      <c r="V66" s="333" t="s">
        <v>120</v>
      </c>
      <c r="W66" s="125">
        <f t="shared" ref="W66:W69" si="128">$W$60*T29</f>
        <v>0</v>
      </c>
      <c r="X66" s="125">
        <f t="shared" si="119"/>
        <v>0</v>
      </c>
      <c r="Y66" s="125">
        <f t="shared" si="120"/>
        <v>0</v>
      </c>
      <c r="Z66" s="125">
        <f t="shared" si="121"/>
        <v>0</v>
      </c>
      <c r="AA66" s="125">
        <f t="shared" si="122"/>
        <v>0</v>
      </c>
      <c r="AB66" s="125">
        <f t="shared" si="123"/>
        <v>0</v>
      </c>
      <c r="AC66" s="125">
        <f t="shared" si="124"/>
        <v>0</v>
      </c>
      <c r="AD66" s="125">
        <f t="shared" si="125"/>
        <v>0</v>
      </c>
      <c r="AE66" s="136">
        <f t="shared" si="126"/>
        <v>0</v>
      </c>
      <c r="AF66" s="125">
        <f t="shared" si="127"/>
        <v>0</v>
      </c>
      <c r="AH66" s="398" t="s">
        <v>241</v>
      </c>
      <c r="AI66" s="342" t="s">
        <v>329</v>
      </c>
      <c r="AJ66" s="194">
        <v>0</v>
      </c>
      <c r="AK66" s="194">
        <v>0.1</v>
      </c>
      <c r="AL66" s="194">
        <v>0.2</v>
      </c>
      <c r="AM66" s="194">
        <v>0.3</v>
      </c>
      <c r="AN66" s="194">
        <v>0.4</v>
      </c>
      <c r="AO66" s="194">
        <v>0.5</v>
      </c>
      <c r="AP66" s="194">
        <v>0.6</v>
      </c>
      <c r="AQ66" s="194">
        <v>0.7</v>
      </c>
      <c r="AR66" s="194">
        <v>0.8</v>
      </c>
      <c r="AS66" s="194">
        <v>0.9</v>
      </c>
    </row>
    <row r="67" spans="15:45">
      <c r="O67" s="101" t="s">
        <v>319</v>
      </c>
      <c r="P67" s="162" t="s">
        <v>6</v>
      </c>
      <c r="Q67" s="162" t="s">
        <v>7</v>
      </c>
      <c r="R67" s="164" t="s">
        <v>8</v>
      </c>
      <c r="S67" s="324" t="s">
        <v>122</v>
      </c>
      <c r="V67" s="333" t="s">
        <v>121</v>
      </c>
      <c r="W67" s="125">
        <f t="shared" si="128"/>
        <v>0</v>
      </c>
      <c r="X67" s="125">
        <f t="shared" si="119"/>
        <v>0</v>
      </c>
      <c r="Y67" s="125">
        <f t="shared" si="120"/>
        <v>0</v>
      </c>
      <c r="Z67" s="125">
        <f t="shared" si="121"/>
        <v>0</v>
      </c>
      <c r="AA67" s="125">
        <f t="shared" si="122"/>
        <v>0</v>
      </c>
      <c r="AB67" s="125">
        <f t="shared" si="123"/>
        <v>0.12200128627343157</v>
      </c>
      <c r="AC67" s="125">
        <f t="shared" si="124"/>
        <v>9.6488058507864849E-2</v>
      </c>
      <c r="AD67" s="125">
        <f t="shared" si="125"/>
        <v>0.12200128627343157</v>
      </c>
      <c r="AE67" s="136">
        <f t="shared" si="126"/>
        <v>0</v>
      </c>
      <c r="AF67" s="125">
        <f t="shared" si="127"/>
        <v>0.34049063105472799</v>
      </c>
      <c r="AH67" s="398"/>
      <c r="AI67" s="338" t="s">
        <v>6</v>
      </c>
      <c r="AJ67" s="195">
        <v>0.49031954882429746</v>
      </c>
      <c r="AK67" s="195">
        <v>0.50531044562250182</v>
      </c>
      <c r="AL67" s="195">
        <v>0.51775170216662614</v>
      </c>
      <c r="AM67" s="195">
        <v>0.52838484672481134</v>
      </c>
      <c r="AN67" s="195">
        <v>0.53766458773664805</v>
      </c>
      <c r="AO67" s="195">
        <v>0.54589129890228305</v>
      </c>
      <c r="AP67" s="195">
        <v>0.55327441118117793</v>
      </c>
      <c r="AQ67" s="195">
        <v>0.55996607343347871</v>
      </c>
      <c r="AR67" s="195">
        <v>0.56608045949003982</v>
      </c>
      <c r="AS67" s="195">
        <v>0.57170552371237215</v>
      </c>
    </row>
    <row r="68" spans="15:45">
      <c r="O68" s="18" t="s">
        <v>6</v>
      </c>
      <c r="P68" s="125" t="s">
        <v>124</v>
      </c>
      <c r="Q68" s="125">
        <f>AF64</f>
        <v>0.43731185699732278</v>
      </c>
      <c r="R68" s="125">
        <f>AF65</f>
        <v>0.64396151082091768</v>
      </c>
      <c r="S68" s="293">
        <f>AVERAGE(P68:R68)</f>
        <v>0.54063668390912023</v>
      </c>
      <c r="V68" s="333" t="s">
        <v>123</v>
      </c>
      <c r="W68" s="125">
        <f t="shared" si="128"/>
        <v>0</v>
      </c>
      <c r="X68" s="125">
        <f t="shared" si="119"/>
        <v>0</v>
      </c>
      <c r="Y68" s="125">
        <f t="shared" si="120"/>
        <v>0</v>
      </c>
      <c r="Z68" s="125">
        <f t="shared" si="121"/>
        <v>6.939312916970819E-2</v>
      </c>
      <c r="AA68" s="125">
        <f t="shared" si="122"/>
        <v>0</v>
      </c>
      <c r="AB68" s="125">
        <f t="shared" si="123"/>
        <v>0</v>
      </c>
      <c r="AC68" s="125">
        <f t="shared" si="124"/>
        <v>0</v>
      </c>
      <c r="AD68" s="125">
        <f t="shared" si="125"/>
        <v>0</v>
      </c>
      <c r="AE68" s="136">
        <f t="shared" si="126"/>
        <v>0</v>
      </c>
      <c r="AF68" s="125">
        <f>SUM(W68:AE68)</f>
        <v>6.939312916970819E-2</v>
      </c>
      <c r="AH68" s="398"/>
      <c r="AI68" s="338" t="s">
        <v>7</v>
      </c>
      <c r="AJ68" s="195">
        <v>-0.18277523882126456</v>
      </c>
      <c r="AK68" s="195">
        <v>-0.20167043601107387</v>
      </c>
      <c r="AL68" s="195">
        <v>-0.21735195252437489</v>
      </c>
      <c r="AM68" s="195">
        <v>-0.23075444377484647</v>
      </c>
      <c r="AN68" s="195">
        <v>-0.24245104462864037</v>
      </c>
      <c r="AO68" s="195">
        <v>-0.25282035953960025</v>
      </c>
      <c r="AP68" s="195">
        <v>-0.26212636466138384</v>
      </c>
      <c r="AQ68" s="195">
        <v>-0.27056083522621149</v>
      </c>
      <c r="AR68" s="195">
        <v>-0.27826768103994448</v>
      </c>
      <c r="AS68" s="195">
        <v>-0.28535776371592164</v>
      </c>
    </row>
    <row r="69" spans="15:45">
      <c r="O69" s="333" t="s">
        <v>7</v>
      </c>
      <c r="P69" s="125">
        <f>AF66</f>
        <v>0</v>
      </c>
      <c r="Q69" s="125" t="s">
        <v>124</v>
      </c>
      <c r="R69" s="125">
        <f>AF67</f>
        <v>0.34049063105472799</v>
      </c>
      <c r="S69" s="293">
        <f>AVERAGE(P69:R69)</f>
        <v>0.17024531552736399</v>
      </c>
      <c r="V69" s="263" t="s">
        <v>125</v>
      </c>
      <c r="W69" s="125">
        <f t="shared" si="128"/>
        <v>0</v>
      </c>
      <c r="X69" s="125">
        <f t="shared" si="119"/>
        <v>4.7701133881811873E-2</v>
      </c>
      <c r="Y69" s="125">
        <f t="shared" si="120"/>
        <v>3.7357324520268229E-2</v>
      </c>
      <c r="Z69" s="125">
        <f t="shared" si="121"/>
        <v>6.939312916970819E-2</v>
      </c>
      <c r="AA69" s="125">
        <f t="shared" si="122"/>
        <v>4.8782518829053066E-2</v>
      </c>
      <c r="AB69" s="125">
        <f t="shared" si="123"/>
        <v>0</v>
      </c>
      <c r="AC69" s="125">
        <f t="shared" si="124"/>
        <v>0</v>
      </c>
      <c r="AD69" s="125">
        <f t="shared" si="125"/>
        <v>0</v>
      </c>
      <c r="AE69" s="136">
        <f>$AE$60*AB32</f>
        <v>0</v>
      </c>
      <c r="AF69" s="125">
        <f t="shared" si="127"/>
        <v>0.20323410640084136</v>
      </c>
      <c r="AH69" s="398"/>
      <c r="AI69" s="339" t="s">
        <v>8</v>
      </c>
      <c r="AJ69" s="195">
        <v>-0.30754431000303295</v>
      </c>
      <c r="AK69" s="195">
        <v>-0.30364000961142801</v>
      </c>
      <c r="AL69" s="195">
        <v>-0.30039974964225125</v>
      </c>
      <c r="AM69" s="195">
        <v>-0.29763040294996496</v>
      </c>
      <c r="AN69" s="195">
        <v>-0.29521354310800768</v>
      </c>
      <c r="AO69" s="195">
        <v>-0.29307093936268291</v>
      </c>
      <c r="AP69" s="195">
        <v>-0.29114804651979409</v>
      </c>
      <c r="AQ69" s="195">
        <v>-0.28940523820726716</v>
      </c>
      <c r="AR69" s="195">
        <v>-0.2878127784500954</v>
      </c>
      <c r="AS69" s="195">
        <v>-0.28634775999645051</v>
      </c>
    </row>
    <row r="70" spans="15:45">
      <c r="O70" s="333" t="s">
        <v>8</v>
      </c>
      <c r="P70" s="166">
        <f>AF68</f>
        <v>6.939312916970819E-2</v>
      </c>
      <c r="Q70" s="166">
        <f>AF69</f>
        <v>0.20323410640084136</v>
      </c>
      <c r="R70" s="166" t="s">
        <v>124</v>
      </c>
      <c r="S70" s="293">
        <f t="shared" ref="S70" si="129">AVERAGE(P70:R70)</f>
        <v>0.13631361778527479</v>
      </c>
    </row>
    <row r="71" spans="15:45" ht="29">
      <c r="O71" s="336" t="s">
        <v>127</v>
      </c>
      <c r="P71" s="337">
        <f>AVERAGE(P68:P70)</f>
        <v>3.4696564584854095E-2</v>
      </c>
      <c r="Q71" s="337">
        <f>AVERAGE(Q68:Q70)</f>
        <v>0.32027298169908208</v>
      </c>
      <c r="R71" s="337">
        <f t="shared" ref="R71" si="130">AVERAGE(R68:R70)</f>
        <v>0.49222607093782283</v>
      </c>
      <c r="S71" s="10"/>
      <c r="V71" s="101" t="s">
        <v>328</v>
      </c>
      <c r="W71" s="298" t="s">
        <v>115</v>
      </c>
      <c r="X71" s="299" t="s">
        <v>116</v>
      </c>
      <c r="Y71" s="299" t="s">
        <v>73</v>
      </c>
      <c r="Z71" s="163" t="s">
        <v>87</v>
      </c>
      <c r="AA71" s="162" t="s">
        <v>88</v>
      </c>
      <c r="AB71" s="162" t="s">
        <v>89</v>
      </c>
      <c r="AC71" s="162" t="s">
        <v>96</v>
      </c>
      <c r="AD71" s="299" t="s">
        <v>97</v>
      </c>
      <c r="AE71" s="299" t="s">
        <v>98</v>
      </c>
      <c r="AF71" s="332" t="s">
        <v>48</v>
      </c>
      <c r="AH71" s="399" t="s">
        <v>242</v>
      </c>
      <c r="AI71" s="342" t="s">
        <v>329</v>
      </c>
      <c r="AJ71" s="194">
        <v>0</v>
      </c>
      <c r="AK71" s="194">
        <v>0.1</v>
      </c>
      <c r="AL71" s="194">
        <v>0.2</v>
      </c>
      <c r="AM71" s="194">
        <v>0.3</v>
      </c>
      <c r="AN71" s="194">
        <v>0.4</v>
      </c>
      <c r="AO71" s="194">
        <v>0.5</v>
      </c>
      <c r="AP71" s="194">
        <v>0.6</v>
      </c>
      <c r="AQ71" s="194">
        <v>0.7</v>
      </c>
      <c r="AR71" s="194">
        <v>0.8</v>
      </c>
      <c r="AS71" s="194">
        <v>0.9</v>
      </c>
    </row>
    <row r="72" spans="15:45">
      <c r="O72" s="156" t="s">
        <v>128</v>
      </c>
      <c r="P72" s="125">
        <f>S68-P71</f>
        <v>0.50594011932426608</v>
      </c>
      <c r="Q72" s="125">
        <f>S69-Q71</f>
        <v>-0.15002766617171809</v>
      </c>
      <c r="R72" s="125">
        <f>S70-R71</f>
        <v>-0.35591245315254805</v>
      </c>
      <c r="S72" s="10"/>
      <c r="V72" s="86" t="s">
        <v>118</v>
      </c>
      <c r="W72" s="125">
        <f>$W$59*$T$27</f>
        <v>8.1192971543442113E-2</v>
      </c>
      <c r="X72" s="125">
        <f>$X$58*U27</f>
        <v>0.1256613566161191</v>
      </c>
      <c r="Y72" s="125">
        <f>$Y$58*V27</f>
        <v>0.1309363404394448</v>
      </c>
      <c r="Z72" s="125">
        <f>$Z$58*W27</f>
        <v>0</v>
      </c>
      <c r="AA72" s="125">
        <f>$AA$58*X27</f>
        <v>9.2576799673288759E-2</v>
      </c>
      <c r="AB72" s="125">
        <f>$AB$58*Y27</f>
        <v>0</v>
      </c>
      <c r="AC72" s="125">
        <f>$AC$58*Z27</f>
        <v>2.3747224642675081E-2</v>
      </c>
      <c r="AD72" s="125">
        <f>$AC$58*AA27</f>
        <v>0</v>
      </c>
      <c r="AE72" s="136">
        <f>$AE$58*AB27</f>
        <v>0</v>
      </c>
      <c r="AF72" s="125">
        <f>SUM(W72:AE72)</f>
        <v>0.45411469291496986</v>
      </c>
      <c r="AH72" s="399"/>
      <c r="AI72" s="338" t="s">
        <v>6</v>
      </c>
      <c r="AJ72" s="195">
        <v>0.49031954882429746</v>
      </c>
      <c r="AK72" s="195">
        <v>0.48059489580903303</v>
      </c>
      <c r="AL72" s="195">
        <v>0.47292495279694874</v>
      </c>
      <c r="AM72" s="195">
        <v>0.46657676473326937</v>
      </c>
      <c r="AN72" s="195">
        <v>0.4611574130331606</v>
      </c>
      <c r="AO72" s="195">
        <v>0.45642946259814349</v>
      </c>
      <c r="AP72" s="195">
        <v>0.45223756515173552</v>
      </c>
      <c r="AQ72" s="195">
        <v>0.44847412138691634</v>
      </c>
      <c r="AR72" s="195">
        <v>0.44506133077034116</v>
      </c>
      <c r="AS72" s="195">
        <v>0.44194101277642273</v>
      </c>
    </row>
    <row r="73" spans="15:45">
      <c r="P73">
        <v>1</v>
      </c>
      <c r="Q73">
        <v>2</v>
      </c>
      <c r="R73">
        <v>3</v>
      </c>
      <c r="V73" s="333" t="s">
        <v>119</v>
      </c>
      <c r="W73" s="125">
        <f>$W$59*$T28</f>
        <v>8.1192971543442113E-2</v>
      </c>
      <c r="X73" s="125">
        <f t="shared" ref="X73:X77" si="131">$X$58*U36</f>
        <v>0</v>
      </c>
      <c r="Y73" s="125">
        <f t="shared" ref="Y73:Y77" si="132">$Y$58*V28</f>
        <v>8.7290893626296023E-2</v>
      </c>
      <c r="Z73" s="125">
        <f t="shared" ref="Z73:Z77" si="133">$Z$58*W28</f>
        <v>0</v>
      </c>
      <c r="AA73" s="125">
        <f t="shared" ref="AA73:AA77" si="134">$AA$58*X28</f>
        <v>5.3494245721504588E-2</v>
      </c>
      <c r="AB73" s="125">
        <f t="shared" ref="AB73:AB77" si="135">$AB$58*Y28</f>
        <v>9.5124556303568891E-2</v>
      </c>
      <c r="AC73" s="125">
        <f t="shared" ref="AC73:AC77" si="136">$AC$58*Z28</f>
        <v>0.11534366255013608</v>
      </c>
      <c r="AD73" s="125">
        <f t="shared" ref="AD73:AD77" si="137">$AC$58*AA28</f>
        <v>0.11534366255013608</v>
      </c>
      <c r="AE73" s="136">
        <f t="shared" ref="AE73:AE77" si="138">$AE$58*AB28</f>
        <v>0</v>
      </c>
      <c r="AF73" s="125">
        <f t="shared" ref="AF73:AF77" si="139">SUM(W73:AE73)</f>
        <v>0.54778999229508374</v>
      </c>
      <c r="AH73" s="399"/>
      <c r="AI73" s="338" t="s">
        <v>7</v>
      </c>
      <c r="AJ73" s="195">
        <v>-0.18277523882126456</v>
      </c>
      <c r="AK73" s="195">
        <v>-0.18466971128339396</v>
      </c>
      <c r="AL73" s="195">
        <v>-0.18616390298356966</v>
      </c>
      <c r="AM73" s="195">
        <v>-0.18740060186137866</v>
      </c>
      <c r="AN73" s="195">
        <v>-0.188456352903841</v>
      </c>
      <c r="AO73" s="195">
        <v>-0.18937741115521448</v>
      </c>
      <c r="AP73" s="195">
        <v>-0.19019404021784786</v>
      </c>
      <c r="AQ73" s="195">
        <v>-0.19092720165445973</v>
      </c>
      <c r="AR73" s="195">
        <v>-0.19159205188942094</v>
      </c>
      <c r="AS73" s="195">
        <v>-0.1921999251475503</v>
      </c>
    </row>
    <row r="74" spans="15:45">
      <c r="V74" s="333" t="s">
        <v>120</v>
      </c>
      <c r="W74" s="125">
        <f t="shared" ref="W74:W77" si="140">$W$59*$T29</f>
        <v>0</v>
      </c>
      <c r="X74" s="125">
        <f t="shared" si="131"/>
        <v>0</v>
      </c>
      <c r="Y74" s="125">
        <f t="shared" si="132"/>
        <v>0</v>
      </c>
      <c r="Z74" s="125">
        <f t="shared" si="133"/>
        <v>0</v>
      </c>
      <c r="AA74" s="125">
        <f t="shared" si="134"/>
        <v>0</v>
      </c>
      <c r="AB74" s="125">
        <f t="shared" si="135"/>
        <v>0</v>
      </c>
      <c r="AC74" s="125">
        <f t="shared" si="136"/>
        <v>0</v>
      </c>
      <c r="AD74" s="125">
        <f t="shared" si="137"/>
        <v>0</v>
      </c>
      <c r="AE74" s="136">
        <f t="shared" si="138"/>
        <v>0</v>
      </c>
      <c r="AF74" s="125">
        <f t="shared" si="139"/>
        <v>0</v>
      </c>
      <c r="AH74" s="399"/>
      <c r="AI74" s="339" t="s">
        <v>8</v>
      </c>
      <c r="AJ74" s="195">
        <v>-0.30754431000303295</v>
      </c>
      <c r="AK74" s="195">
        <v>-0.29592518452563904</v>
      </c>
      <c r="AL74" s="195">
        <v>-0.28676104981337913</v>
      </c>
      <c r="AM74" s="195">
        <v>-0.27917616287189073</v>
      </c>
      <c r="AN74" s="195">
        <v>-0.27270106012931961</v>
      </c>
      <c r="AO74" s="195">
        <v>-0.26705205144292904</v>
      </c>
      <c r="AP74" s="195">
        <v>-0.26204352493388766</v>
      </c>
      <c r="AQ74" s="195">
        <v>-0.25754691973245664</v>
      </c>
      <c r="AR74" s="195">
        <v>-0.25346927888092019</v>
      </c>
      <c r="AS74" s="195">
        <v>-0.24974108762887237</v>
      </c>
    </row>
    <row r="75" spans="15:45">
      <c r="O75" s="101" t="s">
        <v>323</v>
      </c>
      <c r="P75" s="162" t="s">
        <v>6</v>
      </c>
      <c r="Q75" s="162" t="s">
        <v>7</v>
      </c>
      <c r="R75" s="164" t="s">
        <v>8</v>
      </c>
      <c r="S75" s="324" t="s">
        <v>122</v>
      </c>
      <c r="V75" s="333" t="s">
        <v>121</v>
      </c>
      <c r="W75" s="125">
        <f t="shared" si="140"/>
        <v>0</v>
      </c>
      <c r="X75" s="125">
        <f t="shared" si="131"/>
        <v>0</v>
      </c>
      <c r="Y75" s="125">
        <f t="shared" si="132"/>
        <v>0</v>
      </c>
      <c r="Z75" s="125">
        <f t="shared" si="133"/>
        <v>0</v>
      </c>
      <c r="AA75" s="125">
        <f t="shared" si="134"/>
        <v>0</v>
      </c>
      <c r="AB75" s="125">
        <f t="shared" si="135"/>
        <v>9.5124556303568891E-2</v>
      </c>
      <c r="AC75" s="125">
        <f t="shared" si="136"/>
        <v>9.1596437907460998E-2</v>
      </c>
      <c r="AD75" s="125">
        <f t="shared" si="137"/>
        <v>0.11534366255013608</v>
      </c>
      <c r="AE75" s="136">
        <f t="shared" si="138"/>
        <v>0</v>
      </c>
      <c r="AF75" s="125">
        <f t="shared" si="139"/>
        <v>0.30206465676116595</v>
      </c>
    </row>
    <row r="76" spans="15:45" ht="16.5">
      <c r="O76" s="18" t="s">
        <v>6</v>
      </c>
      <c r="P76" s="125" t="s">
        <v>124</v>
      </c>
      <c r="Q76" s="125">
        <f>AF72</f>
        <v>0.45411469291496986</v>
      </c>
      <c r="R76" s="125">
        <f>AF73</f>
        <v>0.54778999229508374</v>
      </c>
      <c r="S76" s="293">
        <f>AVERAGE(P76:R76)</f>
        <v>0.50095234260502686</v>
      </c>
      <c r="V76" s="333" t="s">
        <v>123</v>
      </c>
      <c r="W76" s="125">
        <f t="shared" si="140"/>
        <v>0</v>
      </c>
      <c r="X76" s="125">
        <f t="shared" si="131"/>
        <v>0</v>
      </c>
      <c r="Y76" s="125">
        <f t="shared" si="132"/>
        <v>0</v>
      </c>
      <c r="Z76" s="125">
        <f t="shared" si="133"/>
        <v>8.4273524112009016E-2</v>
      </c>
      <c r="AA76" s="125">
        <f t="shared" si="134"/>
        <v>0</v>
      </c>
      <c r="AB76" s="125">
        <f t="shared" si="135"/>
        <v>0</v>
      </c>
      <c r="AC76" s="125">
        <f t="shared" si="136"/>
        <v>0</v>
      </c>
      <c r="AD76" s="125">
        <f t="shared" si="137"/>
        <v>0</v>
      </c>
      <c r="AE76" s="136">
        <f t="shared" si="138"/>
        <v>0</v>
      </c>
      <c r="AF76" s="125">
        <f t="shared" si="139"/>
        <v>8.4273524112009016E-2</v>
      </c>
      <c r="AH76" s="400" t="s">
        <v>243</v>
      </c>
      <c r="AI76" s="342" t="s">
        <v>329</v>
      </c>
      <c r="AJ76" s="194">
        <v>0</v>
      </c>
      <c r="AK76" s="194">
        <v>0.1</v>
      </c>
      <c r="AL76" s="194">
        <v>0.2</v>
      </c>
      <c r="AM76" s="194">
        <v>0.3</v>
      </c>
      <c r="AN76" s="194">
        <v>0.4</v>
      </c>
      <c r="AO76" s="194">
        <v>0.5</v>
      </c>
      <c r="AP76" s="194">
        <v>0.6</v>
      </c>
      <c r="AQ76" s="194">
        <v>0.7</v>
      </c>
      <c r="AR76" s="194">
        <v>0.8</v>
      </c>
      <c r="AS76" s="194">
        <v>0.9</v>
      </c>
    </row>
    <row r="77" spans="15:45">
      <c r="O77" s="333" t="s">
        <v>7</v>
      </c>
      <c r="P77" s="125">
        <f>AF74</f>
        <v>0</v>
      </c>
      <c r="Q77" s="125" t="s">
        <v>124</v>
      </c>
      <c r="R77" s="125">
        <f>AF75</f>
        <v>0.30206465676116595</v>
      </c>
      <c r="S77" s="293">
        <f>AVERAGE(P77:R77)</f>
        <v>0.15103232838058298</v>
      </c>
      <c r="V77" s="263" t="s">
        <v>125</v>
      </c>
      <c r="W77" s="125">
        <f t="shared" si="140"/>
        <v>0</v>
      </c>
      <c r="X77" s="125">
        <f t="shared" si="131"/>
        <v>0</v>
      </c>
      <c r="Y77" s="125">
        <f t="shared" si="132"/>
        <v>4.3645446813148782E-2</v>
      </c>
      <c r="Z77" s="125">
        <f t="shared" si="133"/>
        <v>8.4273524112009016E-2</v>
      </c>
      <c r="AA77" s="125">
        <f t="shared" si="134"/>
        <v>3.9082553951784171E-2</v>
      </c>
      <c r="AB77" s="125">
        <f t="shared" si="135"/>
        <v>0</v>
      </c>
      <c r="AC77" s="125">
        <f t="shared" si="136"/>
        <v>0</v>
      </c>
      <c r="AD77" s="125">
        <f t="shared" si="137"/>
        <v>0</v>
      </c>
      <c r="AE77" s="136">
        <f t="shared" si="138"/>
        <v>0</v>
      </c>
      <c r="AF77" s="125">
        <f t="shared" si="139"/>
        <v>0.16700152487694198</v>
      </c>
      <c r="AH77" s="400"/>
      <c r="AI77" s="338" t="s">
        <v>6</v>
      </c>
      <c r="AJ77" s="195">
        <v>0.49031954882429746</v>
      </c>
      <c r="AK77" s="195">
        <v>0.48260108488520354</v>
      </c>
      <c r="AL77" s="195">
        <v>0.47622158073591275</v>
      </c>
      <c r="AM77" s="195">
        <v>0.4707943214705187</v>
      </c>
      <c r="AN77" s="195">
        <v>0.46607988864487249</v>
      </c>
      <c r="AO77" s="195">
        <v>0.46191933001673552</v>
      </c>
      <c r="AP77" s="195">
        <v>0.4582015502440519</v>
      </c>
      <c r="AQ77" s="195">
        <v>0.45484577257489556</v>
      </c>
      <c r="AR77" s="195">
        <v>0.45179139175542038</v>
      </c>
      <c r="AS77" s="195">
        <v>0.44899175885356307</v>
      </c>
    </row>
    <row r="78" spans="15:45">
      <c r="O78" s="333" t="s">
        <v>8</v>
      </c>
      <c r="P78" s="166">
        <f>AF76</f>
        <v>8.4273524112009016E-2</v>
      </c>
      <c r="Q78" s="166">
        <f>AF77</f>
        <v>0.16700152487694198</v>
      </c>
      <c r="R78" s="166" t="s">
        <v>124</v>
      </c>
      <c r="S78" s="293">
        <f t="shared" ref="S78" si="141">AVERAGE(P78:R78)</f>
        <v>0.12563752449447549</v>
      </c>
      <c r="AH78" s="400"/>
      <c r="AI78" s="338" t="s">
        <v>7</v>
      </c>
      <c r="AJ78" s="195">
        <v>-0.18277523882126456</v>
      </c>
      <c r="AK78" s="195">
        <v>-0.16380318682608189</v>
      </c>
      <c r="AL78" s="195">
        <v>-0.14812230972684429</v>
      </c>
      <c r="AM78" s="195">
        <v>-0.13478205889625222</v>
      </c>
      <c r="AN78" s="195">
        <v>-0.1231939417006882</v>
      </c>
      <c r="AO78" s="195">
        <v>-0.11296725213591344</v>
      </c>
      <c r="AP78" s="195">
        <v>-0.10382891687768425</v>
      </c>
      <c r="AQ78" s="195">
        <v>-9.5580385961961833E-2</v>
      </c>
      <c r="AR78" s="195">
        <v>-8.8072691143739584E-2</v>
      </c>
      <c r="AS78" s="195">
        <v>-8.1191168939245439E-2</v>
      </c>
    </row>
    <row r="79" spans="15:45">
      <c r="O79" s="336" t="s">
        <v>127</v>
      </c>
      <c r="P79" s="337">
        <f>AVERAGE(P76:P78)</f>
        <v>4.2136762056004508E-2</v>
      </c>
      <c r="Q79" s="337">
        <f>AVERAGE(Q76:Q78)</f>
        <v>0.31055810889595592</v>
      </c>
      <c r="R79" s="337">
        <f t="shared" ref="R79" si="142">AVERAGE(R76:R78)</f>
        <v>0.42492732452812487</v>
      </c>
      <c r="S79" s="10"/>
      <c r="AH79" s="400"/>
      <c r="AI79" s="339" t="s">
        <v>8</v>
      </c>
      <c r="AJ79" s="195">
        <v>-0.30754431000303295</v>
      </c>
      <c r="AK79" s="195">
        <v>-0.31879789805912162</v>
      </c>
      <c r="AL79" s="195">
        <v>-0.32809927100906844</v>
      </c>
      <c r="AM79" s="195">
        <v>-0.33601226257426647</v>
      </c>
      <c r="AN79" s="195">
        <v>-0.34288594694418434</v>
      </c>
      <c r="AO79" s="195">
        <v>-0.34895207788082211</v>
      </c>
      <c r="AP79" s="195">
        <v>-0.3543726333663676</v>
      </c>
      <c r="AQ79" s="195">
        <v>-0.35926538661293372</v>
      </c>
      <c r="AR79" s="195">
        <v>-0.36371870061168088</v>
      </c>
      <c r="AS79" s="195">
        <v>-0.36780058991431763</v>
      </c>
    </row>
    <row r="80" spans="15:45">
      <c r="O80" s="156" t="s">
        <v>128</v>
      </c>
      <c r="P80" s="125">
        <f>S76-P79</f>
        <v>0.45881558054902233</v>
      </c>
      <c r="Q80" s="125">
        <f>S77-Q79</f>
        <v>-0.15952578051537294</v>
      </c>
      <c r="R80" s="125">
        <f>S78-R79</f>
        <v>-0.29928980003364936</v>
      </c>
      <c r="S80" s="10"/>
    </row>
    <row r="81" spans="16:18">
      <c r="P81">
        <v>1</v>
      </c>
      <c r="Q81">
        <v>2</v>
      </c>
      <c r="R81">
        <v>3</v>
      </c>
    </row>
  </sheetData>
  <mergeCells count="3">
    <mergeCell ref="AH66:AH69"/>
    <mergeCell ref="AH71:AH74"/>
    <mergeCell ref="AH76:AH7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61212-7B80-403F-A9FA-D958ED78E798}">
  <dimension ref="A1:BH66"/>
  <sheetViews>
    <sheetView topLeftCell="AE1" workbookViewId="0">
      <selection activeCell="N5" sqref="N5"/>
    </sheetView>
  </sheetViews>
  <sheetFormatPr defaultRowHeight="14.5"/>
  <cols>
    <col min="4" max="4" width="22" customWidth="1"/>
    <col min="8" max="8" width="23.453125" customWidth="1"/>
    <col min="9" max="9" width="10.81640625" customWidth="1"/>
    <col min="18" max="18" width="12.26953125" customWidth="1"/>
    <col min="19" max="19" width="10.81640625" customWidth="1"/>
    <col min="20" max="20" width="11.54296875" customWidth="1"/>
    <col min="21" max="21" width="10.26953125" customWidth="1"/>
    <col min="29" max="29" width="18" customWidth="1"/>
  </cols>
  <sheetData>
    <row r="1" spans="1:48">
      <c r="B1" s="1" t="s">
        <v>137</v>
      </c>
      <c r="C1" s="1" t="s">
        <v>138</v>
      </c>
      <c r="D1" s="1" t="s">
        <v>139</v>
      </c>
      <c r="E1" s="1" t="s">
        <v>140</v>
      </c>
      <c r="F1" s="1" t="s">
        <v>141</v>
      </c>
      <c r="I1" s="1" t="s">
        <v>142</v>
      </c>
      <c r="J1" s="1" t="s">
        <v>143</v>
      </c>
      <c r="K1" s="1" t="s">
        <v>144</v>
      </c>
      <c r="L1" s="1" t="s">
        <v>145</v>
      </c>
      <c r="M1" s="1" t="s">
        <v>146</v>
      </c>
      <c r="O1" s="100" t="s">
        <v>129</v>
      </c>
      <c r="P1" s="10"/>
      <c r="Q1" s="33" t="s">
        <v>147</v>
      </c>
      <c r="R1" s="19" t="s">
        <v>148</v>
      </c>
      <c r="S1" s="19" t="s">
        <v>149</v>
      </c>
      <c r="T1" s="19" t="s">
        <v>150</v>
      </c>
      <c r="U1" s="43" t="s">
        <v>151</v>
      </c>
      <c r="V1" s="156" t="s">
        <v>152</v>
      </c>
      <c r="W1" s="101" t="s">
        <v>153</v>
      </c>
      <c r="X1" s="101" t="s">
        <v>154</v>
      </c>
      <c r="Y1" s="101" t="s">
        <v>155</v>
      </c>
      <c r="Z1" s="101" t="s">
        <v>156</v>
      </c>
      <c r="AA1" s="101" t="s">
        <v>48</v>
      </c>
      <c r="AB1" s="100" t="s">
        <v>49</v>
      </c>
      <c r="AD1" s="224" t="s">
        <v>157</v>
      </c>
      <c r="AE1" s="214" t="s">
        <v>147</v>
      </c>
      <c r="AF1" s="215" t="s">
        <v>148</v>
      </c>
      <c r="AG1" s="215" t="s">
        <v>149</v>
      </c>
      <c r="AH1" s="216" t="s">
        <v>150</v>
      </c>
      <c r="AI1" s="215" t="s">
        <v>151</v>
      </c>
      <c r="AK1" s="224" t="s">
        <v>158</v>
      </c>
      <c r="AL1" s="221" t="s">
        <v>152</v>
      </c>
      <c r="AM1" s="222" t="s">
        <v>153</v>
      </c>
      <c r="AN1" s="222" t="s">
        <v>154</v>
      </c>
      <c r="AO1" s="222" t="s">
        <v>155</v>
      </c>
      <c r="AP1" s="222" t="s">
        <v>156</v>
      </c>
      <c r="AQ1" s="223" t="s">
        <v>48</v>
      </c>
      <c r="AR1" s="197" t="s">
        <v>49</v>
      </c>
    </row>
    <row r="2" spans="1:48">
      <c r="A2" s="1" t="s">
        <v>147</v>
      </c>
      <c r="B2" s="2">
        <v>1</v>
      </c>
      <c r="C2" s="2">
        <v>0.5</v>
      </c>
      <c r="D2" s="2">
        <v>1</v>
      </c>
      <c r="E2" s="2">
        <v>0.5</v>
      </c>
      <c r="F2" s="2">
        <v>0.25</v>
      </c>
      <c r="H2" s="1" t="s">
        <v>142</v>
      </c>
      <c r="I2" s="2" t="s">
        <v>20</v>
      </c>
      <c r="J2" s="2" t="s">
        <v>159</v>
      </c>
      <c r="K2" s="2" t="s">
        <v>20</v>
      </c>
      <c r="L2" s="2" t="s">
        <v>159</v>
      </c>
      <c r="M2" s="2" t="s">
        <v>23</v>
      </c>
      <c r="P2" s="138" t="s">
        <v>160</v>
      </c>
      <c r="Q2" s="154">
        <v>8.6499999999999994E-2</v>
      </c>
      <c r="R2" s="204">
        <v>0.1142</v>
      </c>
      <c r="S2" s="205">
        <v>0.112</v>
      </c>
      <c r="T2" s="205">
        <v>0.1389</v>
      </c>
      <c r="U2" s="206">
        <v>9.0700000000000003E-2</v>
      </c>
      <c r="V2" s="155">
        <f>Q2*$N$5</f>
        <v>1.634660956606087E-2</v>
      </c>
      <c r="W2" s="155">
        <f>$N$6*R2</f>
        <v>2.1378991226015432E-2</v>
      </c>
      <c r="X2" s="155">
        <f>$N$7*S2</f>
        <v>2.2092644326276608E-2</v>
      </c>
      <c r="Y2" s="155">
        <f>$N$8*T2</f>
        <v>2.6002993706598455E-2</v>
      </c>
      <c r="Z2" s="155">
        <f>$N$9*U2</f>
        <v>2.1709312156117509E-2</v>
      </c>
      <c r="AA2" s="155">
        <f>SUM(V2:Z2)</f>
        <v>0.1075305509810689</v>
      </c>
      <c r="AB2" s="33">
        <v>3</v>
      </c>
      <c r="AD2" s="217" t="s">
        <v>160</v>
      </c>
      <c r="AE2" s="154">
        <v>8.6499999999999994E-2</v>
      </c>
      <c r="AF2" s="204">
        <v>0.1142</v>
      </c>
      <c r="AG2" s="205">
        <v>0.112</v>
      </c>
      <c r="AH2" s="206">
        <v>0.1389</v>
      </c>
      <c r="AI2" s="213">
        <v>9.0700000000000003E-2</v>
      </c>
      <c r="AK2" s="219" t="s">
        <v>160</v>
      </c>
      <c r="AL2" s="125">
        <v>1.634660956606087E-2</v>
      </c>
      <c r="AM2" s="125">
        <v>2.1378991226015432E-2</v>
      </c>
      <c r="AN2" s="125">
        <v>2.2092644326276608E-2</v>
      </c>
      <c r="AO2" s="125">
        <v>2.6002993706598455E-2</v>
      </c>
      <c r="AP2" s="125">
        <v>2.1709312156117509E-2</v>
      </c>
      <c r="AQ2" s="226">
        <v>0.1075305509810689</v>
      </c>
      <c r="AR2" s="225">
        <v>3</v>
      </c>
    </row>
    <row r="3" spans="1:48">
      <c r="A3" s="1" t="s">
        <v>148</v>
      </c>
      <c r="B3" s="2">
        <v>2</v>
      </c>
      <c r="C3" s="2">
        <v>1</v>
      </c>
      <c r="D3" s="2">
        <v>2</v>
      </c>
      <c r="E3" s="2">
        <v>1</v>
      </c>
      <c r="F3" s="2">
        <v>1</v>
      </c>
      <c r="H3" s="1" t="s">
        <v>143</v>
      </c>
      <c r="I3" s="2" t="s">
        <v>33</v>
      </c>
      <c r="J3" s="2" t="s">
        <v>20</v>
      </c>
      <c r="K3" s="2" t="s">
        <v>33</v>
      </c>
      <c r="L3" s="2" t="s">
        <v>20</v>
      </c>
      <c r="M3" s="2" t="s">
        <v>20</v>
      </c>
      <c r="P3" s="128" t="s">
        <v>161</v>
      </c>
      <c r="Q3" s="141">
        <v>0.11600000000000001</v>
      </c>
      <c r="R3" s="207">
        <v>0.1351</v>
      </c>
      <c r="S3" s="208">
        <v>0.1275</v>
      </c>
      <c r="T3" s="208">
        <v>0.1389</v>
      </c>
      <c r="U3" s="209">
        <v>0.16009999999999999</v>
      </c>
      <c r="V3" s="125">
        <f t="shared" ref="V3:V13" si="0">Q3*$N$5</f>
        <v>2.192146485159608E-2</v>
      </c>
      <c r="W3" s="125">
        <f t="shared" ref="W3:W12" si="1">$N$6*R3</f>
        <v>2.5291608709585685E-2</v>
      </c>
      <c r="X3" s="125">
        <f t="shared" ref="X3:X13" si="2">$N$7*S3</f>
        <v>2.515010849643096E-2</v>
      </c>
      <c r="Y3" s="125">
        <f t="shared" ref="Y3:Y13" si="3">$N$8*T3</f>
        <v>2.6002993706598455E-2</v>
      </c>
      <c r="Z3" s="125">
        <f t="shared" ref="Z3:Z13" si="4">$N$9*U3</f>
        <v>3.8320406573257033E-2</v>
      </c>
      <c r="AA3" s="125">
        <f t="shared" ref="AA3:AA13" si="5">SUM(V3:Z3)</f>
        <v>0.13668658233746819</v>
      </c>
      <c r="AB3" s="33">
        <v>2</v>
      </c>
      <c r="AD3" s="218" t="s">
        <v>161</v>
      </c>
      <c r="AE3" s="141">
        <v>0.11600000000000001</v>
      </c>
      <c r="AF3" s="207">
        <v>0.1351</v>
      </c>
      <c r="AG3" s="208">
        <v>0.1275</v>
      </c>
      <c r="AH3" s="209">
        <v>0.1389</v>
      </c>
      <c r="AI3" s="213">
        <v>0.16009999999999999</v>
      </c>
      <c r="AK3" s="220" t="s">
        <v>161</v>
      </c>
      <c r="AL3" s="125">
        <v>2.192146485159608E-2</v>
      </c>
      <c r="AM3" s="125">
        <v>2.5291608709585685E-2</v>
      </c>
      <c r="AN3" s="125">
        <v>2.515010849643096E-2</v>
      </c>
      <c r="AO3" s="125">
        <v>2.6002993706598455E-2</v>
      </c>
      <c r="AP3" s="125">
        <v>3.8320406573257033E-2</v>
      </c>
      <c r="AQ3" s="226">
        <v>0.13668658233746819</v>
      </c>
      <c r="AR3" s="225">
        <v>2</v>
      </c>
    </row>
    <row r="4" spans="1:48">
      <c r="A4" s="1" t="s">
        <v>149</v>
      </c>
      <c r="B4" s="2">
        <v>1</v>
      </c>
      <c r="C4" s="2">
        <v>0.5</v>
      </c>
      <c r="D4" s="2">
        <v>1</v>
      </c>
      <c r="E4" s="2">
        <v>0.5</v>
      </c>
      <c r="F4" s="79">
        <f>1/3</f>
        <v>0.33333333333333331</v>
      </c>
      <c r="H4" s="1" t="s">
        <v>144</v>
      </c>
      <c r="I4" s="2" t="s">
        <v>20</v>
      </c>
      <c r="J4" s="2" t="s">
        <v>159</v>
      </c>
      <c r="K4" s="2" t="s">
        <v>20</v>
      </c>
      <c r="L4" s="2" t="s">
        <v>159</v>
      </c>
      <c r="M4" s="79" t="s">
        <v>22</v>
      </c>
      <c r="N4" s="151" t="s">
        <v>162</v>
      </c>
      <c r="O4" s="227" t="s">
        <v>34</v>
      </c>
      <c r="P4" s="128" t="s">
        <v>163</v>
      </c>
      <c r="Q4" s="141">
        <v>0.12989999999999999</v>
      </c>
      <c r="R4" s="207">
        <v>0.1898</v>
      </c>
      <c r="S4" s="208">
        <v>0.17560000000000001</v>
      </c>
      <c r="T4" s="208">
        <v>0.1389</v>
      </c>
      <c r="U4" s="209">
        <v>0.16039999999999999</v>
      </c>
      <c r="V4" s="125">
        <f t="shared" si="0"/>
        <v>2.454826107088216E-2</v>
      </c>
      <c r="W4" s="125">
        <f t="shared" si="1"/>
        <v>3.5531808535006384E-2</v>
      </c>
      <c r="X4" s="125">
        <f t="shared" si="2"/>
        <v>3.4638110211555113E-2</v>
      </c>
      <c r="Y4" s="125">
        <f t="shared" si="3"/>
        <v>2.6002993706598455E-2</v>
      </c>
      <c r="Z4" s="125">
        <f t="shared" si="4"/>
        <v>3.8392212456904606E-2</v>
      </c>
      <c r="AA4" s="125">
        <f t="shared" si="5"/>
        <v>0.15911338598094671</v>
      </c>
      <c r="AB4" s="33">
        <v>1</v>
      </c>
      <c r="AD4" s="218" t="s">
        <v>163</v>
      </c>
      <c r="AE4" s="141">
        <v>0.12989999999999999</v>
      </c>
      <c r="AF4" s="207">
        <v>0.1898</v>
      </c>
      <c r="AG4" s="208">
        <v>0.17560000000000001</v>
      </c>
      <c r="AH4" s="209">
        <v>0.1389</v>
      </c>
      <c r="AI4" s="213">
        <v>0.16039999999999999</v>
      </c>
      <c r="AK4" s="220" t="s">
        <v>163</v>
      </c>
      <c r="AL4" s="125">
        <v>2.454826107088216E-2</v>
      </c>
      <c r="AM4" s="125">
        <v>3.5531808535006384E-2</v>
      </c>
      <c r="AN4" s="125">
        <v>3.4638110211555113E-2</v>
      </c>
      <c r="AO4" s="125">
        <v>2.6002993706598455E-2</v>
      </c>
      <c r="AP4" s="125">
        <v>3.8392212456904606E-2</v>
      </c>
      <c r="AQ4" s="226">
        <v>0.15911338598094671</v>
      </c>
      <c r="AR4" s="225">
        <v>1</v>
      </c>
    </row>
    <row r="5" spans="1:48">
      <c r="A5" s="1" t="s">
        <v>150</v>
      </c>
      <c r="B5" s="2">
        <v>2</v>
      </c>
      <c r="C5" s="2">
        <v>1</v>
      </c>
      <c r="D5" s="2">
        <v>2</v>
      </c>
      <c r="E5" s="2">
        <v>1</v>
      </c>
      <c r="F5" s="2">
        <v>1</v>
      </c>
      <c r="H5" s="1" t="s">
        <v>145</v>
      </c>
      <c r="I5" s="2" t="s">
        <v>33</v>
      </c>
      <c r="J5" s="2" t="s">
        <v>20</v>
      </c>
      <c r="K5" s="2" t="s">
        <v>33</v>
      </c>
      <c r="L5" s="2" t="s">
        <v>20</v>
      </c>
      <c r="M5" s="2" t="s">
        <v>20</v>
      </c>
      <c r="N5" s="149">
        <v>0.18897814527237999</v>
      </c>
      <c r="O5" s="152" t="s">
        <v>147</v>
      </c>
      <c r="P5" s="128" t="s">
        <v>164</v>
      </c>
      <c r="Q5" s="141">
        <v>6.7900000000000002E-2</v>
      </c>
      <c r="R5" s="207">
        <v>4.7399999999999998E-2</v>
      </c>
      <c r="S5" s="208">
        <v>7.1499999999999994E-2</v>
      </c>
      <c r="T5" s="208">
        <v>4.0300000000000002E-2</v>
      </c>
      <c r="U5" s="209">
        <v>3.0700000000000002E-2</v>
      </c>
      <c r="V5" s="125">
        <f t="shared" si="0"/>
        <v>1.2831616063994602E-2</v>
      </c>
      <c r="W5" s="125">
        <f t="shared" si="1"/>
        <v>8.873591804843534E-3</v>
      </c>
      <c r="X5" s="125">
        <f t="shared" si="2"/>
        <v>1.4103786333292656E-2</v>
      </c>
      <c r="Y5" s="125">
        <f t="shared" si="3"/>
        <v>7.5444250998986167E-3</v>
      </c>
      <c r="Z5" s="125">
        <f t="shared" si="4"/>
        <v>7.3481354266020675E-3</v>
      </c>
      <c r="AA5" s="125">
        <f t="shared" si="5"/>
        <v>5.0701554728631477E-2</v>
      </c>
      <c r="AB5" s="33">
        <v>11</v>
      </c>
      <c r="AD5" s="218" t="s">
        <v>164</v>
      </c>
      <c r="AE5" s="141">
        <v>6.7900000000000002E-2</v>
      </c>
      <c r="AF5" s="207">
        <v>4.7399999999999998E-2</v>
      </c>
      <c r="AG5" s="208">
        <v>7.1499999999999994E-2</v>
      </c>
      <c r="AH5" s="209">
        <v>4.0300000000000002E-2</v>
      </c>
      <c r="AI5" s="213">
        <v>3.0700000000000002E-2</v>
      </c>
      <c r="AK5" s="220" t="s">
        <v>164</v>
      </c>
      <c r="AL5" s="125">
        <v>1.2831616063994602E-2</v>
      </c>
      <c r="AM5" s="125">
        <v>8.873591804843534E-3</v>
      </c>
      <c r="AN5" s="125">
        <v>1.4103786333292656E-2</v>
      </c>
      <c r="AO5" s="125">
        <v>7.5444250998986167E-3</v>
      </c>
      <c r="AP5" s="125">
        <v>7.3481354266020675E-3</v>
      </c>
      <c r="AQ5" s="226">
        <v>5.0701554728631477E-2</v>
      </c>
      <c r="AR5" s="225">
        <v>11</v>
      </c>
    </row>
    <row r="6" spans="1:48">
      <c r="A6" s="1" t="s">
        <v>151</v>
      </c>
      <c r="B6" s="2">
        <v>4</v>
      </c>
      <c r="C6" s="2">
        <v>1</v>
      </c>
      <c r="D6" s="2">
        <v>3</v>
      </c>
      <c r="E6" s="2">
        <v>1</v>
      </c>
      <c r="F6" s="2">
        <v>1</v>
      </c>
      <c r="H6" s="1" t="s">
        <v>146</v>
      </c>
      <c r="I6" s="2" t="s">
        <v>31</v>
      </c>
      <c r="J6" s="2" t="s">
        <v>20</v>
      </c>
      <c r="K6" s="2" t="s">
        <v>28</v>
      </c>
      <c r="L6" s="2" t="s">
        <v>20</v>
      </c>
      <c r="M6" s="2" t="s">
        <v>20</v>
      </c>
      <c r="N6" s="149">
        <v>0.18720657816125599</v>
      </c>
      <c r="O6" s="152" t="s">
        <v>148</v>
      </c>
      <c r="P6" s="128" t="s">
        <v>165</v>
      </c>
      <c r="Q6" s="141">
        <v>0.1047</v>
      </c>
      <c r="R6" s="207">
        <v>8.6999999999999994E-2</v>
      </c>
      <c r="S6" s="208">
        <v>9.4500000000000001E-2</v>
      </c>
      <c r="T6" s="208">
        <v>4.0300000000000002E-2</v>
      </c>
      <c r="U6" s="209">
        <v>5.8099999999999999E-2</v>
      </c>
      <c r="V6" s="125">
        <f t="shared" si="0"/>
        <v>1.9786011810018187E-2</v>
      </c>
      <c r="W6" s="125">
        <f t="shared" si="1"/>
        <v>1.6286972300029269E-2</v>
      </c>
      <c r="X6" s="125">
        <f t="shared" si="2"/>
        <v>1.8640668650295889E-2</v>
      </c>
      <c r="Y6" s="125">
        <f t="shared" si="3"/>
        <v>7.5444250998986167E-3</v>
      </c>
      <c r="Z6" s="125">
        <f t="shared" si="4"/>
        <v>1.3906406133080786E-2</v>
      </c>
      <c r="AA6" s="125">
        <f t="shared" si="5"/>
        <v>7.6164483993322749E-2</v>
      </c>
      <c r="AB6" s="33">
        <v>6</v>
      </c>
      <c r="AD6" s="218" t="s">
        <v>165</v>
      </c>
      <c r="AE6" s="141">
        <v>0.1047</v>
      </c>
      <c r="AF6" s="207">
        <v>8.6999999999999994E-2</v>
      </c>
      <c r="AG6" s="208">
        <v>9.4500000000000001E-2</v>
      </c>
      <c r="AH6" s="209">
        <v>4.0300000000000002E-2</v>
      </c>
      <c r="AI6" s="213">
        <v>5.8099999999999999E-2</v>
      </c>
      <c r="AK6" s="220" t="s">
        <v>165</v>
      </c>
      <c r="AL6" s="125">
        <v>1.9786011810018187E-2</v>
      </c>
      <c r="AM6" s="125">
        <v>1.6286972300029269E-2</v>
      </c>
      <c r="AN6" s="125">
        <v>1.8640668650295889E-2</v>
      </c>
      <c r="AO6" s="125">
        <v>7.5444250998986167E-3</v>
      </c>
      <c r="AP6" s="125">
        <v>1.3906406133080786E-2</v>
      </c>
      <c r="AQ6" s="226">
        <v>7.6164483993322749E-2</v>
      </c>
      <c r="AR6" s="225">
        <v>6</v>
      </c>
    </row>
    <row r="7" spans="1:48">
      <c r="N7" s="149">
        <v>0.19725575291318401</v>
      </c>
      <c r="O7" s="152" t="s">
        <v>149</v>
      </c>
      <c r="P7" s="128" t="s">
        <v>166</v>
      </c>
      <c r="Q7" s="141">
        <v>0.1396</v>
      </c>
      <c r="R7" s="207">
        <v>0.1062</v>
      </c>
      <c r="S7" s="208">
        <v>0.1343</v>
      </c>
      <c r="T7" s="208">
        <v>4.0300000000000002E-2</v>
      </c>
      <c r="U7" s="209">
        <v>8.6300000000000002E-2</v>
      </c>
      <c r="V7" s="125">
        <f t="shared" si="0"/>
        <v>2.6381349080024246E-2</v>
      </c>
      <c r="W7" s="125">
        <f t="shared" si="1"/>
        <v>1.9881338600725388E-2</v>
      </c>
      <c r="X7" s="125">
        <f t="shared" si="2"/>
        <v>2.6491447616240612E-2</v>
      </c>
      <c r="Y7" s="125">
        <f t="shared" si="3"/>
        <v>7.5444250998986167E-3</v>
      </c>
      <c r="Z7" s="125">
        <f t="shared" si="4"/>
        <v>2.0656159195953042E-2</v>
      </c>
      <c r="AA7" s="125">
        <f t="shared" si="5"/>
        <v>0.1009547195928419</v>
      </c>
      <c r="AB7" s="33">
        <v>4</v>
      </c>
      <c r="AD7" s="218" t="s">
        <v>166</v>
      </c>
      <c r="AE7" s="141">
        <v>0.1396</v>
      </c>
      <c r="AF7" s="207">
        <v>0.1062</v>
      </c>
      <c r="AG7" s="208">
        <v>0.1343</v>
      </c>
      <c r="AH7" s="209">
        <v>4.0300000000000002E-2</v>
      </c>
      <c r="AI7" s="213">
        <v>8.6300000000000002E-2</v>
      </c>
      <c r="AK7" s="220" t="s">
        <v>166</v>
      </c>
      <c r="AL7" s="125">
        <v>2.6381349080024246E-2</v>
      </c>
      <c r="AM7" s="125">
        <v>1.9881338600725388E-2</v>
      </c>
      <c r="AN7" s="125">
        <v>2.6491447616240612E-2</v>
      </c>
      <c r="AO7" s="125">
        <v>7.5444250998986167E-3</v>
      </c>
      <c r="AP7" s="125">
        <v>2.0656159195953042E-2</v>
      </c>
      <c r="AQ7" s="226">
        <v>0.1009547195928419</v>
      </c>
      <c r="AR7" s="225">
        <v>4</v>
      </c>
    </row>
    <row r="8" spans="1:48">
      <c r="L8">
        <f>SUM(N5:N9)</f>
        <v>0.99999999999999989</v>
      </c>
      <c r="N8" s="149">
        <v>0.18720657816125599</v>
      </c>
      <c r="O8" s="152" t="s">
        <v>150</v>
      </c>
      <c r="P8" s="128" t="s">
        <v>167</v>
      </c>
      <c r="Q8" s="141">
        <v>5.7799999999999997E-2</v>
      </c>
      <c r="R8" s="207">
        <v>4.3099999999999999E-2</v>
      </c>
      <c r="S8" s="208">
        <v>3.4700000000000002E-2</v>
      </c>
      <c r="T8" s="208">
        <v>8.9800000000000005E-2</v>
      </c>
      <c r="U8" s="209">
        <v>3.4299999999999997E-2</v>
      </c>
      <c r="V8" s="125">
        <f t="shared" si="0"/>
        <v>1.0922936796743563E-2</v>
      </c>
      <c r="W8" s="125">
        <f t="shared" si="1"/>
        <v>8.0686035187501337E-3</v>
      </c>
      <c r="X8" s="125">
        <f t="shared" si="2"/>
        <v>6.8447746260874853E-3</v>
      </c>
      <c r="Y8" s="125">
        <f t="shared" si="3"/>
        <v>1.6811150718880789E-2</v>
      </c>
      <c r="Z8" s="125">
        <f t="shared" si="4"/>
        <v>8.2098060303729924E-3</v>
      </c>
      <c r="AA8" s="125">
        <f t="shared" si="5"/>
        <v>5.0857271690834968E-2</v>
      </c>
      <c r="AB8" s="33">
        <v>10</v>
      </c>
      <c r="AD8" s="218" t="s">
        <v>167</v>
      </c>
      <c r="AE8" s="141">
        <v>5.7799999999999997E-2</v>
      </c>
      <c r="AF8" s="207">
        <v>4.3099999999999999E-2</v>
      </c>
      <c r="AG8" s="208">
        <v>3.4700000000000002E-2</v>
      </c>
      <c r="AH8" s="209">
        <v>8.9800000000000005E-2</v>
      </c>
      <c r="AI8" s="213">
        <v>3.4299999999999997E-2</v>
      </c>
      <c r="AK8" s="220" t="s">
        <v>167</v>
      </c>
      <c r="AL8" s="125">
        <v>1.0922936796743563E-2</v>
      </c>
      <c r="AM8" s="125">
        <v>8.0686035187501337E-3</v>
      </c>
      <c r="AN8" s="125">
        <v>6.8447746260874853E-3</v>
      </c>
      <c r="AO8" s="125">
        <v>1.6811150718880789E-2</v>
      </c>
      <c r="AP8" s="125">
        <v>8.2098060303729924E-3</v>
      </c>
      <c r="AQ8" s="226">
        <v>5.0857271690834968E-2</v>
      </c>
      <c r="AR8" s="225">
        <v>10</v>
      </c>
    </row>
    <row r="9" spans="1:48">
      <c r="A9" s="401" t="s">
        <v>168</v>
      </c>
      <c r="B9" s="401"/>
      <c r="C9" s="401"/>
      <c r="D9" s="401"/>
      <c r="E9" s="401"/>
      <c r="F9" s="401"/>
      <c r="G9" s="401"/>
      <c r="H9" s="401"/>
      <c r="I9" s="401"/>
      <c r="N9" s="150">
        <v>0.23935294549192401</v>
      </c>
      <c r="O9" s="153" t="s">
        <v>151</v>
      </c>
      <c r="P9" s="128" t="s">
        <v>169</v>
      </c>
      <c r="Q9" s="141">
        <v>6.5000000000000002E-2</v>
      </c>
      <c r="R9" s="207">
        <v>6.3399999999999998E-2</v>
      </c>
      <c r="S9" s="208">
        <v>5.8599999999999999E-2</v>
      </c>
      <c r="T9" s="208">
        <v>8.9800000000000005E-2</v>
      </c>
      <c r="U9" s="209">
        <v>5.7000000000000002E-2</v>
      </c>
      <c r="V9" s="125">
        <f t="shared" si="0"/>
        <v>1.22835794427047E-2</v>
      </c>
      <c r="W9" s="125">
        <f t="shared" si="1"/>
        <v>1.1868897055423629E-2</v>
      </c>
      <c r="X9" s="125">
        <f t="shared" si="2"/>
        <v>1.1559187120712583E-2</v>
      </c>
      <c r="Y9" s="125">
        <f t="shared" si="3"/>
        <v>1.6811150718880789E-2</v>
      </c>
      <c r="Z9" s="125">
        <f t="shared" si="4"/>
        <v>1.364311789303967E-2</v>
      </c>
      <c r="AA9" s="125">
        <f t="shared" si="5"/>
        <v>6.6165932230761365E-2</v>
      </c>
      <c r="AB9" s="33">
        <v>8</v>
      </c>
      <c r="AD9" s="218" t="s">
        <v>169</v>
      </c>
      <c r="AE9" s="141">
        <v>6.5000000000000002E-2</v>
      </c>
      <c r="AF9" s="207">
        <v>6.3399999999999998E-2</v>
      </c>
      <c r="AG9" s="208">
        <v>5.8599999999999999E-2</v>
      </c>
      <c r="AH9" s="209">
        <v>8.9800000000000005E-2</v>
      </c>
      <c r="AI9" s="213">
        <v>5.7000000000000002E-2</v>
      </c>
      <c r="AK9" s="220" t="s">
        <v>169</v>
      </c>
      <c r="AL9" s="125">
        <v>1.22835794427047E-2</v>
      </c>
      <c r="AM9" s="125">
        <v>1.1868897055423629E-2</v>
      </c>
      <c r="AN9" s="125">
        <v>1.1559187120712583E-2</v>
      </c>
      <c r="AO9" s="125">
        <v>1.6811150718880789E-2</v>
      </c>
      <c r="AP9" s="125">
        <v>1.364311789303967E-2</v>
      </c>
      <c r="AQ9" s="226">
        <v>6.6165932230761365E-2</v>
      </c>
      <c r="AR9" s="225">
        <v>8</v>
      </c>
    </row>
    <row r="10" spans="1:48">
      <c r="A10" s="2">
        <v>1</v>
      </c>
      <c r="B10" s="2">
        <v>1</v>
      </c>
      <c r="C10" s="2">
        <v>1</v>
      </c>
      <c r="D10" s="79">
        <v>0.66666666666666663</v>
      </c>
      <c r="E10" s="2">
        <v>1</v>
      </c>
      <c r="F10" s="2">
        <v>2</v>
      </c>
      <c r="G10" s="2">
        <v>1</v>
      </c>
      <c r="H10" s="2">
        <v>1</v>
      </c>
      <c r="I10" s="2">
        <v>1</v>
      </c>
      <c r="J10" s="79">
        <f>2/3</f>
        <v>0.66666666666666663</v>
      </c>
      <c r="K10" s="2">
        <v>1</v>
      </c>
      <c r="L10" s="2">
        <v>2</v>
      </c>
      <c r="M10" s="2">
        <v>0.4</v>
      </c>
      <c r="N10" s="2">
        <v>0.5</v>
      </c>
      <c r="O10" s="79">
        <f>2/3</f>
        <v>0.66666666666666663</v>
      </c>
      <c r="P10" s="128" t="s">
        <v>170</v>
      </c>
      <c r="Q10" s="141">
        <v>9.7699999999999995E-2</v>
      </c>
      <c r="R10" s="207">
        <v>8.3099999999999993E-2</v>
      </c>
      <c r="S10" s="208">
        <v>7.2400000000000006E-2</v>
      </c>
      <c r="T10" s="208">
        <v>8.9800000000000005E-2</v>
      </c>
      <c r="U10" s="209">
        <v>0.10730000000000001</v>
      </c>
      <c r="V10" s="125">
        <f t="shared" si="0"/>
        <v>1.8463164793111525E-2</v>
      </c>
      <c r="W10" s="125">
        <f t="shared" si="1"/>
        <v>1.5556866645200371E-2</v>
      </c>
      <c r="X10" s="125">
        <f t="shared" si="2"/>
        <v>1.4281316510914523E-2</v>
      </c>
      <c r="Y10" s="125">
        <f t="shared" si="3"/>
        <v>1.6811150718880789E-2</v>
      </c>
      <c r="Z10" s="125">
        <f t="shared" si="4"/>
        <v>2.5682571051283447E-2</v>
      </c>
      <c r="AA10" s="125">
        <f t="shared" si="5"/>
        <v>9.079506971939065E-2</v>
      </c>
      <c r="AB10" s="33">
        <v>5</v>
      </c>
      <c r="AD10" s="218" t="s">
        <v>170</v>
      </c>
      <c r="AE10" s="141">
        <v>9.7699999999999995E-2</v>
      </c>
      <c r="AF10" s="207">
        <v>8.3099999999999993E-2</v>
      </c>
      <c r="AG10" s="208">
        <v>7.2400000000000006E-2</v>
      </c>
      <c r="AH10" s="209">
        <v>8.9800000000000005E-2</v>
      </c>
      <c r="AI10" s="213">
        <v>0.10730000000000001</v>
      </c>
      <c r="AK10" s="220" t="s">
        <v>170</v>
      </c>
      <c r="AL10" s="125">
        <v>1.8463164793111525E-2</v>
      </c>
      <c r="AM10" s="125">
        <v>1.5556866645200371E-2</v>
      </c>
      <c r="AN10" s="125">
        <v>1.4281316510914523E-2</v>
      </c>
      <c r="AO10" s="125">
        <v>1.6811150718880789E-2</v>
      </c>
      <c r="AP10" s="125">
        <v>2.5682571051283447E-2</v>
      </c>
      <c r="AQ10" s="226">
        <v>9.079506971939065E-2</v>
      </c>
      <c r="AR10" s="225">
        <v>5</v>
      </c>
    </row>
    <row r="11" spans="1:48">
      <c r="A11" s="2">
        <v>0.5</v>
      </c>
      <c r="B11" s="2">
        <v>1</v>
      </c>
      <c r="C11" s="2">
        <v>1.5</v>
      </c>
      <c r="D11" s="2">
        <v>1</v>
      </c>
      <c r="E11" s="2">
        <v>1</v>
      </c>
      <c r="F11" s="2">
        <v>1</v>
      </c>
      <c r="G11" s="2">
        <v>0.5</v>
      </c>
      <c r="H11" s="2">
        <v>1</v>
      </c>
      <c r="I11" s="2">
        <v>1.5</v>
      </c>
      <c r="J11" s="2">
        <v>1</v>
      </c>
      <c r="K11" s="2">
        <v>1</v>
      </c>
      <c r="L11" s="2">
        <v>1</v>
      </c>
      <c r="M11" s="2">
        <v>1</v>
      </c>
      <c r="N11" s="2">
        <v>1</v>
      </c>
      <c r="O11" s="2">
        <v>1</v>
      </c>
      <c r="P11" s="128" t="s">
        <v>171</v>
      </c>
      <c r="Q11" s="141">
        <v>2.81E-2</v>
      </c>
      <c r="R11" s="207">
        <v>2.2100000000000002E-2</v>
      </c>
      <c r="S11" s="208">
        <v>2.4799999999999999E-2</v>
      </c>
      <c r="T11" s="208">
        <v>6.4199999999999993E-2</v>
      </c>
      <c r="U11" s="209">
        <v>3.7499999999999999E-2</v>
      </c>
      <c r="V11" s="125">
        <f t="shared" si="0"/>
        <v>5.3102858821538782E-3</v>
      </c>
      <c r="W11" s="125">
        <f t="shared" si="1"/>
        <v>4.1372653773637576E-3</v>
      </c>
      <c r="X11" s="125">
        <f t="shared" si="2"/>
        <v>4.8919426722469628E-3</v>
      </c>
      <c r="Y11" s="125">
        <f t="shared" si="3"/>
        <v>1.2018662317952634E-2</v>
      </c>
      <c r="Z11" s="125">
        <f t="shared" si="4"/>
        <v>8.9757354559471501E-3</v>
      </c>
      <c r="AA11" s="125">
        <f t="shared" si="5"/>
        <v>3.533389170566438E-2</v>
      </c>
      <c r="AB11" s="33">
        <v>12</v>
      </c>
      <c r="AD11" s="218" t="s">
        <v>171</v>
      </c>
      <c r="AE11" s="141">
        <v>2.81E-2</v>
      </c>
      <c r="AF11" s="207">
        <v>2.2100000000000002E-2</v>
      </c>
      <c r="AG11" s="208">
        <v>2.4799999999999999E-2</v>
      </c>
      <c r="AH11" s="209">
        <v>6.4199999999999993E-2</v>
      </c>
      <c r="AI11" s="213">
        <v>3.7499999999999999E-2</v>
      </c>
      <c r="AK11" s="220" t="s">
        <v>171</v>
      </c>
      <c r="AL11" s="125">
        <v>5.3102858821538782E-3</v>
      </c>
      <c r="AM11" s="125">
        <v>4.1372653773637576E-3</v>
      </c>
      <c r="AN11" s="125">
        <v>4.8919426722469628E-3</v>
      </c>
      <c r="AO11" s="125">
        <v>1.2018662317952634E-2</v>
      </c>
      <c r="AP11" s="125">
        <v>8.9757354559471501E-3</v>
      </c>
      <c r="AQ11" s="226">
        <v>3.533389170566438E-2</v>
      </c>
      <c r="AR11" s="225">
        <v>12</v>
      </c>
    </row>
    <row r="12" spans="1:48">
      <c r="A12" s="2">
        <v>1</v>
      </c>
      <c r="B12" s="2">
        <v>1</v>
      </c>
      <c r="C12" s="2">
        <v>1</v>
      </c>
      <c r="D12" s="79">
        <f>2/3</f>
        <v>0.66666666666666663</v>
      </c>
      <c r="E12" s="2">
        <v>1</v>
      </c>
      <c r="F12" s="2">
        <v>2</v>
      </c>
      <c r="G12" s="2">
        <v>1</v>
      </c>
      <c r="H12" s="2">
        <v>1</v>
      </c>
      <c r="I12" s="2">
        <v>1</v>
      </c>
      <c r="J12" s="79">
        <f>2/3</f>
        <v>0.66666666666666663</v>
      </c>
      <c r="K12" s="2">
        <v>1</v>
      </c>
      <c r="L12" s="2">
        <v>2</v>
      </c>
      <c r="M12" s="2">
        <v>0.5</v>
      </c>
      <c r="N12" s="79">
        <f>2/3</f>
        <v>0.66666666666666663</v>
      </c>
      <c r="O12" s="2">
        <v>1</v>
      </c>
      <c r="P12" s="128" t="s">
        <v>172</v>
      </c>
      <c r="Q12" s="141">
        <v>4.1300000000000003E-2</v>
      </c>
      <c r="R12" s="207">
        <v>4.0500000000000001E-2</v>
      </c>
      <c r="S12" s="208">
        <v>4.3700000000000003E-2</v>
      </c>
      <c r="T12" s="208">
        <v>6.4199999999999993E-2</v>
      </c>
      <c r="U12" s="209">
        <v>6.3700000000000007E-2</v>
      </c>
      <c r="V12" s="125">
        <f t="shared" si="0"/>
        <v>7.804797399749294E-3</v>
      </c>
      <c r="W12" s="125">
        <f t="shared" si="1"/>
        <v>7.581866415530868E-3</v>
      </c>
      <c r="X12" s="125">
        <f t="shared" si="2"/>
        <v>8.6200764023061423E-3</v>
      </c>
      <c r="Y12" s="125">
        <f t="shared" si="3"/>
        <v>1.2018662317952634E-2</v>
      </c>
      <c r="Z12" s="125">
        <f t="shared" si="4"/>
        <v>1.5246782627835562E-2</v>
      </c>
      <c r="AA12" s="125">
        <f t="shared" si="5"/>
        <v>5.1272185163374499E-2</v>
      </c>
      <c r="AB12" s="33">
        <v>9</v>
      </c>
      <c r="AD12" s="218" t="s">
        <v>172</v>
      </c>
      <c r="AE12" s="141">
        <v>4.1300000000000003E-2</v>
      </c>
      <c r="AF12" s="207">
        <v>4.0500000000000001E-2</v>
      </c>
      <c r="AG12" s="208">
        <v>4.3700000000000003E-2</v>
      </c>
      <c r="AH12" s="209">
        <v>6.4199999999999993E-2</v>
      </c>
      <c r="AI12" s="213">
        <v>6.3700000000000007E-2</v>
      </c>
      <c r="AK12" s="220" t="s">
        <v>172</v>
      </c>
      <c r="AL12" s="125">
        <v>7.804797399749294E-3</v>
      </c>
      <c r="AM12" s="125">
        <v>7.581866415530868E-3</v>
      </c>
      <c r="AN12" s="125">
        <v>8.6200764023061423E-3</v>
      </c>
      <c r="AO12" s="125">
        <v>1.2018662317952634E-2</v>
      </c>
      <c r="AP12" s="125">
        <v>1.5246782627835562E-2</v>
      </c>
      <c r="AQ12" s="226">
        <v>5.1272185163374499E-2</v>
      </c>
      <c r="AR12" s="225">
        <v>9</v>
      </c>
    </row>
    <row r="13" spans="1:48">
      <c r="A13" s="2">
        <v>0.5</v>
      </c>
      <c r="B13" s="2">
        <v>1</v>
      </c>
      <c r="C13" s="2">
        <v>1.5</v>
      </c>
      <c r="D13" s="2">
        <v>1</v>
      </c>
      <c r="E13" s="2">
        <v>1</v>
      </c>
      <c r="F13" s="2">
        <v>1</v>
      </c>
      <c r="G13" s="2">
        <v>0.5</v>
      </c>
      <c r="H13" s="2">
        <v>1</v>
      </c>
      <c r="I13" s="2">
        <v>1.5</v>
      </c>
      <c r="J13" s="2">
        <v>1</v>
      </c>
      <c r="K13" s="2">
        <v>1</v>
      </c>
      <c r="L13" s="2">
        <v>1</v>
      </c>
      <c r="M13" s="2">
        <v>1</v>
      </c>
      <c r="N13" s="2">
        <v>1</v>
      </c>
      <c r="O13" s="2">
        <v>1</v>
      </c>
      <c r="P13" s="128" t="s">
        <v>173</v>
      </c>
      <c r="Q13" s="141">
        <v>6.5199999999999994E-2</v>
      </c>
      <c r="R13" s="210">
        <v>6.8000000000000005E-2</v>
      </c>
      <c r="S13" s="211">
        <v>5.0299999999999997E-2</v>
      </c>
      <c r="T13" s="211">
        <v>6.4199999999999993E-2</v>
      </c>
      <c r="U13" s="212">
        <v>0.1138</v>
      </c>
      <c r="V13" s="125">
        <f t="shared" si="0"/>
        <v>1.2321375071759174E-2</v>
      </c>
      <c r="W13" s="125">
        <f>$N$6*R13</f>
        <v>1.2730047314965409E-2</v>
      </c>
      <c r="X13" s="125">
        <f t="shared" si="2"/>
        <v>9.9219643715331551E-3</v>
      </c>
      <c r="Y13" s="125">
        <f t="shared" si="3"/>
        <v>1.2018662317952634E-2</v>
      </c>
      <c r="Z13" s="125">
        <f t="shared" si="4"/>
        <v>2.7238365196980953E-2</v>
      </c>
      <c r="AA13" s="125">
        <f t="shared" si="5"/>
        <v>7.4230414273191325E-2</v>
      </c>
      <c r="AB13" s="33">
        <v>7</v>
      </c>
      <c r="AD13" s="218" t="s">
        <v>173</v>
      </c>
      <c r="AE13" s="141">
        <v>6.5199999999999994E-2</v>
      </c>
      <c r="AF13" s="210">
        <v>6.8000000000000005E-2</v>
      </c>
      <c r="AG13" s="211">
        <v>5.0299999999999997E-2</v>
      </c>
      <c r="AH13" s="212">
        <v>6.4199999999999993E-2</v>
      </c>
      <c r="AI13" s="213">
        <v>0.1138</v>
      </c>
      <c r="AK13" s="220" t="s">
        <v>173</v>
      </c>
      <c r="AL13" s="125">
        <v>1.2321375071759174E-2</v>
      </c>
      <c r="AM13" s="125">
        <v>1.2730047314965409E-2</v>
      </c>
      <c r="AN13" s="125">
        <v>9.9219643715331551E-3</v>
      </c>
      <c r="AO13" s="125">
        <v>1.2018662317952634E-2</v>
      </c>
      <c r="AP13" s="125">
        <v>2.7238365196980953E-2</v>
      </c>
      <c r="AQ13" s="226">
        <v>7.4230414273191325E-2</v>
      </c>
      <c r="AR13" s="225">
        <v>7</v>
      </c>
    </row>
    <row r="14" spans="1:48">
      <c r="A14" s="2">
        <v>1.5</v>
      </c>
      <c r="B14" s="2">
        <v>2</v>
      </c>
      <c r="C14" s="2">
        <v>2.5</v>
      </c>
      <c r="D14" s="2">
        <v>1</v>
      </c>
      <c r="E14" s="2">
        <v>1</v>
      </c>
      <c r="F14" s="2">
        <v>1</v>
      </c>
      <c r="G14" s="2">
        <v>1</v>
      </c>
      <c r="H14" s="79">
        <v>1.5</v>
      </c>
      <c r="I14" s="2">
        <v>2</v>
      </c>
      <c r="J14" s="2">
        <v>1</v>
      </c>
      <c r="K14" s="2">
        <v>1</v>
      </c>
      <c r="L14" s="2">
        <v>1</v>
      </c>
      <c r="M14" s="2">
        <v>1</v>
      </c>
      <c r="N14" s="2">
        <v>1</v>
      </c>
      <c r="O14" s="2">
        <v>1</v>
      </c>
    </row>
    <row r="16" spans="1:48">
      <c r="X16" s="402" t="s">
        <v>174</v>
      </c>
      <c r="Y16" s="402"/>
      <c r="Z16" s="402"/>
      <c r="AA16" s="402"/>
      <c r="AB16" s="402"/>
      <c r="AC16" s="402"/>
      <c r="AD16" s="402"/>
      <c r="AE16" s="402"/>
      <c r="AF16" s="402"/>
      <c r="AG16" s="402"/>
      <c r="AH16" s="402"/>
      <c r="AI16" s="403"/>
      <c r="AJ16" s="402" t="s">
        <v>175</v>
      </c>
      <c r="AK16" s="402"/>
      <c r="AL16" s="402"/>
      <c r="AM16" s="402"/>
      <c r="AN16" s="402"/>
      <c r="AO16" s="402"/>
      <c r="AP16" s="402"/>
      <c r="AQ16" s="402"/>
      <c r="AR16" s="402"/>
      <c r="AS16" s="402"/>
      <c r="AT16" s="402"/>
      <c r="AU16" s="402"/>
      <c r="AV16" s="402"/>
    </row>
    <row r="17" spans="1:60" ht="15.5">
      <c r="A17" s="100" t="s">
        <v>42</v>
      </c>
      <c r="B17" s="99">
        <v>3.9E-2</v>
      </c>
      <c r="H17" s="124"/>
      <c r="I17" s="128" t="s">
        <v>176</v>
      </c>
      <c r="J17" s="128" t="s">
        <v>161</v>
      </c>
      <c r="K17" s="128" t="s">
        <v>163</v>
      </c>
      <c r="L17" s="128" t="s">
        <v>164</v>
      </c>
      <c r="M17" s="128" t="s">
        <v>165</v>
      </c>
      <c r="N17" s="128" t="s">
        <v>166</v>
      </c>
      <c r="O17" s="128" t="s">
        <v>167</v>
      </c>
      <c r="P17" s="128" t="s">
        <v>169</v>
      </c>
      <c r="Q17" s="128" t="s">
        <v>170</v>
      </c>
      <c r="R17" s="128" t="s">
        <v>171</v>
      </c>
      <c r="S17" s="128" t="s">
        <v>172</v>
      </c>
      <c r="T17" s="128" t="s">
        <v>173</v>
      </c>
      <c r="U17" s="101" t="s">
        <v>177</v>
      </c>
      <c r="V17" s="101" t="s">
        <v>178</v>
      </c>
      <c r="W17" s="101" t="s">
        <v>179</v>
      </c>
      <c r="X17" s="131" t="s">
        <v>160</v>
      </c>
      <c r="Y17" s="131" t="s">
        <v>161</v>
      </c>
      <c r="Z17" s="131" t="s">
        <v>163</v>
      </c>
      <c r="AA17" s="131" t="s">
        <v>164</v>
      </c>
      <c r="AB17" s="131" t="s">
        <v>165</v>
      </c>
      <c r="AC17" s="131" t="s">
        <v>166</v>
      </c>
      <c r="AD17" s="131" t="s">
        <v>167</v>
      </c>
      <c r="AE17" s="131" t="s">
        <v>169</v>
      </c>
      <c r="AF17" s="131" t="s">
        <v>170</v>
      </c>
      <c r="AG17" s="131" t="s">
        <v>171</v>
      </c>
      <c r="AH17" s="131" t="s">
        <v>172</v>
      </c>
      <c r="AI17" s="131" t="s">
        <v>173</v>
      </c>
      <c r="AJ17" s="131" t="s">
        <v>160</v>
      </c>
      <c r="AK17" s="131" t="s">
        <v>161</v>
      </c>
      <c r="AL17" s="131" t="s">
        <v>163</v>
      </c>
      <c r="AM17" s="131" t="s">
        <v>164</v>
      </c>
      <c r="AN17" s="131" t="s">
        <v>165</v>
      </c>
      <c r="AO17" s="131" t="s">
        <v>166</v>
      </c>
      <c r="AP17" s="131" t="s">
        <v>167</v>
      </c>
      <c r="AQ17" s="131" t="s">
        <v>169</v>
      </c>
      <c r="AR17" s="131" t="s">
        <v>170</v>
      </c>
      <c r="AS17" s="131" t="s">
        <v>171</v>
      </c>
      <c r="AT17" s="131" t="s">
        <v>172</v>
      </c>
      <c r="AU17" s="135" t="s">
        <v>173</v>
      </c>
      <c r="AV17" s="137" t="s">
        <v>180</v>
      </c>
    </row>
    <row r="18" spans="1:60" ht="29">
      <c r="H18" s="128" t="s">
        <v>181</v>
      </c>
      <c r="I18" s="123">
        <v>9394</v>
      </c>
      <c r="J18" s="122">
        <v>8534</v>
      </c>
      <c r="K18" s="325">
        <v>8020</v>
      </c>
      <c r="L18" s="325">
        <v>10950</v>
      </c>
      <c r="M18" s="325">
        <v>9945</v>
      </c>
      <c r="N18" s="325">
        <v>9345</v>
      </c>
      <c r="O18" s="325">
        <v>10848</v>
      </c>
      <c r="P18" s="325">
        <v>9856</v>
      </c>
      <c r="Q18" s="325">
        <v>9260</v>
      </c>
      <c r="R18" s="325">
        <v>10870</v>
      </c>
      <c r="S18" s="325">
        <v>9873</v>
      </c>
      <c r="T18" s="325">
        <v>9277</v>
      </c>
      <c r="U18" s="325">
        <f>MAX(I18:T18)</f>
        <v>10950</v>
      </c>
      <c r="V18" s="325">
        <f>MIN(I18:T18)</f>
        <v>8020</v>
      </c>
      <c r="W18" s="326">
        <f>U18-V18</f>
        <v>2930</v>
      </c>
      <c r="X18" s="125">
        <f>(U18-I18)/W18</f>
        <v>0.5310580204778157</v>
      </c>
      <c r="Y18" s="125">
        <f>(U18-J18)/W18</f>
        <v>0.82457337883959048</v>
      </c>
      <c r="Z18" s="125">
        <f>(U18-K18)/W18</f>
        <v>1</v>
      </c>
      <c r="AA18" s="125">
        <f>(U18-L18)/W18</f>
        <v>0</v>
      </c>
      <c r="AB18" s="125">
        <f>(U18-M18)/W18</f>
        <v>0.34300341296928327</v>
      </c>
      <c r="AC18" s="125">
        <f>($U$18-N18)/$W$18</f>
        <v>0.54778156996587035</v>
      </c>
      <c r="AD18" s="125">
        <f>($U$18-O18)/$W$18</f>
        <v>3.4812286689419797E-2</v>
      </c>
      <c r="AE18" s="125">
        <f t="shared" ref="AE18:AI18" si="6">($U$18-P18)/$W$18</f>
        <v>0.37337883959044371</v>
      </c>
      <c r="AF18" s="125">
        <f t="shared" si="6"/>
        <v>0.57679180887372017</v>
      </c>
      <c r="AG18" s="125">
        <f t="shared" si="6"/>
        <v>2.7303754266211604E-2</v>
      </c>
      <c r="AH18" s="125">
        <f t="shared" si="6"/>
        <v>0.3675767918088737</v>
      </c>
      <c r="AI18" s="136">
        <f t="shared" si="6"/>
        <v>0.57098976109215016</v>
      </c>
      <c r="AJ18" s="125">
        <f>X18+0.0001</f>
        <v>0.53115802047781568</v>
      </c>
      <c r="AK18" s="125">
        <f>Y18+0.0001</f>
        <v>0.82467337883959047</v>
      </c>
      <c r="AL18" s="125">
        <f t="shared" ref="AL18:AU27" si="7">Z18+0.0001</f>
        <v>1.0001</v>
      </c>
      <c r="AM18" s="125">
        <f t="shared" si="7"/>
        <v>1E-4</v>
      </c>
      <c r="AN18" s="125">
        <f t="shared" si="7"/>
        <v>0.34310341296928326</v>
      </c>
      <c r="AO18" s="125">
        <f t="shared" si="7"/>
        <v>0.54788156996587034</v>
      </c>
      <c r="AP18" s="125">
        <f t="shared" si="7"/>
        <v>3.49122866894198E-2</v>
      </c>
      <c r="AQ18" s="125">
        <f t="shared" si="7"/>
        <v>0.3734788395904437</v>
      </c>
      <c r="AR18" s="125">
        <f t="shared" si="7"/>
        <v>0.57689180887372016</v>
      </c>
      <c r="AS18" s="125">
        <f t="shared" si="7"/>
        <v>2.7403754266211604E-2</v>
      </c>
      <c r="AT18" s="125">
        <f t="shared" si="7"/>
        <v>0.36767679180887369</v>
      </c>
      <c r="AU18" s="136">
        <f t="shared" si="7"/>
        <v>0.57108976109215015</v>
      </c>
      <c r="AV18" s="125">
        <f>SUM(AJ18:AU18)</f>
        <v>5.198469624573379</v>
      </c>
    </row>
    <row r="19" spans="1:60" ht="29">
      <c r="A19" s="1" t="s">
        <v>31</v>
      </c>
      <c r="H19" s="128" t="s">
        <v>182</v>
      </c>
      <c r="I19" s="127">
        <v>1.573</v>
      </c>
      <c r="J19" s="121">
        <v>1.431</v>
      </c>
      <c r="K19" s="327">
        <v>1.3460000000000001</v>
      </c>
      <c r="L19" s="327">
        <v>1.7849999999999999</v>
      </c>
      <c r="M19" s="327">
        <v>1.62</v>
      </c>
      <c r="N19" s="327">
        <v>1.5209999999999999</v>
      </c>
      <c r="O19" s="327">
        <v>1.772</v>
      </c>
      <c r="P19" s="327">
        <v>1.6080000000000001</v>
      </c>
      <c r="Q19" s="327">
        <v>1.51</v>
      </c>
      <c r="R19" s="327">
        <v>1.774</v>
      </c>
      <c r="S19" s="327">
        <v>1.61</v>
      </c>
      <c r="T19" s="327">
        <v>1.512</v>
      </c>
      <c r="U19" s="327">
        <f t="shared" ref="U19:U27" si="8">MAX(I19:T19)</f>
        <v>1.7849999999999999</v>
      </c>
      <c r="V19" s="327">
        <f>MIN(I19:T19)</f>
        <v>1.3460000000000001</v>
      </c>
      <c r="W19" s="328">
        <f t="shared" ref="W19:W25" si="9">U19-V19</f>
        <v>0.43899999999999983</v>
      </c>
      <c r="X19" s="125">
        <f>(U19-I19)/W19</f>
        <v>0.48291571753986345</v>
      </c>
      <c r="Y19" s="125">
        <f t="shared" ref="Y19:Y27" si="10">(U19-J19)/W19</f>
        <v>0.806378132118451</v>
      </c>
      <c r="Z19" s="125">
        <f t="shared" ref="Z19:Z27" si="11">(U19-K19)/W19</f>
        <v>1</v>
      </c>
      <c r="AA19" s="125">
        <f t="shared" ref="AA19:AA27" si="12">(U19-L19)/W19</f>
        <v>0</v>
      </c>
      <c r="AB19" s="125">
        <f t="shared" ref="AB19:AB27" si="13">(U19-M19)/W19</f>
        <v>0.37585421412300657</v>
      </c>
      <c r="AC19" s="125">
        <f>(U19-N19)/W19</f>
        <v>0.60136674259681122</v>
      </c>
      <c r="AD19" s="125">
        <f>($U$19-O19)/$W$19</f>
        <v>2.9612756264236685E-2</v>
      </c>
      <c r="AE19" s="125">
        <f t="shared" ref="AE19:AI19" si="14">($U$19-P19)/$W$19</f>
        <v>0.40318906605922528</v>
      </c>
      <c r="AF19" s="125">
        <f t="shared" si="14"/>
        <v>0.62642369020501143</v>
      </c>
      <c r="AG19" s="125">
        <f t="shared" si="14"/>
        <v>2.5056947608200233E-2</v>
      </c>
      <c r="AH19" s="125">
        <f t="shared" si="14"/>
        <v>0.39863325740318883</v>
      </c>
      <c r="AI19" s="136">
        <f t="shared" si="14"/>
        <v>0.62186788154897499</v>
      </c>
      <c r="AJ19" s="125">
        <f t="shared" ref="AJ19:AJ27" si="15">X19+0.0001</f>
        <v>0.48301571753986344</v>
      </c>
      <c r="AK19" s="125">
        <f>Y19+0.0001</f>
        <v>0.80647813211845099</v>
      </c>
      <c r="AL19" s="125">
        <f t="shared" si="7"/>
        <v>1.0001</v>
      </c>
      <c r="AM19" s="125">
        <f t="shared" si="7"/>
        <v>1E-4</v>
      </c>
      <c r="AN19" s="125">
        <f t="shared" si="7"/>
        <v>0.37595421412300656</v>
      </c>
      <c r="AO19" s="125">
        <f t="shared" si="7"/>
        <v>0.60146674259681121</v>
      </c>
      <c r="AP19" s="125">
        <f t="shared" si="7"/>
        <v>2.9712756264236685E-2</v>
      </c>
      <c r="AQ19" s="125">
        <f t="shared" si="7"/>
        <v>0.40328906605922527</v>
      </c>
      <c r="AR19" s="125">
        <f t="shared" si="7"/>
        <v>0.62652369020501142</v>
      </c>
      <c r="AS19" s="125">
        <f t="shared" si="7"/>
        <v>2.5156947608200232E-2</v>
      </c>
      <c r="AT19" s="125">
        <f t="shared" si="7"/>
        <v>0.39873325740318882</v>
      </c>
      <c r="AU19" s="136">
        <f t="shared" si="7"/>
        <v>0.62196788154897498</v>
      </c>
      <c r="AV19" s="125">
        <f>SUM(AJ19:AU19)</f>
        <v>5.3724984054669687</v>
      </c>
    </row>
    <row r="20" spans="1:60">
      <c r="A20">
        <v>0.112562814070352</v>
      </c>
      <c r="B20">
        <v>0.17532467532467499</v>
      </c>
      <c r="C20">
        <v>0.316455696202532</v>
      </c>
      <c r="H20" s="128" t="s">
        <v>183</v>
      </c>
      <c r="I20" s="127">
        <v>0.26800000000000002</v>
      </c>
      <c r="J20" s="121">
        <v>0.23799999999999999</v>
      </c>
      <c r="K20" s="327">
        <v>0.221</v>
      </c>
      <c r="L20" s="327">
        <v>0.26800000000000002</v>
      </c>
      <c r="M20" s="327">
        <v>0.23899999999999999</v>
      </c>
      <c r="N20" s="327">
        <v>0.221</v>
      </c>
      <c r="O20" s="327">
        <v>0.26900000000000002</v>
      </c>
      <c r="P20" s="327">
        <v>0.23899999999999999</v>
      </c>
      <c r="Q20" s="327">
        <v>0.221</v>
      </c>
      <c r="R20" s="327">
        <v>0.26800000000000002</v>
      </c>
      <c r="S20" s="327">
        <v>0.23899999999999999</v>
      </c>
      <c r="T20" s="327">
        <v>0.221</v>
      </c>
      <c r="U20" s="327">
        <f t="shared" si="8"/>
        <v>0.26900000000000002</v>
      </c>
      <c r="V20" s="327">
        <f>MIN(I20:T20)</f>
        <v>0.221</v>
      </c>
      <c r="W20" s="328">
        <f t="shared" si="9"/>
        <v>4.8000000000000015E-2</v>
      </c>
      <c r="X20" s="125">
        <f>(U20-I20)/W20</f>
        <v>2.0833333333333346E-2</v>
      </c>
      <c r="Y20" s="125">
        <f t="shared" si="10"/>
        <v>0.6458333333333337</v>
      </c>
      <c r="Z20" s="125">
        <f>(U20-K20)/W20</f>
        <v>1</v>
      </c>
      <c r="AA20" s="125">
        <f t="shared" si="12"/>
        <v>2.0833333333333346E-2</v>
      </c>
      <c r="AB20" s="125">
        <f t="shared" si="13"/>
        <v>0.62500000000000033</v>
      </c>
      <c r="AC20" s="125">
        <f t="shared" ref="AC20:AC27" si="16">(U20-N20)/W20</f>
        <v>1</v>
      </c>
      <c r="AD20" s="125">
        <f t="shared" ref="AD20:AD27" si="17">(U20-O20)/W20</f>
        <v>0</v>
      </c>
      <c r="AE20" s="125">
        <f>($U$20-P20)/$W$20</f>
        <v>0.62500000000000033</v>
      </c>
      <c r="AF20" s="125">
        <f t="shared" ref="AF20:AI20" si="18">($U$20-Q20)/$W$20</f>
        <v>1</v>
      </c>
      <c r="AG20" s="125">
        <f t="shared" si="18"/>
        <v>2.0833333333333346E-2</v>
      </c>
      <c r="AH20" s="125">
        <f t="shared" si="18"/>
        <v>0.62500000000000033</v>
      </c>
      <c r="AI20" s="136">
        <f t="shared" si="18"/>
        <v>1</v>
      </c>
      <c r="AJ20" s="125">
        <f t="shared" si="15"/>
        <v>2.0933333333333345E-2</v>
      </c>
      <c r="AK20" s="125">
        <f t="shared" ref="AK20:AK27" si="19">Y20+0.0001</f>
        <v>0.64593333333333369</v>
      </c>
      <c r="AL20" s="125">
        <f t="shared" si="7"/>
        <v>1.0001</v>
      </c>
      <c r="AM20" s="125">
        <f t="shared" si="7"/>
        <v>2.0933333333333345E-2</v>
      </c>
      <c r="AN20" s="125">
        <f t="shared" si="7"/>
        <v>0.62510000000000032</v>
      </c>
      <c r="AO20" s="125">
        <f t="shared" si="7"/>
        <v>1.0001</v>
      </c>
      <c r="AP20" s="125">
        <f t="shared" si="7"/>
        <v>1E-4</v>
      </c>
      <c r="AQ20" s="125">
        <f t="shared" si="7"/>
        <v>0.62510000000000032</v>
      </c>
      <c r="AR20" s="125">
        <f t="shared" si="7"/>
        <v>1.0001</v>
      </c>
      <c r="AS20" s="125">
        <f t="shared" si="7"/>
        <v>2.0933333333333345E-2</v>
      </c>
      <c r="AT20" s="125">
        <f t="shared" si="7"/>
        <v>0.62510000000000032</v>
      </c>
      <c r="AU20" s="136">
        <f t="shared" si="7"/>
        <v>1.0001</v>
      </c>
      <c r="AV20" s="125">
        <f t="shared" ref="AV20:AV27" si="20">SUM(AJ20:AU20)</f>
        <v>6.5845333333333347</v>
      </c>
    </row>
    <row r="21" spans="1:60">
      <c r="A21">
        <v>0.120603015075377</v>
      </c>
      <c r="B21">
        <v>0.19480519480519501</v>
      </c>
      <c r="C21">
        <v>0.284810126582279</v>
      </c>
      <c r="H21" s="128" t="s">
        <v>184</v>
      </c>
      <c r="I21" s="127">
        <v>62431</v>
      </c>
      <c r="J21" s="121">
        <v>67700</v>
      </c>
      <c r="K21" s="327">
        <v>70862</v>
      </c>
      <c r="L21" s="327">
        <v>250673</v>
      </c>
      <c r="M21" s="327">
        <v>275230</v>
      </c>
      <c r="N21" s="327">
        <v>289970</v>
      </c>
      <c r="O21" s="327">
        <v>626530</v>
      </c>
      <c r="P21" s="327">
        <v>687380</v>
      </c>
      <c r="Q21" s="327">
        <v>723900</v>
      </c>
      <c r="R21" s="329">
        <v>1253120</v>
      </c>
      <c r="S21" s="330">
        <v>1375000</v>
      </c>
      <c r="T21" s="329">
        <v>1448200</v>
      </c>
      <c r="U21" s="327">
        <f t="shared" si="8"/>
        <v>1448200</v>
      </c>
      <c r="V21" s="327">
        <f>MIN(I21:T21)</f>
        <v>62431</v>
      </c>
      <c r="W21" s="328">
        <f t="shared" si="9"/>
        <v>1385769</v>
      </c>
      <c r="X21" s="125">
        <f>(U21-I21)/W21</f>
        <v>1</v>
      </c>
      <c r="Y21" s="125">
        <f>(U21-J21)/W21</f>
        <v>0.9961977789949118</v>
      </c>
      <c r="Z21" s="125">
        <f t="shared" si="11"/>
        <v>0.99391601341926394</v>
      </c>
      <c r="AA21" s="125">
        <f t="shared" si="12"/>
        <v>0.86416062128680904</v>
      </c>
      <c r="AB21" s="125">
        <f t="shared" si="13"/>
        <v>0.84643977459446706</v>
      </c>
      <c r="AC21" s="125">
        <f t="shared" si="16"/>
        <v>0.83580308117731017</v>
      </c>
      <c r="AD21" s="125">
        <f t="shared" si="17"/>
        <v>0.59293432022220149</v>
      </c>
      <c r="AE21" s="125">
        <f>($U$21-P21)/$W$21</f>
        <v>0.54902368287932546</v>
      </c>
      <c r="AF21" s="125">
        <f t="shared" ref="AF21:AI21" si="21">($U$21-Q21)/$W$21</f>
        <v>0.52267008426368322</v>
      </c>
      <c r="AG21" s="125">
        <f t="shared" si="21"/>
        <v>0.14077382305420311</v>
      </c>
      <c r="AH21" s="125">
        <f t="shared" si="21"/>
        <v>5.2822656589951139E-2</v>
      </c>
      <c r="AI21" s="136">
        <f t="shared" si="21"/>
        <v>0</v>
      </c>
      <c r="AJ21" s="125">
        <f>X21+0.0001</f>
        <v>1.0001</v>
      </c>
      <c r="AK21" s="125">
        <f t="shared" si="19"/>
        <v>0.99629777899491179</v>
      </c>
      <c r="AL21" s="125">
        <f t="shared" si="7"/>
        <v>0.99401601341926393</v>
      </c>
      <c r="AM21" s="125">
        <f t="shared" si="7"/>
        <v>0.86426062128680903</v>
      </c>
      <c r="AN21" s="125">
        <f t="shared" si="7"/>
        <v>0.84653977459446705</v>
      </c>
      <c r="AO21" s="125">
        <f t="shared" si="7"/>
        <v>0.83590308117731016</v>
      </c>
      <c r="AP21" s="125">
        <f t="shared" si="7"/>
        <v>0.59303432022220148</v>
      </c>
      <c r="AQ21" s="125">
        <f t="shared" si="7"/>
        <v>0.54912368287932545</v>
      </c>
      <c r="AR21" s="125">
        <f t="shared" si="7"/>
        <v>0.52277008426368321</v>
      </c>
      <c r="AS21" s="125">
        <f t="shared" si="7"/>
        <v>0.1408738230542031</v>
      </c>
      <c r="AT21" s="125">
        <f t="shared" si="7"/>
        <v>5.2922656589951142E-2</v>
      </c>
      <c r="AU21" s="136">
        <f t="shared" si="7"/>
        <v>1E-4</v>
      </c>
      <c r="AV21" s="125">
        <f t="shared" si="20"/>
        <v>7.3959418364821259</v>
      </c>
    </row>
    <row r="22" spans="1:60">
      <c r="A22">
        <v>0.115577889447236</v>
      </c>
      <c r="B22">
        <v>0.18181818181818199</v>
      </c>
      <c r="C22">
        <v>0.332278481012658</v>
      </c>
      <c r="H22" s="128" t="s">
        <v>185</v>
      </c>
      <c r="I22" s="127">
        <v>34890</v>
      </c>
      <c r="J22" s="121">
        <v>21670</v>
      </c>
      <c r="K22" s="327">
        <v>20940</v>
      </c>
      <c r="L22" s="327">
        <v>1627000</v>
      </c>
      <c r="M22" s="327">
        <v>122000</v>
      </c>
      <c r="N22" s="327">
        <v>97950</v>
      </c>
      <c r="O22" s="327">
        <v>403000</v>
      </c>
      <c r="P22" s="327">
        <v>302200</v>
      </c>
      <c r="Q22" s="327">
        <v>241800</v>
      </c>
      <c r="R22" s="327">
        <v>807300</v>
      </c>
      <c r="S22" s="327">
        <v>605500</v>
      </c>
      <c r="T22" s="327">
        <v>484400</v>
      </c>
      <c r="U22" s="327">
        <f t="shared" si="8"/>
        <v>1627000</v>
      </c>
      <c r="V22" s="327">
        <f>MIN(I22:T22)</f>
        <v>20940</v>
      </c>
      <c r="W22" s="328">
        <f t="shared" si="9"/>
        <v>1606060</v>
      </c>
      <c r="X22" s="125">
        <f t="shared" ref="X22:X27" si="22">(U22-I22)/W22</f>
        <v>0.99131414766571613</v>
      </c>
      <c r="Y22" s="125">
        <f t="shared" si="10"/>
        <v>0.99954547152659301</v>
      </c>
      <c r="Z22" s="125">
        <f t="shared" si="11"/>
        <v>1</v>
      </c>
      <c r="AA22" s="125">
        <f t="shared" si="12"/>
        <v>0</v>
      </c>
      <c r="AB22" s="125">
        <f t="shared" si="13"/>
        <v>0.93707582531163214</v>
      </c>
      <c r="AC22" s="125">
        <f t="shared" si="16"/>
        <v>0.95205035926428649</v>
      </c>
      <c r="AD22" s="125">
        <f t="shared" si="17"/>
        <v>0.76211349513716797</v>
      </c>
      <c r="AE22" s="125">
        <f>($U$22-P22)/$W$22</f>
        <v>0.8248757829719936</v>
      </c>
      <c r="AF22" s="125">
        <f t="shared" ref="AF22:AI22" si="23">($U$22-Q22)/$W$22</f>
        <v>0.86248334433333751</v>
      </c>
      <c r="AG22" s="125">
        <f t="shared" si="23"/>
        <v>0.51037943787903317</v>
      </c>
      <c r="AH22" s="125">
        <f t="shared" si="23"/>
        <v>0.63602854189756297</v>
      </c>
      <c r="AI22" s="136">
        <f t="shared" si="23"/>
        <v>0.71143045714356878</v>
      </c>
      <c r="AJ22" s="125">
        <f t="shared" si="15"/>
        <v>0.99141414766571612</v>
      </c>
      <c r="AK22" s="125">
        <f t="shared" si="19"/>
        <v>0.999645471526593</v>
      </c>
      <c r="AL22" s="125">
        <f t="shared" si="7"/>
        <v>1.0001</v>
      </c>
      <c r="AM22" s="125">
        <f t="shared" si="7"/>
        <v>1E-4</v>
      </c>
      <c r="AN22" s="125">
        <f t="shared" si="7"/>
        <v>0.93717582531163213</v>
      </c>
      <c r="AO22" s="125">
        <f t="shared" si="7"/>
        <v>0.95215035926428648</v>
      </c>
      <c r="AP22" s="125">
        <f t="shared" si="7"/>
        <v>0.76221349513716796</v>
      </c>
      <c r="AQ22" s="125">
        <f t="shared" si="7"/>
        <v>0.82497578297199359</v>
      </c>
      <c r="AR22" s="125">
        <f t="shared" si="7"/>
        <v>0.8625833443333375</v>
      </c>
      <c r="AS22" s="125">
        <f t="shared" si="7"/>
        <v>0.51047943787903316</v>
      </c>
      <c r="AT22" s="125">
        <f t="shared" si="7"/>
        <v>0.63612854189756296</v>
      </c>
      <c r="AU22" s="136">
        <f t="shared" si="7"/>
        <v>0.71153045714356877</v>
      </c>
      <c r="AV22" s="125">
        <f t="shared" si="20"/>
        <v>9.1884968631308919</v>
      </c>
    </row>
    <row r="23" spans="1:60" ht="29">
      <c r="A23">
        <v>0.120603015075377</v>
      </c>
      <c r="B23">
        <v>0.19480519480519501</v>
      </c>
      <c r="C23">
        <v>0.284810126582279</v>
      </c>
      <c r="H23" s="128" t="s">
        <v>186</v>
      </c>
      <c r="I23" s="127">
        <v>1.91</v>
      </c>
      <c r="J23" s="121">
        <v>1.43</v>
      </c>
      <c r="K23" s="327">
        <v>1.1399999999999999</v>
      </c>
      <c r="L23" s="327">
        <v>2.23</v>
      </c>
      <c r="M23" s="327">
        <v>1.67</v>
      </c>
      <c r="N23" s="327">
        <v>1.33</v>
      </c>
      <c r="O23" s="327">
        <v>2.2000000000000002</v>
      </c>
      <c r="P23" s="327">
        <v>1.66</v>
      </c>
      <c r="Q23" s="327">
        <v>1.32</v>
      </c>
      <c r="R23" s="327">
        <v>2.21</v>
      </c>
      <c r="S23" s="327">
        <v>1.66</v>
      </c>
      <c r="T23" s="327">
        <v>1.33</v>
      </c>
      <c r="U23" s="327">
        <f t="shared" si="8"/>
        <v>2.23</v>
      </c>
      <c r="V23" s="327">
        <f>MIN(I23:U23)</f>
        <v>1.1399999999999999</v>
      </c>
      <c r="W23" s="328">
        <f t="shared" si="9"/>
        <v>1.0900000000000001</v>
      </c>
      <c r="X23" s="125">
        <f t="shared" si="22"/>
        <v>0.29357798165137616</v>
      </c>
      <c r="Y23" s="125">
        <f t="shared" si="10"/>
        <v>0.73394495412844041</v>
      </c>
      <c r="Z23" s="125">
        <f t="shared" si="11"/>
        <v>1</v>
      </c>
      <c r="AA23" s="125">
        <f t="shared" si="12"/>
        <v>0</v>
      </c>
      <c r="AB23" s="125">
        <f t="shared" si="13"/>
        <v>0.51376146788990829</v>
      </c>
      <c r="AC23" s="125">
        <f t="shared" si="16"/>
        <v>0.82568807339449524</v>
      </c>
      <c r="AD23" s="125">
        <f t="shared" si="17"/>
        <v>2.7522935779816331E-2</v>
      </c>
      <c r="AE23" s="125">
        <f>($U$23-P23)/$W$23</f>
        <v>0.52293577981651373</v>
      </c>
      <c r="AF23" s="125">
        <f t="shared" ref="AF23:AI23" si="24">($U$23-Q23)/$W$23</f>
        <v>0.8348623853211008</v>
      </c>
      <c r="AG23" s="125">
        <f t="shared" si="24"/>
        <v>1.8348623853211024E-2</v>
      </c>
      <c r="AH23" s="125">
        <f t="shared" si="24"/>
        <v>0.52293577981651373</v>
      </c>
      <c r="AI23" s="136">
        <f t="shared" si="24"/>
        <v>0.82568807339449524</v>
      </c>
      <c r="AJ23" s="125">
        <f t="shared" si="15"/>
        <v>0.29367798165137615</v>
      </c>
      <c r="AK23" s="125">
        <f t="shared" si="19"/>
        <v>0.7340449541284404</v>
      </c>
      <c r="AL23" s="125">
        <f t="shared" si="7"/>
        <v>1.0001</v>
      </c>
      <c r="AM23" s="125">
        <f t="shared" si="7"/>
        <v>1E-4</v>
      </c>
      <c r="AN23" s="125">
        <f t="shared" si="7"/>
        <v>0.51386146788990827</v>
      </c>
      <c r="AO23" s="125">
        <f t="shared" si="7"/>
        <v>0.82578807339449523</v>
      </c>
      <c r="AP23" s="125">
        <f t="shared" si="7"/>
        <v>2.7622935779816331E-2</v>
      </c>
      <c r="AQ23" s="125">
        <f t="shared" si="7"/>
        <v>0.52303577981651372</v>
      </c>
      <c r="AR23" s="125">
        <f t="shared" si="7"/>
        <v>0.83496238532110079</v>
      </c>
      <c r="AS23" s="125">
        <f t="shared" si="7"/>
        <v>1.8448623853211023E-2</v>
      </c>
      <c r="AT23" s="125">
        <f t="shared" si="7"/>
        <v>0.52303577981651372</v>
      </c>
      <c r="AU23" s="136">
        <f t="shared" si="7"/>
        <v>0.82578807339449523</v>
      </c>
      <c r="AV23" s="125">
        <f t="shared" si="20"/>
        <v>6.1204660550458714</v>
      </c>
    </row>
    <row r="24" spans="1:60">
      <c r="A24">
        <v>0.16582914572864299</v>
      </c>
      <c r="B24">
        <v>0.253246753246753</v>
      </c>
      <c r="C24">
        <v>0.356012658227848</v>
      </c>
      <c r="H24" s="129" t="s">
        <v>187</v>
      </c>
      <c r="I24" s="127">
        <v>21670</v>
      </c>
      <c r="J24" s="121">
        <v>16250</v>
      </c>
      <c r="K24" s="327">
        <v>13000</v>
      </c>
      <c r="L24" s="327">
        <v>101000</v>
      </c>
      <c r="M24" s="327">
        <v>75760</v>
      </c>
      <c r="N24" s="327">
        <v>60610</v>
      </c>
      <c r="O24" s="327">
        <v>250200</v>
      </c>
      <c r="P24" s="327">
        <v>187700</v>
      </c>
      <c r="Q24" s="327">
        <v>150100</v>
      </c>
      <c r="R24" s="327">
        <v>501300</v>
      </c>
      <c r="S24" s="327">
        <v>376000</v>
      </c>
      <c r="T24" s="327">
        <v>300800</v>
      </c>
      <c r="U24" s="327">
        <f t="shared" si="8"/>
        <v>501300</v>
      </c>
      <c r="V24" s="327">
        <f>MIN(I24:T24)</f>
        <v>13000</v>
      </c>
      <c r="W24" s="328">
        <f t="shared" si="9"/>
        <v>488300</v>
      </c>
      <c r="X24" s="125">
        <f t="shared" si="22"/>
        <v>0.98224452181036248</v>
      </c>
      <c r="Y24" s="125">
        <f t="shared" si="10"/>
        <v>0.9933442555805857</v>
      </c>
      <c r="Z24" s="125">
        <f t="shared" si="11"/>
        <v>1</v>
      </c>
      <c r="AA24" s="125">
        <f t="shared" si="12"/>
        <v>0.81978292033585909</v>
      </c>
      <c r="AB24" s="125">
        <f t="shared" si="13"/>
        <v>0.87147245545771046</v>
      </c>
      <c r="AC24" s="125">
        <f t="shared" si="16"/>
        <v>0.90249846405898015</v>
      </c>
      <c r="AD24" s="125">
        <f t="shared" si="17"/>
        <v>0.51423305345074755</v>
      </c>
      <c r="AE24" s="125">
        <f>($U$24-P24)/$W$24</f>
        <v>0.6422281384394839</v>
      </c>
      <c r="AF24" s="125">
        <f t="shared" ref="AF24:AI24" si="25">($U$24-Q24)/$W$24</f>
        <v>0.71922998156870777</v>
      </c>
      <c r="AG24" s="125">
        <f t="shared" si="25"/>
        <v>0</v>
      </c>
      <c r="AH24" s="125">
        <f t="shared" si="25"/>
        <v>0.2566045463854188</v>
      </c>
      <c r="AI24" s="136">
        <f t="shared" si="25"/>
        <v>0.41060823264386648</v>
      </c>
      <c r="AJ24" s="125">
        <f t="shared" si="15"/>
        <v>0.98234452181036247</v>
      </c>
      <c r="AK24" s="125">
        <f t="shared" si="19"/>
        <v>0.99344425558058569</v>
      </c>
      <c r="AL24" s="125">
        <f t="shared" si="7"/>
        <v>1.0001</v>
      </c>
      <c r="AM24" s="125">
        <f t="shared" si="7"/>
        <v>0.81988292033585908</v>
      </c>
      <c r="AN24" s="125">
        <f t="shared" si="7"/>
        <v>0.87157245545771045</v>
      </c>
      <c r="AO24" s="125">
        <f t="shared" si="7"/>
        <v>0.90259846405898014</v>
      </c>
      <c r="AP24" s="125">
        <f t="shared" si="7"/>
        <v>0.51433305345074753</v>
      </c>
      <c r="AQ24" s="125">
        <f t="shared" si="7"/>
        <v>0.64232813843948389</v>
      </c>
      <c r="AR24" s="125">
        <f t="shared" si="7"/>
        <v>0.71932998156870775</v>
      </c>
      <c r="AS24" s="125">
        <f t="shared" si="7"/>
        <v>1E-4</v>
      </c>
      <c r="AT24" s="125">
        <f t="shared" si="7"/>
        <v>0.25670454638541879</v>
      </c>
      <c r="AU24" s="136">
        <f t="shared" si="7"/>
        <v>0.41070823264386647</v>
      </c>
      <c r="AV24" s="125">
        <f t="shared" si="20"/>
        <v>8.1134465697317211</v>
      </c>
    </row>
    <row r="25" spans="1:60">
      <c r="H25" s="129" t="s">
        <v>188</v>
      </c>
      <c r="I25" s="127">
        <v>23410</v>
      </c>
      <c r="J25" s="121">
        <v>20820</v>
      </c>
      <c r="K25" s="327">
        <v>19270</v>
      </c>
      <c r="L25" s="327">
        <v>109100</v>
      </c>
      <c r="M25" s="327">
        <v>97080</v>
      </c>
      <c r="N25" s="327">
        <v>89840</v>
      </c>
      <c r="O25" s="327">
        <v>270400</v>
      </c>
      <c r="P25" s="327">
        <v>240500</v>
      </c>
      <c r="Q25" s="327">
        <v>222600</v>
      </c>
      <c r="R25" s="327">
        <v>541700</v>
      </c>
      <c r="S25" s="327">
        <v>481800</v>
      </c>
      <c r="T25" s="327">
        <v>445900</v>
      </c>
      <c r="U25" s="327">
        <f t="shared" si="8"/>
        <v>541700</v>
      </c>
      <c r="V25" s="327">
        <f t="shared" ref="V25:V26" si="26">MIN(I25:T25)</f>
        <v>19270</v>
      </c>
      <c r="W25" s="328">
        <f t="shared" si="9"/>
        <v>522430</v>
      </c>
      <c r="X25" s="125">
        <f t="shared" si="22"/>
        <v>0.99207549336753253</v>
      </c>
      <c r="Y25" s="125">
        <f t="shared" si="10"/>
        <v>0.99703309534291673</v>
      </c>
      <c r="Z25" s="125">
        <f t="shared" si="11"/>
        <v>1</v>
      </c>
      <c r="AA25" s="125">
        <f t="shared" si="12"/>
        <v>0.82805351913174974</v>
      </c>
      <c r="AB25" s="125">
        <f t="shared" si="13"/>
        <v>0.85106138621442107</v>
      </c>
      <c r="AC25" s="125">
        <f t="shared" si="16"/>
        <v>0.86491970216105507</v>
      </c>
      <c r="AD25" s="125">
        <f t="shared" si="17"/>
        <v>0.51930402159140943</v>
      </c>
      <c r="AE25" s="125">
        <f>($U$25-P25)/$W$25</f>
        <v>0.5765365694925636</v>
      </c>
      <c r="AF25" s="125">
        <f t="shared" ref="AF25:AI25" si="27">($U$25-Q25)/$W$25</f>
        <v>0.61079953295178302</v>
      </c>
      <c r="AG25" s="125">
        <f t="shared" si="27"/>
        <v>0</v>
      </c>
      <c r="AH25" s="125">
        <f t="shared" si="27"/>
        <v>0.11465650900599124</v>
      </c>
      <c r="AI25" s="136">
        <f t="shared" si="27"/>
        <v>0.18337384912811286</v>
      </c>
      <c r="AJ25" s="125">
        <f t="shared" si="15"/>
        <v>0.99217549336753252</v>
      </c>
      <c r="AK25" s="125">
        <f t="shared" si="19"/>
        <v>0.99713309534291672</v>
      </c>
      <c r="AL25" s="125">
        <f t="shared" si="7"/>
        <v>1.0001</v>
      </c>
      <c r="AM25" s="125">
        <f t="shared" si="7"/>
        <v>0.82815351913174973</v>
      </c>
      <c r="AN25" s="125">
        <f t="shared" si="7"/>
        <v>0.85116138621442106</v>
      </c>
      <c r="AO25" s="125">
        <f t="shared" si="7"/>
        <v>0.86501970216105506</v>
      </c>
      <c r="AP25" s="125">
        <f t="shared" si="7"/>
        <v>0.51940402159140941</v>
      </c>
      <c r="AQ25" s="125">
        <f t="shared" si="7"/>
        <v>0.57663656949256359</v>
      </c>
      <c r="AR25" s="125">
        <f t="shared" si="7"/>
        <v>0.61089953295178301</v>
      </c>
      <c r="AS25" s="125">
        <f t="shared" si="7"/>
        <v>1E-4</v>
      </c>
      <c r="AT25" s="125">
        <f t="shared" si="7"/>
        <v>0.11475650900599124</v>
      </c>
      <c r="AU25" s="136">
        <f t="shared" si="7"/>
        <v>0.18347384912811285</v>
      </c>
      <c r="AV25" s="125">
        <f t="shared" si="20"/>
        <v>7.5390136783875343</v>
      </c>
    </row>
    <row r="26" spans="1:60" ht="29">
      <c r="H26" s="130" t="s">
        <v>189</v>
      </c>
      <c r="I26" s="127">
        <v>3.6999999999999998E-2</v>
      </c>
      <c r="J26" s="327">
        <v>2.3E-2</v>
      </c>
      <c r="K26" s="327">
        <v>2.3E-2</v>
      </c>
      <c r="L26" s="327">
        <v>0.17599999999999999</v>
      </c>
      <c r="M26" s="327">
        <v>0.13200000000000001</v>
      </c>
      <c r="N26" s="327">
        <v>0.106</v>
      </c>
      <c r="O26" s="327">
        <v>0.436</v>
      </c>
      <c r="P26" s="327">
        <v>0.32700000000000001</v>
      </c>
      <c r="Q26" s="327">
        <v>0.26200000000000001</v>
      </c>
      <c r="R26" s="327">
        <v>0.874</v>
      </c>
      <c r="S26" s="327">
        <v>0.65600000000000003</v>
      </c>
      <c r="T26" s="327">
        <v>0.52400000000000002</v>
      </c>
      <c r="U26" s="327">
        <f t="shared" si="8"/>
        <v>0.874</v>
      </c>
      <c r="V26" s="327">
        <f t="shared" si="26"/>
        <v>2.3E-2</v>
      </c>
      <c r="W26" s="328">
        <f t="shared" ref="W26" si="28">U26-V26</f>
        <v>0.85099999999999998</v>
      </c>
      <c r="X26" s="125">
        <f>(U26-I26)/W26</f>
        <v>0.98354876615746178</v>
      </c>
      <c r="Y26" s="125">
        <f t="shared" si="10"/>
        <v>1</v>
      </c>
      <c r="Z26" s="125">
        <f t="shared" si="11"/>
        <v>1</v>
      </c>
      <c r="AA26" s="125">
        <f t="shared" si="12"/>
        <v>0.82021151586368979</v>
      </c>
      <c r="AB26" s="125">
        <f t="shared" si="13"/>
        <v>0.87191539365452408</v>
      </c>
      <c r="AC26" s="125">
        <f t="shared" si="16"/>
        <v>0.90246768507638075</v>
      </c>
      <c r="AD26" s="125">
        <f t="shared" si="17"/>
        <v>0.51468860164512342</v>
      </c>
      <c r="AE26" s="125">
        <f>($U$26-P26)/$W$26</f>
        <v>0.64277320799059923</v>
      </c>
      <c r="AF26" s="125">
        <f t="shared" ref="AF26:AI26" si="29">($U$26-Q26)/$W$26</f>
        <v>0.71915393654524085</v>
      </c>
      <c r="AG26" s="125">
        <f t="shared" si="29"/>
        <v>0</v>
      </c>
      <c r="AH26" s="125">
        <f t="shared" si="29"/>
        <v>0.25616921269095178</v>
      </c>
      <c r="AI26" s="136">
        <f t="shared" si="29"/>
        <v>0.41128084606345472</v>
      </c>
      <c r="AJ26" s="125">
        <f t="shared" si="15"/>
        <v>0.98364876615746177</v>
      </c>
      <c r="AK26" s="125">
        <f t="shared" si="19"/>
        <v>1.0001</v>
      </c>
      <c r="AL26" s="125">
        <f t="shared" si="7"/>
        <v>1.0001</v>
      </c>
      <c r="AM26" s="125">
        <f t="shared" si="7"/>
        <v>0.82031151586368978</v>
      </c>
      <c r="AN26" s="125">
        <f t="shared" si="7"/>
        <v>0.87201539365452407</v>
      </c>
      <c r="AO26" s="125">
        <f t="shared" si="7"/>
        <v>0.90256768507638074</v>
      </c>
      <c r="AP26" s="125">
        <f t="shared" si="7"/>
        <v>0.51478860164512341</v>
      </c>
      <c r="AQ26" s="125">
        <f t="shared" si="7"/>
        <v>0.64287320799059922</v>
      </c>
      <c r="AR26" s="125">
        <f t="shared" si="7"/>
        <v>0.71925393654524084</v>
      </c>
      <c r="AS26" s="125">
        <f t="shared" si="7"/>
        <v>1E-4</v>
      </c>
      <c r="AT26" s="125">
        <f t="shared" si="7"/>
        <v>0.25626921269095176</v>
      </c>
      <c r="AU26" s="136">
        <f t="shared" si="7"/>
        <v>0.41138084606345471</v>
      </c>
      <c r="AV26" s="125">
        <f t="shared" si="20"/>
        <v>8.123409165687427</v>
      </c>
    </row>
    <row r="27" spans="1:60" ht="29">
      <c r="H27" s="130" t="s">
        <v>190</v>
      </c>
      <c r="I27" s="127">
        <v>0.69</v>
      </c>
      <c r="J27" s="327">
        <v>0.43</v>
      </c>
      <c r="K27" s="327">
        <v>0.41</v>
      </c>
      <c r="L27" s="327">
        <v>3.21</v>
      </c>
      <c r="M27" s="327">
        <v>2.41</v>
      </c>
      <c r="N27" s="327">
        <v>1.93</v>
      </c>
      <c r="O27" s="327">
        <v>7.96</v>
      </c>
      <c r="P27" s="327">
        <v>5.97</v>
      </c>
      <c r="Q27" s="327">
        <v>4.78</v>
      </c>
      <c r="R27" s="327">
        <v>15.95</v>
      </c>
      <c r="S27" s="327">
        <v>11.96</v>
      </c>
      <c r="T27" s="327">
        <v>9.57</v>
      </c>
      <c r="U27" s="327">
        <f t="shared" si="8"/>
        <v>15.95</v>
      </c>
      <c r="V27" s="327">
        <f>MIN(I27:T27)</f>
        <v>0.41</v>
      </c>
      <c r="W27" s="328">
        <f>U27-V27</f>
        <v>15.54</v>
      </c>
      <c r="X27" s="125">
        <f t="shared" si="22"/>
        <v>0.98198198198198205</v>
      </c>
      <c r="Y27" s="125">
        <f t="shared" si="10"/>
        <v>0.99871299871299879</v>
      </c>
      <c r="Z27" s="125">
        <f t="shared" si="11"/>
        <v>1</v>
      </c>
      <c r="AA27" s="125">
        <f t="shared" si="12"/>
        <v>0.81981981981981977</v>
      </c>
      <c r="AB27" s="125">
        <f t="shared" si="13"/>
        <v>0.8712998712998713</v>
      </c>
      <c r="AC27" s="125">
        <f t="shared" si="16"/>
        <v>0.90218790218790224</v>
      </c>
      <c r="AD27" s="125">
        <f t="shared" si="17"/>
        <v>0.51415701415701409</v>
      </c>
      <c r="AE27" s="125">
        <f>($U$27-P27)/$W$27</f>
        <v>0.6422136422136423</v>
      </c>
      <c r="AF27" s="125">
        <f t="shared" ref="AF27:AI27" si="30">($U$27-Q27)/$W$27</f>
        <v>0.71879021879021876</v>
      </c>
      <c r="AG27" s="125">
        <f t="shared" si="30"/>
        <v>0</v>
      </c>
      <c r="AH27" s="125">
        <f t="shared" si="30"/>
        <v>0.25675675675675669</v>
      </c>
      <c r="AI27" s="136">
        <f t="shared" si="30"/>
        <v>0.41055341055341049</v>
      </c>
      <c r="AJ27" s="125">
        <f t="shared" si="15"/>
        <v>0.98208198198198204</v>
      </c>
      <c r="AK27" s="125">
        <f t="shared" si="19"/>
        <v>0.99881299871299878</v>
      </c>
      <c r="AL27" s="125">
        <f t="shared" si="7"/>
        <v>1.0001</v>
      </c>
      <c r="AM27" s="125">
        <f t="shared" si="7"/>
        <v>0.81991981981981976</v>
      </c>
      <c r="AN27" s="125">
        <f t="shared" si="7"/>
        <v>0.87139987129987129</v>
      </c>
      <c r="AO27" s="125">
        <f t="shared" si="7"/>
        <v>0.90228790218790222</v>
      </c>
      <c r="AP27" s="125">
        <f t="shared" si="7"/>
        <v>0.51425701415701408</v>
      </c>
      <c r="AQ27" s="125">
        <f t="shared" si="7"/>
        <v>0.64231364221364229</v>
      </c>
      <c r="AR27" s="125">
        <f t="shared" si="7"/>
        <v>0.71889021879021875</v>
      </c>
      <c r="AS27" s="125">
        <f t="shared" si="7"/>
        <v>1E-4</v>
      </c>
      <c r="AT27" s="125">
        <f t="shared" si="7"/>
        <v>0.25685675675675668</v>
      </c>
      <c r="AU27" s="136">
        <f t="shared" si="7"/>
        <v>0.41065341055341048</v>
      </c>
      <c r="AV27" s="125">
        <f t="shared" si="20"/>
        <v>8.117673616473617</v>
      </c>
    </row>
    <row r="28" spans="1:60" ht="15.5">
      <c r="H28" s="124"/>
      <c r="I28" s="124"/>
      <c r="J28" s="126"/>
    </row>
    <row r="29" spans="1:60">
      <c r="I29" s="402" t="s">
        <v>61</v>
      </c>
      <c r="J29" s="402"/>
      <c r="K29" s="402"/>
      <c r="L29" s="402"/>
      <c r="M29" s="402"/>
      <c r="N29" s="402"/>
      <c r="O29" s="402"/>
      <c r="P29" s="402"/>
      <c r="Q29" s="402"/>
      <c r="R29" s="402"/>
      <c r="S29" s="402"/>
      <c r="T29" s="404"/>
      <c r="U29" s="402" t="s">
        <v>62</v>
      </c>
      <c r="V29" s="402"/>
      <c r="W29" s="402"/>
      <c r="X29" s="402"/>
      <c r="Y29" s="402"/>
      <c r="Z29" s="402"/>
      <c r="AA29" s="402"/>
      <c r="AB29" s="402"/>
      <c r="AC29" s="402"/>
      <c r="AD29" s="402"/>
      <c r="AE29" s="402"/>
      <c r="AF29" s="403"/>
      <c r="AG29" s="402" t="s">
        <v>63</v>
      </c>
      <c r="AH29" s="402"/>
      <c r="AI29" s="402"/>
      <c r="AJ29" s="402"/>
      <c r="AK29" s="402"/>
      <c r="AL29" s="402"/>
      <c r="AM29" s="402"/>
      <c r="AN29" s="402"/>
      <c r="AO29" s="402"/>
      <c r="AP29" s="402"/>
      <c r="AQ29" s="402"/>
      <c r="AR29" s="402"/>
      <c r="AS29" s="402"/>
    </row>
    <row r="30" spans="1:60">
      <c r="I30" s="131" t="s">
        <v>160</v>
      </c>
      <c r="J30" s="131" t="s">
        <v>161</v>
      </c>
      <c r="K30" s="131" t="s">
        <v>163</v>
      </c>
      <c r="L30" s="131" t="s">
        <v>164</v>
      </c>
      <c r="M30" s="131" t="s">
        <v>165</v>
      </c>
      <c r="N30" s="131" t="s">
        <v>166</v>
      </c>
      <c r="O30" s="131" t="s">
        <v>167</v>
      </c>
      <c r="P30" s="131" t="s">
        <v>169</v>
      </c>
      <c r="Q30" s="131" t="s">
        <v>170</v>
      </c>
      <c r="R30" s="131" t="s">
        <v>171</v>
      </c>
      <c r="S30" s="135" t="s">
        <v>172</v>
      </c>
      <c r="T30" s="132" t="s">
        <v>173</v>
      </c>
      <c r="U30" s="131" t="s">
        <v>160</v>
      </c>
      <c r="V30" s="131" t="s">
        <v>161</v>
      </c>
      <c r="W30" s="131" t="s">
        <v>163</v>
      </c>
      <c r="X30" s="131" t="s">
        <v>164</v>
      </c>
      <c r="Y30" s="131" t="s">
        <v>165</v>
      </c>
      <c r="Z30" s="131" t="s">
        <v>166</v>
      </c>
      <c r="AA30" s="131" t="s">
        <v>167</v>
      </c>
      <c r="AB30" s="131" t="s">
        <v>169</v>
      </c>
      <c r="AC30" s="131" t="s">
        <v>170</v>
      </c>
      <c r="AD30" s="131" t="s">
        <v>171</v>
      </c>
      <c r="AE30" s="131" t="s">
        <v>172</v>
      </c>
      <c r="AF30" s="135" t="s">
        <v>173</v>
      </c>
      <c r="AG30" s="138" t="s">
        <v>160</v>
      </c>
      <c r="AH30" s="138" t="s">
        <v>161</v>
      </c>
      <c r="AI30" s="138" t="s">
        <v>163</v>
      </c>
      <c r="AJ30" s="138" t="s">
        <v>164</v>
      </c>
      <c r="AK30" s="138" t="s">
        <v>165</v>
      </c>
      <c r="AL30" s="138" t="s">
        <v>166</v>
      </c>
      <c r="AM30" s="138" t="s">
        <v>167</v>
      </c>
      <c r="AN30" s="138" t="s">
        <v>169</v>
      </c>
      <c r="AO30" s="138" t="s">
        <v>170</v>
      </c>
      <c r="AP30" s="138" t="s">
        <v>171</v>
      </c>
      <c r="AQ30" s="138" t="s">
        <v>172</v>
      </c>
      <c r="AR30" s="139" t="s">
        <v>173</v>
      </c>
      <c r="AS30" s="140" t="s">
        <v>180</v>
      </c>
      <c r="AT30" s="9" t="s">
        <v>64</v>
      </c>
      <c r="AU30" s="9" t="s">
        <v>65</v>
      </c>
      <c r="AV30" s="58" t="s">
        <v>51</v>
      </c>
    </row>
    <row r="31" spans="1:60" ht="29">
      <c r="H31" s="132" t="s">
        <v>181</v>
      </c>
      <c r="I31" s="125">
        <f>$AV$18/AJ18</f>
        <v>9.7870490967960411</v>
      </c>
      <c r="J31" s="125">
        <f>$AV$18/AK18</f>
        <v>6.3036709538123068</v>
      </c>
      <c r="K31" s="125">
        <f t="shared" ref="K31:T31" si="31">$AV$18/AL18</f>
        <v>5.1979498295904198</v>
      </c>
      <c r="L31" s="125">
        <f t="shared" si="31"/>
        <v>51984.696245733787</v>
      </c>
      <c r="M31" s="125">
        <f t="shared" si="31"/>
        <v>15.151320062907034</v>
      </c>
      <c r="N31" s="125">
        <f t="shared" si="31"/>
        <v>9.4883089878296367</v>
      </c>
      <c r="O31" s="125">
        <f t="shared" si="31"/>
        <v>148.90086320667103</v>
      </c>
      <c r="P31" s="125">
        <f t="shared" si="31"/>
        <v>13.91904727527271</v>
      </c>
      <c r="Q31" s="125">
        <f t="shared" si="31"/>
        <v>9.0111690695045183</v>
      </c>
      <c r="R31" s="125">
        <f t="shared" si="31"/>
        <v>189.69917676509783</v>
      </c>
      <c r="S31" s="125">
        <f t="shared" si="31"/>
        <v>14.138693930063596</v>
      </c>
      <c r="T31" s="136">
        <f t="shared" si="31"/>
        <v>9.1027190097609925</v>
      </c>
      <c r="U31" s="125">
        <f>LN(I31)</f>
        <v>2.2810599909628295</v>
      </c>
      <c r="V31" s="125">
        <f t="shared" ref="V31:AF40" si="32">LN(J31)</f>
        <v>1.8411321547802755</v>
      </c>
      <c r="W31" s="125">
        <f t="shared" si="32"/>
        <v>1.6482642843047735</v>
      </c>
      <c r="X31" s="125">
        <f t="shared" si="32"/>
        <v>10.85870465128129</v>
      </c>
      <c r="Y31" s="125">
        <f t="shared" si="32"/>
        <v>2.7180876610246814</v>
      </c>
      <c r="Z31" s="125">
        <f t="shared" si="32"/>
        <v>2.2500604078960178</v>
      </c>
      <c r="AA31" s="125">
        <f t="shared" si="32"/>
        <v>5.0032807368972767</v>
      </c>
      <c r="AB31" s="125">
        <f t="shared" si="32"/>
        <v>2.6332582096956139</v>
      </c>
      <c r="AC31" s="125">
        <f t="shared" si="32"/>
        <v>2.1984648156453592</v>
      </c>
      <c r="AD31" s="125">
        <f t="shared" si="32"/>
        <v>5.2454395372641711</v>
      </c>
      <c r="AE31" s="125">
        <f t="shared" si="32"/>
        <v>2.6489152891629795</v>
      </c>
      <c r="AF31" s="136">
        <f t="shared" si="32"/>
        <v>2.2085731611747081</v>
      </c>
      <c r="AG31" s="125">
        <f>I31*U31</f>
        <v>22.324846124290346</v>
      </c>
      <c r="AH31" s="125">
        <f t="shared" ref="AH31:AS40" si="33">J31*V31</f>
        <v>11.605891286218286</v>
      </c>
      <c r="AI31" s="125">
        <f t="shared" si="33"/>
        <v>8.5675950557219718</v>
      </c>
      <c r="AJ31" s="125">
        <f t="shared" si="33"/>
        <v>564486.46291899448</v>
      </c>
      <c r="AK31" s="125">
        <f t="shared" si="33"/>
        <v>41.182616111223311</v>
      </c>
      <c r="AL31" s="125">
        <f t="shared" si="33"/>
        <v>21.349268391399406</v>
      </c>
      <c r="AM31" s="125">
        <f t="shared" si="33"/>
        <v>744.99282058931362</v>
      </c>
      <c r="AN31" s="125">
        <f t="shared" si="33"/>
        <v>36.652445508753232</v>
      </c>
      <c r="AO31" s="125">
        <f t="shared" si="33"/>
        <v>19.810738147137414</v>
      </c>
      <c r="AP31" s="125">
        <f t="shared" si="33"/>
        <v>995.05556199010903</v>
      </c>
      <c r="AQ31" s="125">
        <f t="shared" si="33"/>
        <v>37.45220252014127</v>
      </c>
      <c r="AR31" s="125">
        <f t="shared" si="33"/>
        <v>20.104020898672943</v>
      </c>
      <c r="AS31" s="125">
        <f>SUM(AG31:AR31)</f>
        <v>566445.56092561746</v>
      </c>
      <c r="AT31" s="125">
        <f>AS31*$AS$42</f>
        <v>-227954.46298714832</v>
      </c>
      <c r="AU31" s="125">
        <f>1-AT31</f>
        <v>227955.46298714832</v>
      </c>
      <c r="AV31" s="145">
        <f>AU31/$AU$41</f>
        <v>7.9420354063643894E-2</v>
      </c>
      <c r="AW31">
        <v>8.0920695166717363E-2</v>
      </c>
      <c r="AX31">
        <v>7.9420354063643894E-2</v>
      </c>
      <c r="AY31">
        <v>8.0920695166717363E-2</v>
      </c>
      <c r="AZ31">
        <v>8.3921417789326561E-2</v>
      </c>
      <c r="BA31">
        <v>0.10516160810195729</v>
      </c>
      <c r="BB31">
        <v>0.11861149205864452</v>
      </c>
      <c r="BC31">
        <v>0.13116546781603494</v>
      </c>
      <c r="BD31">
        <v>9.6848696650954122E-2</v>
      </c>
      <c r="BE31">
        <v>0.13107370766329798</v>
      </c>
      <c r="BF31">
        <v>0.12104240168491626</v>
      </c>
      <c r="BG31">
        <v>0.13124889036897086</v>
      </c>
      <c r="BH31">
        <v>5.6226991798791347E-6</v>
      </c>
    </row>
    <row r="32" spans="1:60" ht="29">
      <c r="H32" s="132" t="s">
        <v>182</v>
      </c>
      <c r="I32" s="125">
        <f>$AV$19/AJ19</f>
        <v>11.122823151243676</v>
      </c>
      <c r="J32" s="125">
        <f t="shared" ref="J32:T32" si="34">$AV$19/AK19</f>
        <v>6.6616789612813534</v>
      </c>
      <c r="K32" s="125">
        <f t="shared" si="34"/>
        <v>5.3719612093460345</v>
      </c>
      <c r="L32" s="125">
        <f t="shared" si="34"/>
        <v>53724.984054669687</v>
      </c>
      <c r="M32" s="125">
        <f t="shared" si="34"/>
        <v>14.29029973237424</v>
      </c>
      <c r="N32" s="125">
        <f t="shared" si="34"/>
        <v>8.9323282984382448</v>
      </c>
      <c r="O32" s="125">
        <f t="shared" si="34"/>
        <v>180.81454166315416</v>
      </c>
      <c r="P32" s="125">
        <f t="shared" si="34"/>
        <v>13.321706085326863</v>
      </c>
      <c r="Q32" s="125">
        <f t="shared" si="34"/>
        <v>8.5750921943733314</v>
      </c>
      <c r="R32" s="125">
        <f t="shared" si="34"/>
        <v>213.55923179311839</v>
      </c>
      <c r="S32" s="125">
        <f t="shared" si="34"/>
        <v>13.473915971936187</v>
      </c>
      <c r="T32" s="136">
        <f t="shared" si="34"/>
        <v>8.6379032822194493</v>
      </c>
      <c r="U32" s="125">
        <f t="shared" ref="U32:U40" si="35">LN(I32)</f>
        <v>2.4089991371077586</v>
      </c>
      <c r="V32" s="125">
        <f t="shared" si="32"/>
        <v>1.8963715490698594</v>
      </c>
      <c r="W32" s="125">
        <f t="shared" si="32"/>
        <v>1.6811930577387988</v>
      </c>
      <c r="X32" s="125">
        <f t="shared" si="32"/>
        <v>10.891633424715314</v>
      </c>
      <c r="Y32" s="125">
        <f t="shared" si="32"/>
        <v>2.659580966695509</v>
      </c>
      <c r="Z32" s="125">
        <f t="shared" si="32"/>
        <v>2.1896770886134957</v>
      </c>
      <c r="AA32" s="125">
        <f t="shared" si="32"/>
        <v>5.197471874276637</v>
      </c>
      <c r="AB32" s="125">
        <f t="shared" si="32"/>
        <v>2.5893947413941247</v>
      </c>
      <c r="AC32" s="125">
        <f t="shared" si="32"/>
        <v>2.1488617445246239</v>
      </c>
      <c r="AD32" s="125">
        <f t="shared" si="32"/>
        <v>5.3639142264777275</v>
      </c>
      <c r="AE32" s="125">
        <f t="shared" si="32"/>
        <v>2.6007556662073248</v>
      </c>
      <c r="AF32" s="136">
        <f t="shared" si="32"/>
        <v>2.1561598776964139</v>
      </c>
      <c r="AG32" s="125">
        <f>I32*U32</f>
        <v>26.794871373548215</v>
      </c>
      <c r="AH32" s="125">
        <f t="shared" si="33"/>
        <v>12.633018451211212</v>
      </c>
      <c r="AI32" s="125">
        <f t="shared" si="33"/>
        <v>9.0313038915946748</v>
      </c>
      <c r="AJ32" s="125">
        <f t="shared" si="33"/>
        <v>585152.83207213762</v>
      </c>
      <c r="AK32" s="125">
        <f t="shared" si="33"/>
        <v>38.006209176596457</v>
      </c>
      <c r="AL32" s="125">
        <f t="shared" si="33"/>
        <v>19.558914623064197</v>
      </c>
      <c r="AM32" s="125">
        <f t="shared" si="33"/>
        <v>939.77849475446487</v>
      </c>
      <c r="AN32" s="125">
        <f t="shared" si="33"/>
        <v>34.495155683743491</v>
      </c>
      <c r="AO32" s="125">
        <f t="shared" si="33"/>
        <v>18.426687572260562</v>
      </c>
      <c r="AP32" s="125">
        <f t="shared" si="33"/>
        <v>1145.5134016107622</v>
      </c>
      <c r="AQ32" s="125">
        <f t="shared" si="33"/>
        <v>35.042363310014409</v>
      </c>
      <c r="AR32" s="125">
        <f t="shared" si="33"/>
        <v>18.624700484543741</v>
      </c>
      <c r="AS32" s="125">
        <f t="shared" ref="AS32:AS39" si="36">SUM(AG32:AR32)</f>
        <v>587450.73719306954</v>
      </c>
      <c r="AT32" s="125">
        <f t="shared" ref="AT32:AT40" si="37">AS32*$AS$42</f>
        <v>-236407.56776242997</v>
      </c>
      <c r="AU32" s="125">
        <f t="shared" ref="AU32:AU40" si="38">1-AT32</f>
        <v>236408.56776242997</v>
      </c>
      <c r="AV32" s="145">
        <f t="shared" ref="AV32:AV40" si="39">AU32/$AU$41</f>
        <v>8.236544064061177E-2</v>
      </c>
      <c r="AW32">
        <v>8.3921417789326561E-2</v>
      </c>
      <c r="AX32">
        <v>8.236544064061177E-2</v>
      </c>
      <c r="AY32">
        <v>7.9420354063643894E-2</v>
      </c>
      <c r="AZ32">
        <v>8.236544064061177E-2</v>
      </c>
      <c r="BA32">
        <v>0.10321181907980904</v>
      </c>
      <c r="BB32">
        <v>0.11641233031805613</v>
      </c>
      <c r="BC32">
        <v>0.14727442681248942</v>
      </c>
      <c r="BD32">
        <v>9.5053036343474645E-2</v>
      </c>
      <c r="BE32">
        <v>0.12864348544716003</v>
      </c>
      <c r="BF32">
        <v>0.11879816873451393</v>
      </c>
      <c r="BG32">
        <v>0.12881542011086633</v>
      </c>
      <c r="BH32">
        <v>5.5184493749014355E-6</v>
      </c>
    </row>
    <row r="33" spans="8:50">
      <c r="H33" s="132" t="s">
        <v>183</v>
      </c>
      <c r="I33" s="125">
        <f>$AV$20/AJ20</f>
        <v>314.54777070063682</v>
      </c>
      <c r="J33" s="125">
        <f t="shared" ref="J33:T33" si="40">$AV$20/AK20</f>
        <v>10.193828052430588</v>
      </c>
      <c r="K33" s="125">
        <f t="shared" si="40"/>
        <v>6.5838749458387511</v>
      </c>
      <c r="L33" s="125">
        <f t="shared" si="40"/>
        <v>314.54777070063682</v>
      </c>
      <c r="M33" s="125">
        <f t="shared" si="40"/>
        <v>10.533567962459337</v>
      </c>
      <c r="N33" s="125">
        <f t="shared" si="40"/>
        <v>6.5838749458387511</v>
      </c>
      <c r="O33" s="125">
        <f t="shared" si="40"/>
        <v>65845.333333333343</v>
      </c>
      <c r="P33" s="125">
        <f t="shared" si="40"/>
        <v>10.533567962459337</v>
      </c>
      <c r="Q33" s="125">
        <f t="shared" si="40"/>
        <v>6.5838749458387511</v>
      </c>
      <c r="R33" s="125">
        <f t="shared" si="40"/>
        <v>314.54777070063682</v>
      </c>
      <c r="S33" s="125">
        <f t="shared" si="40"/>
        <v>10.533567962459337</v>
      </c>
      <c r="T33" s="136">
        <f t="shared" si="40"/>
        <v>6.5838749458387511</v>
      </c>
      <c r="U33" s="125">
        <f t="shared" si="35"/>
        <v>5.7511359587254232</v>
      </c>
      <c r="V33" s="125">
        <f t="shared" si="32"/>
        <v>2.3217824442486727</v>
      </c>
      <c r="W33" s="125">
        <f t="shared" si="32"/>
        <v>1.884623469548997</v>
      </c>
      <c r="X33" s="125">
        <f t="shared" si="32"/>
        <v>5.7511359587254232</v>
      </c>
      <c r="Y33" s="125">
        <f t="shared" si="32"/>
        <v>2.3545671065936999</v>
      </c>
      <c r="Z33" s="125">
        <f t="shared" si="32"/>
        <v>1.884623469548997</v>
      </c>
      <c r="AA33" s="125">
        <f t="shared" si="32"/>
        <v>11.095063836525513</v>
      </c>
      <c r="AB33" s="125">
        <f t="shared" si="32"/>
        <v>2.3545671065936999</v>
      </c>
      <c r="AC33" s="125">
        <f t="shared" si="32"/>
        <v>1.884623469548997</v>
      </c>
      <c r="AD33" s="125">
        <f t="shared" si="32"/>
        <v>5.7511359587254232</v>
      </c>
      <c r="AE33" s="125">
        <f t="shared" si="32"/>
        <v>2.3545671065936999</v>
      </c>
      <c r="AF33" s="136">
        <f t="shared" si="32"/>
        <v>1.884623469548997</v>
      </c>
      <c r="AG33" s="125">
        <f t="shared" ref="AG33:AG40" si="41">I33*U33</f>
        <v>1809.0069948133514</v>
      </c>
      <c r="AH33" s="125">
        <f t="shared" si="33"/>
        <v>23.667851011822979</v>
      </c>
      <c r="AI33" s="125">
        <f t="shared" si="33"/>
        <v>12.408125243503342</v>
      </c>
      <c r="AJ33" s="125">
        <f t="shared" si="33"/>
        <v>1809.0069948133514</v>
      </c>
      <c r="AK33" s="125">
        <f t="shared" si="33"/>
        <v>24.801992639475976</v>
      </c>
      <c r="AL33" s="125">
        <f t="shared" si="33"/>
        <v>12.408125243503342</v>
      </c>
      <c r="AM33" s="125">
        <f t="shared" si="33"/>
        <v>730558.17667063477</v>
      </c>
      <c r="AN33" s="125">
        <f t="shared" si="33"/>
        <v>24.801992639475976</v>
      </c>
      <c r="AO33" s="125">
        <f t="shared" si="33"/>
        <v>12.408125243503342</v>
      </c>
      <c r="AP33" s="125">
        <f t="shared" si="33"/>
        <v>1809.0069948133514</v>
      </c>
      <c r="AQ33" s="125">
        <f t="shared" si="33"/>
        <v>24.801992639475976</v>
      </c>
      <c r="AR33" s="125">
        <f t="shared" si="33"/>
        <v>12.408125243503342</v>
      </c>
      <c r="AS33" s="125">
        <f t="shared" si="36"/>
        <v>736132.90398497903</v>
      </c>
      <c r="AT33" s="125">
        <f t="shared" si="37"/>
        <v>-296241.67332313355</v>
      </c>
      <c r="AU33" s="125">
        <f t="shared" si="38"/>
        <v>296242.67332313355</v>
      </c>
      <c r="AV33" s="145">
        <f t="shared" si="39"/>
        <v>0.10321181907980904</v>
      </c>
      <c r="AW33">
        <v>0.10516160810195729</v>
      </c>
      <c r="AX33">
        <v>0.10321181907980904</v>
      </c>
    </row>
    <row r="34" spans="8:50" ht="29">
      <c r="H34" s="132" t="s">
        <v>191</v>
      </c>
      <c r="I34" s="125">
        <f>$AV$21/AJ21</f>
        <v>7.3952023162505007</v>
      </c>
      <c r="J34" s="125">
        <f t="shared" ref="J34:S34" si="42">$AV$21/AK21</f>
        <v>7.423424996433619</v>
      </c>
      <c r="K34" s="125">
        <f t="shared" si="42"/>
        <v>7.4404654820813301</v>
      </c>
      <c r="L34" s="125">
        <f t="shared" si="42"/>
        <v>8.55753652812529</v>
      </c>
      <c r="M34" s="125">
        <f t="shared" si="42"/>
        <v>8.7366737611651324</v>
      </c>
      <c r="N34" s="125">
        <f t="shared" si="42"/>
        <v>8.8478461235786643</v>
      </c>
      <c r="O34" s="125">
        <f t="shared" si="42"/>
        <v>12.471355508920583</v>
      </c>
      <c r="P34" s="125">
        <f t="shared" si="42"/>
        <v>13.468626590100005</v>
      </c>
      <c r="Q34" s="125">
        <f t="shared" si="42"/>
        <v>14.147599602795253</v>
      </c>
      <c r="R34" s="125">
        <f t="shared" si="42"/>
        <v>52.500469399743899</v>
      </c>
      <c r="S34" s="125">
        <f t="shared" si="42"/>
        <v>139.75001092228717</v>
      </c>
      <c r="T34" s="136">
        <f>$AV$21/AU21</f>
        <v>73959.418364821249</v>
      </c>
      <c r="U34" s="125">
        <f t="shared" si="35"/>
        <v>2.0008314543078631</v>
      </c>
      <c r="V34" s="125">
        <f t="shared" si="32"/>
        <v>2.0046405404953331</v>
      </c>
      <c r="W34" s="125">
        <f t="shared" si="32"/>
        <v>2.0069334116837831</v>
      </c>
      <c r="X34" s="125">
        <f t="shared" si="32"/>
        <v>2.1468123599641058</v>
      </c>
      <c r="Y34" s="125">
        <f t="shared" si="32"/>
        <v>2.1675295407040904</v>
      </c>
      <c r="Z34" s="125">
        <f t="shared" si="32"/>
        <v>2.1801740535323084</v>
      </c>
      <c r="AA34" s="125">
        <f t="shared" si="32"/>
        <v>2.5234344553818353</v>
      </c>
      <c r="AB34" s="125">
        <f t="shared" si="32"/>
        <v>2.6003630245780531</v>
      </c>
      <c r="AC34" s="125">
        <f t="shared" si="32"/>
        <v>2.6495449703204326</v>
      </c>
      <c r="AD34" s="125">
        <f t="shared" si="32"/>
        <v>3.9608221105051107</v>
      </c>
      <c r="AE34" s="125">
        <f t="shared" si="32"/>
        <v>4.939855190191107</v>
      </c>
      <c r="AF34" s="136">
        <f t="shared" si="32"/>
        <v>11.211271821284379</v>
      </c>
      <c r="AG34" s="125">
        <f t="shared" si="41"/>
        <v>14.796553405324367</v>
      </c>
      <c r="AH34" s="125">
        <f t="shared" si="33"/>
        <v>14.881298697177256</v>
      </c>
      <c r="AI34" s="125">
        <f t="shared" si="33"/>
        <v>14.932518774468909</v>
      </c>
      <c r="AJ34" s="125">
        <f t="shared" si="33"/>
        <v>18.371425189423693</v>
      </c>
      <c r="AK34" s="125">
        <f t="shared" si="33"/>
        <v>18.936998464819737</v>
      </c>
      <c r="AL34" s="125">
        <f t="shared" si="33"/>
        <v>19.289844548272619</v>
      </c>
      <c r="AM34" s="125">
        <f t="shared" si="33"/>
        <v>31.470648196526263</v>
      </c>
      <c r="AN34" s="125">
        <f t="shared" si="33"/>
        <v>35.023318576744842</v>
      </c>
      <c r="AO34" s="125">
        <f t="shared" si="33"/>
        <v>37.484701369693511</v>
      </c>
      <c r="AP34" s="125">
        <f t="shared" si="33"/>
        <v>207.9450200104026</v>
      </c>
      <c r="AQ34" s="125">
        <f t="shared" si="33"/>
        <v>690.34481678372424</v>
      </c>
      <c r="AR34" s="125">
        <f t="shared" si="33"/>
        <v>829179.14303210285</v>
      </c>
      <c r="AS34" s="125">
        <f t="shared" si="36"/>
        <v>830282.62017611938</v>
      </c>
      <c r="AT34" s="125">
        <f t="shared" si="37"/>
        <v>-334130.3063625971</v>
      </c>
      <c r="AU34" s="125">
        <f t="shared" si="38"/>
        <v>334131.3063625971</v>
      </c>
      <c r="AV34" s="145">
        <f t="shared" si="39"/>
        <v>0.11641233031805613</v>
      </c>
      <c r="AW34">
        <v>0.11861149205864452</v>
      </c>
      <c r="AX34">
        <v>0.11641233031805613</v>
      </c>
    </row>
    <row r="35" spans="8:50">
      <c r="H35" s="132" t="s">
        <v>192</v>
      </c>
      <c r="I35" s="125">
        <f>$AV$22/AJ22</f>
        <v>9.2680711534782922</v>
      </c>
      <c r="J35" s="125">
        <f t="shared" ref="J35:T35" si="43">$AV$22/AK22</f>
        <v>9.1917556022124742</v>
      </c>
      <c r="K35" s="125">
        <f t="shared" si="43"/>
        <v>9.1875781053203607</v>
      </c>
      <c r="L35" s="125">
        <f t="shared" si="43"/>
        <v>91884.968631308919</v>
      </c>
      <c r="M35" s="125">
        <f t="shared" si="43"/>
        <v>9.8044535667312047</v>
      </c>
      <c r="N35" s="125">
        <f t="shared" si="43"/>
        <v>9.6502582535711241</v>
      </c>
      <c r="O35" s="125">
        <f t="shared" si="43"/>
        <v>12.055017290762255</v>
      </c>
      <c r="P35" s="125">
        <f t="shared" si="43"/>
        <v>11.137898896897468</v>
      </c>
      <c r="Q35" s="125">
        <f t="shared" si="43"/>
        <v>10.652300352764614</v>
      </c>
      <c r="R35" s="125">
        <f t="shared" si="43"/>
        <v>17.999739423996669</v>
      </c>
      <c r="S35" s="125">
        <f t="shared" si="43"/>
        <v>14.444402755018237</v>
      </c>
      <c r="T35" s="136">
        <f t="shared" si="43"/>
        <v>12.913708430722716</v>
      </c>
      <c r="U35" s="125">
        <f t="shared" si="35"/>
        <v>2.2265752838689168</v>
      </c>
      <c r="V35" s="125">
        <f t="shared" si="32"/>
        <v>2.2183069520959955</v>
      </c>
      <c r="W35" s="125">
        <f t="shared" si="32"/>
        <v>2.2178523657621785</v>
      </c>
      <c r="X35" s="125">
        <f t="shared" si="32"/>
        <v>11.428292732738694</v>
      </c>
      <c r="Y35" s="125">
        <f t="shared" si="32"/>
        <v>2.2828367280322217</v>
      </c>
      <c r="Z35" s="125">
        <f t="shared" si="32"/>
        <v>2.2669846770208935</v>
      </c>
      <c r="AA35" s="125">
        <f t="shared" si="32"/>
        <v>2.4894809459549805</v>
      </c>
      <c r="AB35" s="125">
        <f t="shared" si="32"/>
        <v>2.4103536078141454</v>
      </c>
      <c r="AC35" s="125">
        <f t="shared" si="32"/>
        <v>2.365775864396503</v>
      </c>
      <c r="AD35" s="125">
        <f t="shared" si="32"/>
        <v>2.8903572813467506</v>
      </c>
      <c r="AE35" s="125">
        <f t="shared" si="32"/>
        <v>2.6703069869241527</v>
      </c>
      <c r="AF35" s="136">
        <f t="shared" si="32"/>
        <v>2.5582894161828391</v>
      </c>
      <c r="AG35" s="125">
        <f t="shared" si="41"/>
        <v>20.636058159473247</v>
      </c>
      <c r="AH35" s="125">
        <f t="shared" si="33"/>
        <v>20.390135354355245</v>
      </c>
      <c r="AI35" s="125">
        <f t="shared" si="33"/>
        <v>20.376691836509554</v>
      </c>
      <c r="AJ35" s="125">
        <f t="shared" si="33"/>
        <v>1050088.3192571106</v>
      </c>
      <c r="AK35" s="125">
        <f t="shared" si="33"/>
        <v>22.381966700420509</v>
      </c>
      <c r="AL35" s="125">
        <f t="shared" si="33"/>
        <v>21.876987590140146</v>
      </c>
      <c r="AM35" s="125">
        <f t="shared" si="33"/>
        <v>30.010735848510464</v>
      </c>
      <c r="AN35" s="125">
        <f t="shared" si="33"/>
        <v>26.846274789606003</v>
      </c>
      <c r="AO35" s="125">
        <f t="shared" si="33"/>
        <v>25.20095507487288</v>
      </c>
      <c r="AP35" s="125">
        <f t="shared" si="33"/>
        <v>52.025677906492938</v>
      </c>
      <c r="AQ35" s="125">
        <f t="shared" si="33"/>
        <v>38.57098959867168</v>
      </c>
      <c r="AR35" s="125">
        <f t="shared" si="33"/>
        <v>33.037003601989028</v>
      </c>
      <c r="AS35" s="125">
        <f t="shared" si="36"/>
        <v>1050399.6727335718</v>
      </c>
      <c r="AT35" s="125">
        <f t="shared" si="37"/>
        <v>-422711.92474099045</v>
      </c>
      <c r="AU35" s="125">
        <f t="shared" si="38"/>
        <v>422712.92474099045</v>
      </c>
      <c r="AV35" s="145">
        <f t="shared" si="39"/>
        <v>0.14727442681248942</v>
      </c>
      <c r="AW35">
        <v>0.13116546781603494</v>
      </c>
      <c r="AX35">
        <v>0.14727442681248942</v>
      </c>
    </row>
    <row r="36" spans="8:50" ht="29">
      <c r="H36" s="132" t="s">
        <v>186</v>
      </c>
      <c r="I36" s="125">
        <f>$AV$23/AJ23</f>
        <v>20.840738623406402</v>
      </c>
      <c r="J36" s="125">
        <f t="shared" ref="J36:T36" si="44">$AV$23/AK23</f>
        <v>8.3379989476433831</v>
      </c>
      <c r="K36" s="125">
        <f t="shared" si="44"/>
        <v>6.1198540696389072</v>
      </c>
      <c r="L36" s="125">
        <f t="shared" si="44"/>
        <v>61204.660550458713</v>
      </c>
      <c r="M36" s="125">
        <f t="shared" si="44"/>
        <v>11.91073166115881</v>
      </c>
      <c r="N36" s="125">
        <f t="shared" si="44"/>
        <v>7.4116668092419928</v>
      </c>
      <c r="O36" s="125">
        <f t="shared" si="44"/>
        <v>221.57188880401355</v>
      </c>
      <c r="P36" s="125">
        <f t="shared" si="44"/>
        <v>11.70181140799391</v>
      </c>
      <c r="Q36" s="125">
        <f t="shared" si="44"/>
        <v>7.3302296757860885</v>
      </c>
      <c r="R36" s="125">
        <f t="shared" si="44"/>
        <v>331.75732259187401</v>
      </c>
      <c r="S36" s="125">
        <f t="shared" si="44"/>
        <v>11.70181140799391</v>
      </c>
      <c r="T36" s="136">
        <f t="shared" si="44"/>
        <v>7.4116668092419928</v>
      </c>
      <c r="U36" s="125">
        <f t="shared" si="35"/>
        <v>3.0369096588389737</v>
      </c>
      <c r="V36" s="125">
        <f t="shared" si="32"/>
        <v>2.1208232532464821</v>
      </c>
      <c r="W36" s="125">
        <f t="shared" si="32"/>
        <v>1.8115382514096983</v>
      </c>
      <c r="X36" s="125">
        <f t="shared" si="32"/>
        <v>11.021978618386214</v>
      </c>
      <c r="Y36" s="125">
        <f t="shared" si="32"/>
        <v>2.4774398139873464</v>
      </c>
      <c r="Z36" s="125">
        <f t="shared" si="32"/>
        <v>2.003055354531158</v>
      </c>
      <c r="AA36" s="125">
        <f t="shared" si="32"/>
        <v>5.4007470912487232</v>
      </c>
      <c r="AB36" s="125">
        <f t="shared" si="32"/>
        <v>2.4597436510162067</v>
      </c>
      <c r="AC36" s="125">
        <f t="shared" si="32"/>
        <v>1.9920068490756231</v>
      </c>
      <c r="AD36" s="125">
        <f t="shared" si="32"/>
        <v>5.8044037455892896</v>
      </c>
      <c r="AE36" s="125">
        <f t="shared" ref="AE36:AE40" si="45">LN(S36)</f>
        <v>2.4597436510162067</v>
      </c>
      <c r="AF36" s="136">
        <f t="shared" ref="AF36:AF40" si="46">LN(T36)</f>
        <v>2.003055354531158</v>
      </c>
      <c r="AG36" s="125">
        <f t="shared" si="41"/>
        <v>63.291440422761362</v>
      </c>
      <c r="AH36" s="125">
        <f t="shared" si="33"/>
        <v>17.683422053706785</v>
      </c>
      <c r="AI36" s="125">
        <f t="shared" si="33"/>
        <v>11.086349740196193</v>
      </c>
      <c r="AJ36" s="125">
        <f t="shared" si="33"/>
        <v>674596.45993274217</v>
      </c>
      <c r="AK36" s="125">
        <f t="shared" si="33"/>
        <v>29.508120831074478</v>
      </c>
      <c r="AL36" s="125">
        <f t="shared" si="33"/>
        <v>14.845978888253036</v>
      </c>
      <c r="AM36" s="125">
        <f t="shared" si="33"/>
        <v>1196.6537339607617</v>
      </c>
      <c r="AN36" s="125">
        <f t="shared" si="33"/>
        <v>28.783456316202038</v>
      </c>
      <c r="AO36" s="125">
        <f t="shared" si="33"/>
        <v>14.601867719463272</v>
      </c>
      <c r="AP36" s="125">
        <f t="shared" si="33"/>
        <v>1925.6534458789479</v>
      </c>
      <c r="AQ36" s="125">
        <f t="shared" si="33"/>
        <v>28.783456316202038</v>
      </c>
      <c r="AR36" s="125">
        <f t="shared" si="33"/>
        <v>14.845978888253036</v>
      </c>
      <c r="AS36" s="125">
        <f t="shared" si="36"/>
        <v>677942.19718375802</v>
      </c>
      <c r="AT36" s="125">
        <f t="shared" si="37"/>
        <v>-272824.01020641829</v>
      </c>
      <c r="AU36" s="125">
        <f t="shared" si="38"/>
        <v>272825.01020641829</v>
      </c>
      <c r="AV36" s="145">
        <f t="shared" si="39"/>
        <v>9.5053036343474645E-2</v>
      </c>
      <c r="AW36">
        <v>9.6848696650954122E-2</v>
      </c>
      <c r="AX36">
        <v>9.5053036343474645E-2</v>
      </c>
    </row>
    <row r="37" spans="8:50">
      <c r="H37" s="133" t="s">
        <v>193</v>
      </c>
      <c r="I37" s="125">
        <f>$AV$24/AJ24</f>
        <v>8.2592678938947532</v>
      </c>
      <c r="J37" s="125">
        <f t="shared" ref="J37:T37" si="47">$AV$24/AK24</f>
        <v>8.166987250824743</v>
      </c>
      <c r="K37" s="125">
        <f t="shared" si="47"/>
        <v>8.112635306201101</v>
      </c>
      <c r="L37" s="125">
        <f t="shared" si="47"/>
        <v>9.8958599679184758</v>
      </c>
      <c r="M37" s="125">
        <f t="shared" si="47"/>
        <v>9.3089754258822985</v>
      </c>
      <c r="N37" s="125">
        <f t="shared" si="47"/>
        <v>8.9889877867125971</v>
      </c>
      <c r="O37" s="125">
        <f t="shared" si="47"/>
        <v>15.774694072833224</v>
      </c>
      <c r="P37" s="125">
        <f t="shared" si="47"/>
        <v>12.631311138638711</v>
      </c>
      <c r="Q37" s="125">
        <f t="shared" si="47"/>
        <v>11.279171976174268</v>
      </c>
      <c r="R37" s="125">
        <f t="shared" si="47"/>
        <v>81134.46569731721</v>
      </c>
      <c r="S37" s="125">
        <f t="shared" si="47"/>
        <v>31.606166248221061</v>
      </c>
      <c r="T37" s="136">
        <f t="shared" si="47"/>
        <v>19.754769748594391</v>
      </c>
      <c r="U37" s="125">
        <f t="shared" si="35"/>
        <v>2.1113359509043836</v>
      </c>
      <c r="V37" s="125">
        <f t="shared" si="32"/>
        <v>2.100100083315136</v>
      </c>
      <c r="W37" s="125">
        <f t="shared" si="32"/>
        <v>2.09342276062161</v>
      </c>
      <c r="X37" s="125">
        <f t="shared" si="32"/>
        <v>2.292116484618048</v>
      </c>
      <c r="Y37" s="125">
        <f t="shared" si="32"/>
        <v>2.2309790343072891</v>
      </c>
      <c r="Z37" s="125">
        <f t="shared" si="32"/>
        <v>2.1960002488977812</v>
      </c>
      <c r="AA37" s="125">
        <f t="shared" si="32"/>
        <v>2.7584070150749307</v>
      </c>
      <c r="AB37" s="125">
        <f t="shared" si="32"/>
        <v>2.53617874242636</v>
      </c>
      <c r="AC37" s="125">
        <f t="shared" si="32"/>
        <v>2.422957837008004</v>
      </c>
      <c r="AD37" s="125">
        <f t="shared" si="32"/>
        <v>11.303863127598126</v>
      </c>
      <c r="AE37" s="125">
        <f t="shared" si="45"/>
        <v>3.4533522359939939</v>
      </c>
      <c r="AF37" s="136">
        <f t="shared" si="46"/>
        <v>2.9833949684471328</v>
      </c>
      <c r="AG37" s="125">
        <f t="shared" si="41"/>
        <v>17.438089232530324</v>
      </c>
      <c r="AH37" s="125">
        <f t="shared" si="33"/>
        <v>17.151490605890697</v>
      </c>
      <c r="AI37" s="125">
        <f t="shared" si="33"/>
        <v>16.98317539862385</v>
      </c>
      <c r="AJ37" s="125">
        <f t="shared" si="33"/>
        <v>22.682463761937765</v>
      </c>
      <c r="AK37" s="125">
        <f t="shared" si="33"/>
        <v>20.768129006025177</v>
      </c>
      <c r="AL37" s="125">
        <f t="shared" si="33"/>
        <v>19.739819416959978</v>
      </c>
      <c r="AM37" s="125">
        <f t="shared" si="33"/>
        <v>43.513026791164094</v>
      </c>
      <c r="AN37" s="125">
        <f t="shared" si="33"/>
        <v>32.0352627987888</v>
      </c>
      <c r="AO37" s="125">
        <f t="shared" si="33"/>
        <v>27.328958134632501</v>
      </c>
      <c r="AP37" s="125">
        <f t="shared" si="33"/>
        <v>917132.89517327899</v>
      </c>
      <c r="AQ37" s="125">
        <f t="shared" si="33"/>
        <v>109.1472248844921</v>
      </c>
      <c r="AR37" s="125">
        <f t="shared" si="33"/>
        <v>58.936280670788136</v>
      </c>
      <c r="AS37" s="125">
        <f t="shared" si="36"/>
        <v>917518.61909398087</v>
      </c>
      <c r="AT37" s="125">
        <f t="shared" si="37"/>
        <v>-369236.65489496716</v>
      </c>
      <c r="AU37" s="125">
        <f t="shared" si="38"/>
        <v>369237.65489496716</v>
      </c>
      <c r="AV37" s="145">
        <f t="shared" si="39"/>
        <v>0.12864348544716003</v>
      </c>
      <c r="AW37">
        <v>0.13107370766329798</v>
      </c>
      <c r="AX37">
        <v>0.12864348544716003</v>
      </c>
    </row>
    <row r="38" spans="8:50">
      <c r="H38" s="133" t="s">
        <v>194</v>
      </c>
      <c r="I38" s="125">
        <f>$AV$25/AJ25</f>
        <v>7.5984679411899672</v>
      </c>
      <c r="J38" s="125">
        <f t="shared" ref="J38:T38" si="48">$AV$25/AK25</f>
        <v>7.5606894541945247</v>
      </c>
      <c r="K38" s="125">
        <f t="shared" si="48"/>
        <v>7.5382598524022946</v>
      </c>
      <c r="L38" s="125">
        <f t="shared" si="48"/>
        <v>9.1034011257859113</v>
      </c>
      <c r="M38" s="125">
        <f t="shared" si="48"/>
        <v>8.8573257674641948</v>
      </c>
      <c r="N38" s="125">
        <f t="shared" si="48"/>
        <v>8.7154242377983095</v>
      </c>
      <c r="O38" s="125">
        <f t="shared" si="48"/>
        <v>14.514738748630869</v>
      </c>
      <c r="P38" s="125">
        <f t="shared" si="48"/>
        <v>13.074116483839756</v>
      </c>
      <c r="Q38" s="125">
        <f t="shared" si="48"/>
        <v>12.340840468415569</v>
      </c>
      <c r="R38" s="125">
        <f t="shared" si="48"/>
        <v>75390.136783875336</v>
      </c>
      <c r="S38" s="125">
        <f t="shared" si="48"/>
        <v>65.695739123555384</v>
      </c>
      <c r="T38" s="136">
        <f t="shared" si="48"/>
        <v>41.090399063483574</v>
      </c>
      <c r="U38" s="125">
        <f t="shared" si="35"/>
        <v>2.0279466402854278</v>
      </c>
      <c r="V38" s="125">
        <f t="shared" si="32"/>
        <v>2.0229623836779678</v>
      </c>
      <c r="W38" s="125">
        <f t="shared" si="32"/>
        <v>2.0199913665779681</v>
      </c>
      <c r="X38" s="125">
        <f t="shared" si="32"/>
        <v>2.2086480937820028</v>
      </c>
      <c r="Y38" s="125">
        <f t="shared" si="32"/>
        <v>2.1812448869418581</v>
      </c>
      <c r="Z38" s="125">
        <f t="shared" si="32"/>
        <v>2.1650943568231491</v>
      </c>
      <c r="AA38" s="125">
        <f t="shared" si="32"/>
        <v>2.6751645985981742</v>
      </c>
      <c r="AB38" s="125">
        <f t="shared" si="32"/>
        <v>2.5706344347301466</v>
      </c>
      <c r="AC38" s="125">
        <f t="shared" si="32"/>
        <v>2.5129141254298366</v>
      </c>
      <c r="AD38" s="125">
        <f t="shared" si="32"/>
        <v>11.230431733554484</v>
      </c>
      <c r="AE38" s="125">
        <f t="shared" si="45"/>
        <v>4.1850340698647353</v>
      </c>
      <c r="AF38" s="136">
        <f t="shared" si="46"/>
        <v>3.7157744947849691</v>
      </c>
      <c r="AG38" s="125">
        <f t="shared" si="41"/>
        <v>15.409287532652726</v>
      </c>
      <c r="AH38" s="125">
        <f t="shared" si="33"/>
        <v>15.294990360506228</v>
      </c>
      <c r="AI38" s="125">
        <f t="shared" si="33"/>
        <v>15.227219820873943</v>
      </c>
      <c r="AJ38" s="125">
        <f t="shared" si="33"/>
        <v>20.106209543399991</v>
      </c>
      <c r="AK38" s="125">
        <f t="shared" si="33"/>
        <v>19.319996542259645</v>
      </c>
      <c r="AL38" s="125">
        <f t="shared" si="33"/>
        <v>18.869715834576816</v>
      </c>
      <c r="AM38" s="125">
        <f t="shared" si="33"/>
        <v>38.829315258238466</v>
      </c>
      <c r="AN38" s="125">
        <f t="shared" si="33"/>
        <v>33.608774037031502</v>
      </c>
      <c r="AO38" s="125">
        <f t="shared" si="33"/>
        <v>31.011472332757645</v>
      </c>
      <c r="AP38" s="125">
        <f t="shared" si="33"/>
        <v>846663.78453464678</v>
      </c>
      <c r="AQ38" s="125">
        <f t="shared" si="33"/>
        <v>274.93890647702489</v>
      </c>
      <c r="AR38" s="125">
        <f t="shared" si="33"/>
        <v>152.68265682062844</v>
      </c>
      <c r="AS38" s="125">
        <f t="shared" si="36"/>
        <v>847299.08307920676</v>
      </c>
      <c r="AT38" s="125">
        <f t="shared" si="37"/>
        <v>-340978.23479666491</v>
      </c>
      <c r="AU38" s="125">
        <f t="shared" si="38"/>
        <v>340979.23479666491</v>
      </c>
      <c r="AV38" s="145">
        <f t="shared" si="39"/>
        <v>0.11879816873451393</v>
      </c>
      <c r="AW38">
        <v>0.12104240168491626</v>
      </c>
      <c r="AX38">
        <v>0.11879816873451393</v>
      </c>
    </row>
    <row r="39" spans="8:50" ht="29">
      <c r="H39" s="134" t="s">
        <v>189</v>
      </c>
      <c r="I39" s="125">
        <f>$AV$26/AJ26</f>
        <v>8.2584449299121445</v>
      </c>
      <c r="J39" s="125">
        <f t="shared" ref="J39:T39" si="49">$AV$26/AK26</f>
        <v>8.1225969059968275</v>
      </c>
      <c r="K39" s="125">
        <f t="shared" si="49"/>
        <v>8.1225969059968275</v>
      </c>
      <c r="L39" s="125">
        <f t="shared" si="49"/>
        <v>9.9028344825007721</v>
      </c>
      <c r="M39" s="125">
        <f t="shared" si="49"/>
        <v>9.3156717470812982</v>
      </c>
      <c r="N39" s="125">
        <f t="shared" si="49"/>
        <v>9.0003323850443131</v>
      </c>
      <c r="O39" s="125">
        <f t="shared" si="49"/>
        <v>15.780087476154748</v>
      </c>
      <c r="P39" s="125">
        <f t="shared" si="49"/>
        <v>12.636098479011768</v>
      </c>
      <c r="Q39" s="125">
        <f t="shared" si="49"/>
        <v>11.294215787968048</v>
      </c>
      <c r="R39" s="125">
        <f t="shared" si="49"/>
        <v>81234.091656874269</v>
      </c>
      <c r="S39" s="125">
        <f t="shared" si="49"/>
        <v>31.698732283865343</v>
      </c>
      <c r="T39" s="136">
        <f t="shared" si="49"/>
        <v>19.746687876747686</v>
      </c>
      <c r="U39" s="125">
        <f t="shared" si="35"/>
        <v>2.1112363046649718</v>
      </c>
      <c r="V39" s="125">
        <f t="shared" si="32"/>
        <v>2.0946499190528094</v>
      </c>
      <c r="W39" s="125">
        <f t="shared" si="32"/>
        <v>2.0946499190528094</v>
      </c>
      <c r="X39" s="125">
        <f t="shared" si="32"/>
        <v>2.2928210275249818</v>
      </c>
      <c r="Y39" s="125">
        <f t="shared" si="32"/>
        <v>2.2316981160085803</v>
      </c>
      <c r="Z39" s="125">
        <f t="shared" si="32"/>
        <v>2.1972615083258522</v>
      </c>
      <c r="AA39" s="125">
        <f t="shared" si="32"/>
        <v>2.7587488588849198</v>
      </c>
      <c r="AB39" s="125">
        <f t="shared" si="32"/>
        <v>2.5365576764368329</v>
      </c>
      <c r="AC39" s="125">
        <f t="shared" si="32"/>
        <v>2.4242907174934825</v>
      </c>
      <c r="AD39" s="125">
        <f t="shared" si="32"/>
        <v>11.305090286029325</v>
      </c>
      <c r="AE39" s="125">
        <f t="shared" si="45"/>
        <v>3.4562766890383143</v>
      </c>
      <c r="AF39" s="136">
        <f t="shared" si="46"/>
        <v>2.9829857748403485</v>
      </c>
      <c r="AG39" s="125">
        <f t="shared" si="41"/>
        <v>17.435528756106887</v>
      </c>
      <c r="AH39" s="125">
        <f t="shared" si="33"/>
        <v>17.013996951644856</v>
      </c>
      <c r="AI39" s="125">
        <f t="shared" si="33"/>
        <v>17.013996951644856</v>
      </c>
      <c r="AJ39" s="125">
        <f t="shared" si="33"/>
        <v>22.705427133577242</v>
      </c>
      <c r="AK39" s="125">
        <f t="shared" si="33"/>
        <v>20.789767087315692</v>
      </c>
      <c r="AL39" s="125">
        <f t="shared" si="33"/>
        <v>19.776083911796484</v>
      </c>
      <c r="AM39" s="125">
        <f t="shared" si="33"/>
        <v>43.533298317946127</v>
      </c>
      <c r="AN39" s="125">
        <f t="shared" si="33"/>
        <v>32.052192597149087</v>
      </c>
      <c r="AO39" s="125">
        <f t="shared" si="33"/>
        <v>27.380462496139277</v>
      </c>
      <c r="AP39" s="125">
        <f t="shared" si="33"/>
        <v>918358.74048454512</v>
      </c>
      <c r="AQ39" s="125">
        <f t="shared" si="33"/>
        <v>109.55958946479004</v>
      </c>
      <c r="AR39" s="125">
        <f t="shared" si="33"/>
        <v>58.904089036550715</v>
      </c>
      <c r="AS39" s="125">
        <f t="shared" si="36"/>
        <v>918744.90491724981</v>
      </c>
      <c r="AT39" s="125">
        <f t="shared" si="37"/>
        <v>-369730.14861368435</v>
      </c>
      <c r="AU39" s="125">
        <f t="shared" si="38"/>
        <v>369731.14861368435</v>
      </c>
      <c r="AV39" s="145">
        <f t="shared" si="39"/>
        <v>0.12881542011086633</v>
      </c>
      <c r="AW39">
        <v>0.13124889036897086</v>
      </c>
      <c r="AX39">
        <v>0.12881542011086633</v>
      </c>
    </row>
    <row r="40" spans="8:50" ht="29">
      <c r="H40" s="134" t="s">
        <v>190</v>
      </c>
      <c r="I40" s="125">
        <f>$AV$27/AJ27</f>
        <v>8.2657800116554316</v>
      </c>
      <c r="J40" s="125">
        <f t="shared" ref="J40:T40" si="50">$AV$27/AK27</f>
        <v>8.1273207566716579</v>
      </c>
      <c r="K40" s="125">
        <f t="shared" si="50"/>
        <v>8.1168619302805887</v>
      </c>
      <c r="L40" s="125">
        <f t="shared" si="50"/>
        <v>9.9005700560543879</v>
      </c>
      <c r="M40" s="125">
        <f t="shared" si="50"/>
        <v>9.315669974066493</v>
      </c>
      <c r="N40" s="125">
        <f t="shared" si="50"/>
        <v>8.9967665495564901</v>
      </c>
      <c r="O40" s="125">
        <f t="shared" si="50"/>
        <v>15.785246273753518</v>
      </c>
      <c r="P40" s="125">
        <f t="shared" si="50"/>
        <v>12.638177181629233</v>
      </c>
      <c r="Q40" s="125">
        <f t="shared" si="50"/>
        <v>11.291951683713833</v>
      </c>
      <c r="R40" s="125">
        <f t="shared" si="50"/>
        <v>81176.736164736169</v>
      </c>
      <c r="S40" s="125">
        <f t="shared" si="50"/>
        <v>31.603893621381559</v>
      </c>
      <c r="T40" s="136">
        <f t="shared" si="50"/>
        <v>19.767700469196065</v>
      </c>
      <c r="U40" s="125">
        <f t="shared" si="35"/>
        <v>2.1121241020958355</v>
      </c>
      <c r="V40" s="125">
        <f t="shared" si="32"/>
        <v>2.0952313190212224</v>
      </c>
      <c r="W40" s="125">
        <f t="shared" si="32"/>
        <v>2.0939436176898796</v>
      </c>
      <c r="X40" s="125">
        <f t="shared" si="32"/>
        <v>2.292592336902433</v>
      </c>
      <c r="Y40" s="125">
        <f t="shared" si="32"/>
        <v>2.2316979256825338</v>
      </c>
      <c r="Z40" s="125">
        <f t="shared" si="32"/>
        <v>2.1968652405109736</v>
      </c>
      <c r="AA40" s="125">
        <f t="shared" si="32"/>
        <v>2.75907572364647</v>
      </c>
      <c r="AB40" s="125">
        <f t="shared" si="32"/>
        <v>2.5367221680052614</v>
      </c>
      <c r="AC40" s="125">
        <f t="shared" si="32"/>
        <v>2.4240902315753083</v>
      </c>
      <c r="AD40" s="125">
        <f t="shared" si="32"/>
        <v>11.304383984666396</v>
      </c>
      <c r="AE40" s="125">
        <f t="shared" si="45"/>
        <v>3.45328032886892</v>
      </c>
      <c r="AF40" s="136">
        <f t="shared" si="46"/>
        <v>2.9840493162645543</v>
      </c>
      <c r="AG40" s="125">
        <f t="shared" si="41"/>
        <v>17.458353185239432</v>
      </c>
      <c r="AH40" s="125">
        <f t="shared" si="33"/>
        <v>17.028616989109718</v>
      </c>
      <c r="AI40" s="125">
        <f t="shared" si="33"/>
        <v>16.996251234580996</v>
      </c>
      <c r="AJ40" s="125">
        <f t="shared" si="33"/>
        <v>22.697971041475981</v>
      </c>
      <c r="AK40" s="125">
        <f t="shared" si="33"/>
        <v>20.789761357467256</v>
      </c>
      <c r="AL40" s="125">
        <f t="shared" si="33"/>
        <v>19.7646837097125</v>
      </c>
      <c r="AM40" s="125">
        <f t="shared" si="33"/>
        <v>43.552689785694234</v>
      </c>
      <c r="AN40" s="125">
        <f t="shared" si="33"/>
        <v>32.059544219817134</v>
      </c>
      <c r="AO40" s="125">
        <f t="shared" si="33"/>
        <v>27.372709771911058</v>
      </c>
      <c r="AP40" s="125">
        <f t="shared" si="33"/>
        <v>917652.99622813298</v>
      </c>
      <c r="AQ40" s="125">
        <f t="shared" si="33"/>
        <v>109.13710415838287</v>
      </c>
      <c r="AR40" s="125">
        <f t="shared" si="33"/>
        <v>58.987793069227024</v>
      </c>
      <c r="AS40" s="125">
        <f t="shared" si="33"/>
        <v>36.874208545445804</v>
      </c>
      <c r="AT40" s="125">
        <f t="shared" si="37"/>
        <v>-14.83927315683739</v>
      </c>
      <c r="AU40" s="125">
        <f t="shared" si="38"/>
        <v>15.83927315683739</v>
      </c>
      <c r="AV40" s="145">
        <f t="shared" si="39"/>
        <v>5.5184493749014355E-6</v>
      </c>
      <c r="AW40">
        <v>5.6226991798791347E-6</v>
      </c>
      <c r="AX40">
        <v>5.5184493749014355E-6</v>
      </c>
    </row>
    <row r="41" spans="8:50">
      <c r="AU41">
        <f>SUM(AU31:AU40)</f>
        <v>2870239.8229611907</v>
      </c>
      <c r="AV41">
        <f>SUM(AV31:AV40)</f>
        <v>1</v>
      </c>
    </row>
    <row r="42" spans="8:50">
      <c r="AR42">
        <f>LN(12)</f>
        <v>2.4849066497880004</v>
      </c>
      <c r="AS42">
        <f>-1/AR42</f>
        <v>-0.40242960438184466</v>
      </c>
    </row>
    <row r="43" spans="8:50">
      <c r="I43">
        <v>9.7870490967960411</v>
      </c>
      <c r="J43">
        <v>6.3036709538123068</v>
      </c>
      <c r="K43">
        <v>5.1979498295904198</v>
      </c>
      <c r="L43">
        <v>51984.696245733787</v>
      </c>
      <c r="M43">
        <v>15.151320062907034</v>
      </c>
      <c r="N43">
        <v>9.4883089878296367</v>
      </c>
      <c r="O43">
        <v>148.90086320667103</v>
      </c>
      <c r="P43">
        <v>13.91904727527271</v>
      </c>
      <c r="Q43">
        <v>9.0111690695045183</v>
      </c>
      <c r="R43">
        <v>189.69917676509783</v>
      </c>
      <c r="S43">
        <v>14.138693930063596</v>
      </c>
      <c r="T43">
        <v>9.1027190097609925</v>
      </c>
      <c r="V43" s="390" t="s">
        <v>51</v>
      </c>
      <c r="W43" s="390"/>
      <c r="X43" s="390"/>
      <c r="Y43" s="390"/>
      <c r="Z43" s="390"/>
    </row>
    <row r="44" spans="8:50">
      <c r="I44">
        <v>11.122823151243676</v>
      </c>
      <c r="J44">
        <v>6.6616789612813534</v>
      </c>
      <c r="K44">
        <v>5.3719612093460345</v>
      </c>
      <c r="L44">
        <v>53724.984054669687</v>
      </c>
      <c r="M44">
        <v>14.29029973237424</v>
      </c>
      <c r="N44">
        <v>8.9323282984382448</v>
      </c>
      <c r="O44">
        <v>180.81454166315416</v>
      </c>
      <c r="P44">
        <v>13.321706085326863</v>
      </c>
      <c r="Q44">
        <v>8.5750921943733314</v>
      </c>
      <c r="R44">
        <v>213.55923179311839</v>
      </c>
      <c r="S44">
        <v>13.473915971936187</v>
      </c>
      <c r="T44">
        <v>8.6379032822194493</v>
      </c>
      <c r="V44" s="66"/>
      <c r="W44" s="147" t="s">
        <v>53</v>
      </c>
      <c r="X44" s="16" t="s">
        <v>54</v>
      </c>
      <c r="Y44" s="16" t="s">
        <v>31</v>
      </c>
      <c r="Z44" s="16" t="s">
        <v>59</v>
      </c>
      <c r="AC44" s="143" t="s">
        <v>34</v>
      </c>
      <c r="AD44" s="228" t="s">
        <v>162</v>
      </c>
    </row>
    <row r="45" spans="8:50">
      <c r="I45">
        <v>314.54777070063682</v>
      </c>
      <c r="J45">
        <v>10.193828052430588</v>
      </c>
      <c r="K45">
        <v>6.5838749458387511</v>
      </c>
      <c r="L45">
        <v>314.54777070063682</v>
      </c>
      <c r="M45">
        <v>10.533567962459337</v>
      </c>
      <c r="N45">
        <v>6.5838749458387511</v>
      </c>
      <c r="O45">
        <v>65845.333333333343</v>
      </c>
      <c r="P45">
        <v>10.533567962459337</v>
      </c>
      <c r="Q45">
        <v>6.5838749458387511</v>
      </c>
      <c r="R45">
        <v>314.54777070063682</v>
      </c>
      <c r="S45">
        <v>10.533567962459337</v>
      </c>
      <c r="T45">
        <v>6.5838749458387511</v>
      </c>
      <c r="V45" s="135" t="s">
        <v>160</v>
      </c>
      <c r="W45" s="125">
        <v>74180.148161762394</v>
      </c>
      <c r="X45" s="125">
        <v>99.064586132405694</v>
      </c>
      <c r="Y45" s="125">
        <v>1.33367846087213E-3</v>
      </c>
      <c r="Z45" s="125">
        <v>9.5391891624461804E-4</v>
      </c>
      <c r="AC45" s="232" t="s">
        <v>195</v>
      </c>
      <c r="AD45" s="229">
        <v>0.18897814527237999</v>
      </c>
    </row>
    <row r="46" spans="8:50">
      <c r="I46">
        <v>7.3952023162505007</v>
      </c>
      <c r="J46">
        <v>7.423424996433619</v>
      </c>
      <c r="K46">
        <v>7.4404654820813301</v>
      </c>
      <c r="L46">
        <v>8.55753652812529</v>
      </c>
      <c r="M46">
        <v>8.7366737611651324</v>
      </c>
      <c r="N46">
        <v>8.8478461235786643</v>
      </c>
      <c r="O46">
        <v>12.471355508920583</v>
      </c>
      <c r="P46">
        <v>13.468626590100005</v>
      </c>
      <c r="Q46">
        <v>14.147599602795253</v>
      </c>
      <c r="R46">
        <v>52.500469399743899</v>
      </c>
      <c r="S46">
        <v>139.75001092228717</v>
      </c>
      <c r="T46">
        <v>73959.418364821249</v>
      </c>
      <c r="V46" s="135" t="s">
        <v>161</v>
      </c>
      <c r="W46" s="125">
        <v>74209.4445989339</v>
      </c>
      <c r="X46" s="125">
        <v>1.4308559964077801</v>
      </c>
      <c r="Y46" s="148">
        <v>1.9280947538164699E-5</v>
      </c>
      <c r="Z46" s="148">
        <v>1.37907757524614E-5</v>
      </c>
      <c r="AC46" s="233" t="s">
        <v>196</v>
      </c>
      <c r="AD46" s="230">
        <v>0.18720657816125599</v>
      </c>
    </row>
    <row r="47" spans="8:50" ht="29">
      <c r="I47">
        <v>9.2680711534782922</v>
      </c>
      <c r="J47">
        <v>9.1917556022124742</v>
      </c>
      <c r="K47">
        <v>9.1875781053203607</v>
      </c>
      <c r="L47">
        <v>91884.968631308919</v>
      </c>
      <c r="M47">
        <v>9.8044535667312047</v>
      </c>
      <c r="N47">
        <v>9.6502582535711241</v>
      </c>
      <c r="O47">
        <v>12.055017290762255</v>
      </c>
      <c r="P47">
        <v>11.137898896897468</v>
      </c>
      <c r="Q47">
        <v>10.652300352764614</v>
      </c>
      <c r="R47">
        <v>17.999739423996669</v>
      </c>
      <c r="S47">
        <v>14.444402755018237</v>
      </c>
      <c r="T47">
        <v>12.913708430722716</v>
      </c>
      <c r="V47" s="135" t="s">
        <v>163</v>
      </c>
      <c r="W47" s="125">
        <v>74210.096563620697</v>
      </c>
      <c r="X47" s="125">
        <v>1.54434532923705E-2</v>
      </c>
      <c r="Y47" s="148">
        <v>2.0810443313841599E-7</v>
      </c>
      <c r="Z47" s="148">
        <v>1.4884753795550099E-7</v>
      </c>
      <c r="AC47" s="233" t="s">
        <v>197</v>
      </c>
      <c r="AD47" s="230">
        <v>0.19725575291318401</v>
      </c>
    </row>
    <row r="48" spans="8:50">
      <c r="I48">
        <v>20.840738623406402</v>
      </c>
      <c r="J48">
        <v>8.3379989476433831</v>
      </c>
      <c r="K48">
        <v>6.1198540696389072</v>
      </c>
      <c r="L48">
        <v>61204.660550458713</v>
      </c>
      <c r="M48">
        <v>11.91073166115881</v>
      </c>
      <c r="N48">
        <v>7.4116668092419928</v>
      </c>
      <c r="O48">
        <v>221.57188880401355</v>
      </c>
      <c r="P48">
        <v>11.70181140799391</v>
      </c>
      <c r="Q48">
        <v>7.3302296757860885</v>
      </c>
      <c r="R48">
        <v>331.75732259187401</v>
      </c>
      <c r="S48">
        <v>11.70181140799391</v>
      </c>
      <c r="T48">
        <v>7.4116668092419928</v>
      </c>
      <c r="V48" s="135" t="s">
        <v>164</v>
      </c>
      <c r="W48" s="125">
        <v>58748.637850612802</v>
      </c>
      <c r="X48" s="125">
        <v>45292.917585132098</v>
      </c>
      <c r="Y48" s="125">
        <v>0.43533487552581401</v>
      </c>
      <c r="Z48" s="125">
        <v>0.31137503142512402</v>
      </c>
      <c r="AC48" s="234" t="s">
        <v>198</v>
      </c>
      <c r="AD48" s="230">
        <v>0.18720657816125599</v>
      </c>
    </row>
    <row r="49" spans="9:30">
      <c r="I49">
        <v>8.2592678938947532</v>
      </c>
      <c r="J49">
        <v>8.166987250824743</v>
      </c>
      <c r="K49">
        <v>8.112635306201101</v>
      </c>
      <c r="L49">
        <v>9.8958599679184758</v>
      </c>
      <c r="M49">
        <v>9.3089754258822985</v>
      </c>
      <c r="N49">
        <v>8.9889877867125971</v>
      </c>
      <c r="O49">
        <v>15.774694072833224</v>
      </c>
      <c r="P49">
        <v>12.631311138638711</v>
      </c>
      <c r="Q49">
        <v>11.279171976174268</v>
      </c>
      <c r="R49">
        <v>81134.46569731721</v>
      </c>
      <c r="S49">
        <v>31.606166248221061</v>
      </c>
      <c r="T49">
        <v>19.754769748594391</v>
      </c>
      <c r="V49" s="135" t="s">
        <v>165</v>
      </c>
      <c r="W49" s="125">
        <v>74207.437124362594</v>
      </c>
      <c r="X49" s="125">
        <v>4.4784580354361303</v>
      </c>
      <c r="Y49" s="148">
        <v>6.0346886349587199E-5</v>
      </c>
      <c r="Z49" s="148">
        <v>4.31633546722283E-5</v>
      </c>
      <c r="AC49" s="235" t="s">
        <v>199</v>
      </c>
      <c r="AD49" s="231">
        <v>0.23935294549192401</v>
      </c>
    </row>
    <row r="50" spans="9:30">
      <c r="I50">
        <v>7.5984679411899672</v>
      </c>
      <c r="J50">
        <v>7.5606894541945247</v>
      </c>
      <c r="K50">
        <v>7.5382598524022946</v>
      </c>
      <c r="L50">
        <v>9.1034011257859113</v>
      </c>
      <c r="M50">
        <v>8.8573257674641948</v>
      </c>
      <c r="N50">
        <v>8.7154242377983095</v>
      </c>
      <c r="O50">
        <v>14.514738748630869</v>
      </c>
      <c r="P50">
        <v>13.074116483839756</v>
      </c>
      <c r="Q50">
        <v>12.340840468415569</v>
      </c>
      <c r="R50">
        <v>75390.136783875336</v>
      </c>
      <c r="S50">
        <v>65.695739123555384</v>
      </c>
      <c r="T50">
        <v>41.090399063483574</v>
      </c>
      <c r="V50" s="135" t="s">
        <v>166</v>
      </c>
      <c r="W50" s="125">
        <v>74208.907679027601</v>
      </c>
      <c r="X50" s="125">
        <v>1.8178149763332601</v>
      </c>
      <c r="Y50" s="148">
        <v>2.4495313369226301E-5</v>
      </c>
      <c r="Z50" s="148">
        <v>1.7520372014529399E-5</v>
      </c>
    </row>
    <row r="51" spans="9:30">
      <c r="I51">
        <v>8.2584449299121445</v>
      </c>
      <c r="J51">
        <v>8.1225969059968275</v>
      </c>
      <c r="K51">
        <v>8.1225969059968275</v>
      </c>
      <c r="L51">
        <v>9.9028344825007721</v>
      </c>
      <c r="M51">
        <v>9.3156717470812982</v>
      </c>
      <c r="N51">
        <v>9.0003323850443131</v>
      </c>
      <c r="O51">
        <v>15.780087476154748</v>
      </c>
      <c r="P51">
        <v>12.636098479011768</v>
      </c>
      <c r="Q51">
        <v>11.294215787968048</v>
      </c>
      <c r="R51">
        <v>81234.091656874269</v>
      </c>
      <c r="S51">
        <v>31.698732283865343</v>
      </c>
      <c r="T51">
        <v>19.746687876747686</v>
      </c>
      <c r="V51" s="135" t="s">
        <v>167</v>
      </c>
      <c r="W51" s="125">
        <v>71090.7558317769</v>
      </c>
      <c r="X51" s="125">
        <v>21151.952840532798</v>
      </c>
      <c r="Y51" s="125">
        <v>0.22930758587840999</v>
      </c>
      <c r="Z51" s="125">
        <v>0.164013178757316</v>
      </c>
    </row>
    <row r="52" spans="9:30">
      <c r="I52">
        <v>8.2657800116554316</v>
      </c>
      <c r="J52">
        <v>8.1273207566716579</v>
      </c>
      <c r="K52">
        <v>8.1168619302805887</v>
      </c>
      <c r="L52">
        <v>9.9005700560543879</v>
      </c>
      <c r="M52">
        <v>9.315669974066493</v>
      </c>
      <c r="N52">
        <v>8.9967665495564901</v>
      </c>
      <c r="O52">
        <v>15.785246273753518</v>
      </c>
      <c r="P52">
        <v>12.638177181629233</v>
      </c>
      <c r="Q52">
        <v>11.291951683713833</v>
      </c>
      <c r="R52">
        <v>81176.736164736169</v>
      </c>
      <c r="S52">
        <v>31.603893621381559</v>
      </c>
      <c r="T52">
        <v>19.767700469196065</v>
      </c>
      <c r="V52" s="135" t="s">
        <v>169</v>
      </c>
      <c r="W52" s="125">
        <v>74205.343417259399</v>
      </c>
      <c r="X52" s="125">
        <v>5.4372394615378203</v>
      </c>
      <c r="Y52" s="148">
        <v>7.3267514684814098E-5</v>
      </c>
      <c r="Z52" s="148">
        <v>5.2404886375964002E-5</v>
      </c>
    </row>
    <row r="53" spans="9:30">
      <c r="V53" s="135" t="s">
        <v>170</v>
      </c>
      <c r="W53" s="125">
        <v>74207.081392895197</v>
      </c>
      <c r="X53" s="125">
        <v>3.6178317273843201</v>
      </c>
      <c r="Y53" s="148">
        <v>4.87508103977539E-5</v>
      </c>
      <c r="Z53" s="148">
        <v>3.4869214420889601E-5</v>
      </c>
    </row>
    <row r="54" spans="9:30">
      <c r="V54" s="135" t="s">
        <v>171</v>
      </c>
      <c r="W54" s="125">
        <v>55885.189228638803</v>
      </c>
      <c r="X54" s="125">
        <v>48699.927297512098</v>
      </c>
      <c r="Y54" s="125">
        <v>0.46564873583455801</v>
      </c>
      <c r="Z54" s="125">
        <v>0.33305714268453401</v>
      </c>
    </row>
    <row r="55" spans="9:30">
      <c r="I55">
        <v>9.7870490967960411</v>
      </c>
      <c r="J55">
        <v>11.122823151243676</v>
      </c>
      <c r="K55">
        <v>314.54777070063682</v>
      </c>
      <c r="L55">
        <v>7.3952023162505007</v>
      </c>
      <c r="M55">
        <v>9.2680711534782922</v>
      </c>
      <c r="N55">
        <v>20.840738623406402</v>
      </c>
      <c r="O55">
        <v>8.2592678938947532</v>
      </c>
      <c r="P55">
        <v>7.5984679411899672</v>
      </c>
      <c r="Q55">
        <v>8.2584449299121445</v>
      </c>
      <c r="R55">
        <v>8.2657800116554316</v>
      </c>
      <c r="V55" s="135" t="s">
        <v>172</v>
      </c>
      <c r="W55" s="125">
        <v>74178.3739335547</v>
      </c>
      <c r="X55" s="125">
        <v>51.0303993816459</v>
      </c>
      <c r="Y55" s="125">
        <v>6.8746879811620995E-4</v>
      </c>
      <c r="Z55" s="125">
        <v>4.91714839888893E-4</v>
      </c>
    </row>
    <row r="56" spans="9:30">
      <c r="I56">
        <v>6.3036709538123068</v>
      </c>
      <c r="J56">
        <v>6.6616789612813534</v>
      </c>
      <c r="K56">
        <v>10.193828052430588</v>
      </c>
      <c r="L56">
        <v>7.423424996433619</v>
      </c>
      <c r="M56">
        <v>9.1917556022124742</v>
      </c>
      <c r="N56">
        <v>8.3379989476433831</v>
      </c>
      <c r="O56">
        <v>8.166987250824743</v>
      </c>
      <c r="P56">
        <v>7.5606894541945247</v>
      </c>
      <c r="Q56">
        <v>8.1225969059968275</v>
      </c>
      <c r="R56">
        <v>8.1273207566716579</v>
      </c>
      <c r="V56" s="132" t="s">
        <v>173</v>
      </c>
      <c r="W56" s="125">
        <v>69779.850830926007</v>
      </c>
      <c r="X56" s="125">
        <v>25231.879947779798</v>
      </c>
      <c r="Y56" s="125">
        <v>0.26556594371012998</v>
      </c>
      <c r="Z56" s="125">
        <v>0.18994711592611899</v>
      </c>
    </row>
    <row r="57" spans="9:30">
      <c r="I57">
        <v>5.1979498295904198</v>
      </c>
      <c r="J57">
        <v>5.3719612093460345</v>
      </c>
      <c r="K57">
        <v>6.5838749458387511</v>
      </c>
      <c r="L57">
        <v>7.4404654820813301</v>
      </c>
      <c r="M57">
        <v>9.1875781053203607</v>
      </c>
      <c r="N57">
        <v>6.1198540696389072</v>
      </c>
      <c r="O57">
        <v>8.112635306201101</v>
      </c>
      <c r="P57">
        <v>7.5382598524022946</v>
      </c>
      <c r="Q57">
        <v>8.1225969059968275</v>
      </c>
      <c r="R57">
        <v>8.1168619302805887</v>
      </c>
    </row>
    <row r="58" spans="9:30">
      <c r="I58">
        <v>51984.696245733787</v>
      </c>
      <c r="J58">
        <v>53724.984054669687</v>
      </c>
      <c r="K58">
        <v>314.54777070063682</v>
      </c>
      <c r="L58">
        <v>8.55753652812529</v>
      </c>
      <c r="M58">
        <v>91884.968631308919</v>
      </c>
      <c r="N58">
        <v>61204.660550458713</v>
      </c>
      <c r="O58">
        <v>9.8958599679184758</v>
      </c>
      <c r="P58">
        <v>9.1034011257859113</v>
      </c>
      <c r="Q58">
        <v>9.9028344825007721</v>
      </c>
      <c r="R58">
        <v>9.9005700560543879</v>
      </c>
    </row>
    <row r="59" spans="9:30">
      <c r="I59">
        <v>15.151320062907034</v>
      </c>
      <c r="J59">
        <v>14.29029973237424</v>
      </c>
      <c r="K59">
        <v>10.533567962459337</v>
      </c>
      <c r="L59">
        <v>8.7366737611651324</v>
      </c>
      <c r="M59">
        <v>9.8044535667312047</v>
      </c>
      <c r="N59">
        <v>11.91073166115881</v>
      </c>
      <c r="O59">
        <v>9.3089754258822985</v>
      </c>
      <c r="P59">
        <v>8.8573257674641948</v>
      </c>
      <c r="Q59">
        <v>9.3156717470812982</v>
      </c>
      <c r="R59">
        <v>9.315669974066493</v>
      </c>
    </row>
    <row r="60" spans="9:30">
      <c r="I60">
        <v>9.4883089878296367</v>
      </c>
      <c r="J60">
        <v>8.9323282984382448</v>
      </c>
      <c r="K60">
        <v>6.5838749458387511</v>
      </c>
      <c r="L60">
        <v>8.8478461235786643</v>
      </c>
      <c r="M60">
        <v>9.6502582535711241</v>
      </c>
      <c r="N60">
        <v>7.4116668092419928</v>
      </c>
      <c r="O60">
        <v>8.9889877867125971</v>
      </c>
      <c r="P60">
        <v>8.7154242377983095</v>
      </c>
      <c r="Q60">
        <v>9.0003323850443131</v>
      </c>
      <c r="R60">
        <v>8.9967665495564901</v>
      </c>
    </row>
    <row r="61" spans="9:30">
      <c r="I61">
        <v>148.90086320667103</v>
      </c>
      <c r="J61">
        <v>180.81454166315416</v>
      </c>
      <c r="K61">
        <v>65845.333333333343</v>
      </c>
      <c r="L61">
        <v>12.471355508920583</v>
      </c>
      <c r="M61">
        <v>12.055017290762255</v>
      </c>
      <c r="N61">
        <v>221.57188880401355</v>
      </c>
      <c r="O61">
        <v>15.774694072833224</v>
      </c>
      <c r="P61">
        <v>14.514738748630869</v>
      </c>
      <c r="Q61">
        <v>15.780087476154748</v>
      </c>
      <c r="R61">
        <v>15.785246273753518</v>
      </c>
    </row>
    <row r="62" spans="9:30">
      <c r="I62">
        <v>13.91904727527271</v>
      </c>
      <c r="J62">
        <v>13.321706085326863</v>
      </c>
      <c r="K62">
        <v>10.533567962459337</v>
      </c>
      <c r="L62">
        <v>13.468626590100005</v>
      </c>
      <c r="M62">
        <v>11.137898896897468</v>
      </c>
      <c r="N62">
        <v>11.70181140799391</v>
      </c>
      <c r="O62">
        <v>12.631311138638711</v>
      </c>
      <c r="P62">
        <v>13.074116483839756</v>
      </c>
      <c r="Q62">
        <v>12.636098479011768</v>
      </c>
      <c r="R62">
        <v>12.638177181629233</v>
      </c>
    </row>
    <row r="63" spans="9:30">
      <c r="I63">
        <v>9.0111690695045183</v>
      </c>
      <c r="J63">
        <v>8.5750921943733314</v>
      </c>
      <c r="K63">
        <v>6.5838749458387511</v>
      </c>
      <c r="L63">
        <v>14.147599602795253</v>
      </c>
      <c r="M63">
        <v>10.652300352764614</v>
      </c>
      <c r="N63">
        <v>7.3302296757860885</v>
      </c>
      <c r="O63">
        <v>11.279171976174268</v>
      </c>
      <c r="P63">
        <v>12.340840468415569</v>
      </c>
      <c r="Q63">
        <v>11.294215787968048</v>
      </c>
      <c r="R63">
        <v>11.291951683713833</v>
      </c>
    </row>
    <row r="64" spans="9:30">
      <c r="I64">
        <v>189.69917676509783</v>
      </c>
      <c r="J64">
        <v>213.55923179311839</v>
      </c>
      <c r="K64">
        <v>314.54777070063682</v>
      </c>
      <c r="L64">
        <v>52.500469399743899</v>
      </c>
      <c r="M64">
        <v>17.999739423996669</v>
      </c>
      <c r="N64">
        <v>331.75732259187401</v>
      </c>
      <c r="O64">
        <v>81134.46569731721</v>
      </c>
      <c r="P64">
        <v>75390.136783875336</v>
      </c>
      <c r="Q64">
        <v>81234.091656874269</v>
      </c>
      <c r="R64">
        <v>81176.736164736169</v>
      </c>
    </row>
    <row r="65" spans="9:18">
      <c r="I65">
        <v>14.138693930063596</v>
      </c>
      <c r="J65">
        <v>13.473915971936187</v>
      </c>
      <c r="K65">
        <v>10.533567962459337</v>
      </c>
      <c r="L65">
        <v>139.75001092228717</v>
      </c>
      <c r="M65">
        <v>14.444402755018237</v>
      </c>
      <c r="N65">
        <v>11.70181140799391</v>
      </c>
      <c r="O65">
        <v>31.606166248221061</v>
      </c>
      <c r="P65">
        <v>65.695739123555384</v>
      </c>
      <c r="Q65">
        <v>31.698732283865343</v>
      </c>
      <c r="R65">
        <v>31.603893621381559</v>
      </c>
    </row>
    <row r="66" spans="9:18">
      <c r="I66">
        <v>9.1027190097609925</v>
      </c>
      <c r="J66">
        <v>8.6379032822194493</v>
      </c>
      <c r="K66">
        <v>6.5838749458387511</v>
      </c>
      <c r="L66">
        <v>73959.418364821249</v>
      </c>
      <c r="M66">
        <v>12.913708430722716</v>
      </c>
      <c r="N66">
        <v>7.4116668092419928</v>
      </c>
      <c r="O66">
        <v>19.754769748594391</v>
      </c>
      <c r="P66">
        <v>41.090399063483574</v>
      </c>
      <c r="Q66">
        <v>19.746687876747686</v>
      </c>
      <c r="R66">
        <v>19.767700469196065</v>
      </c>
    </row>
  </sheetData>
  <mergeCells count="7">
    <mergeCell ref="V43:Z43"/>
    <mergeCell ref="A9:I9"/>
    <mergeCell ref="X16:AI16"/>
    <mergeCell ref="AJ16:AV16"/>
    <mergeCell ref="I29:T29"/>
    <mergeCell ref="U29:AF29"/>
    <mergeCell ref="AG29:AS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TFNs IPA</vt:lpstr>
      <vt:lpstr>Entropy IPA</vt:lpstr>
      <vt:lpstr>IPA weights</vt:lpstr>
      <vt:lpstr>FAHP IPA</vt:lpstr>
      <vt:lpstr>Bioethanol (2)</vt:lpstr>
      <vt:lpstr>Bioeth M</vt:lpstr>
      <vt:lpstr>Bioethanol</vt:lpstr>
      <vt:lpstr>Bioeth PII</vt:lpstr>
      <vt:lpstr>Desal</vt:lpstr>
      <vt:lpstr>GNH3</vt:lpstr>
      <vt:lpstr>DESAL2</vt:lpstr>
      <vt:lpstr>FAHP</vt:lpstr>
      <vt:lpstr>VIKOR NH3</vt:lpstr>
      <vt:lpstr>PII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Li</dc:creator>
  <cp:keywords/>
  <dc:description/>
  <cp:lastModifiedBy>Daniel Li</cp:lastModifiedBy>
  <cp:revision/>
  <dcterms:created xsi:type="dcterms:W3CDTF">2023-09-21T16:07:19Z</dcterms:created>
  <dcterms:modified xsi:type="dcterms:W3CDTF">2025-09-15T15:00:22Z</dcterms:modified>
  <cp:category/>
  <cp:contentStatus/>
</cp:coreProperties>
</file>